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commentsmeta4"/>
  <Override ContentType="application/binary" PartName="/xl/commentsmeta5"/>
  <Override ContentType="application/binary" PartName="/xl/commentsmeta2"/>
  <Override ContentType="application/binary" PartName="/xl/metadata"/>
  <Override ContentType="application/binary" PartName="/xl/commentsmeta3"/>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6.1 Detalle de inversión de equ" sheetId="1" r:id="rId4"/>
    <sheet state="visible" name="6.2 Detalle de Financiación" sheetId="2" r:id="rId5"/>
    <sheet state="visible" name="6.2.1 Detalle devolución présta" sheetId="3" r:id="rId6"/>
    <sheet state="visible" name="6.3 Curva de estacionalidad des" sheetId="4" r:id="rId7"/>
    <sheet state="visible" name="6.4.1 Estimación de ventas (Eje" sheetId="5" r:id="rId8"/>
    <sheet state="visible" name="6.5 Sueldos y cargas sociales" sheetId="6" r:id="rId9"/>
    <sheet state="visible" name="6.6 Cashflow" sheetId="7" r:id="rId10"/>
    <sheet state="visible" name="Modelo Matriz de Gastos (Ejempl" sheetId="8" r:id="rId11"/>
  </sheets>
  <definedNames/>
  <calcPr/>
  <extLst>
    <ext uri="GoogleSheetsCustomDataVersion2">
      <go:sheetsCustomData xmlns:go="http://customooxmlschemas.google.com/" r:id="rId12" roundtripDataChecksum="5hEXRKxxnABgGMl8K7UcM5P/JdUY9LOirqpNmwOaHu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68">
      <text>
        <t xml:space="preserve">======
ID#AAAB914xhAA
Antonella Silveira    (2026-06-20 01:18:42)
Par stock 3</t>
      </text>
    </comment>
    <comment authorId="0" ref="B225">
      <text>
        <t xml:space="preserve">======
ID#AAAB_YDYjTE
Gonzalo Quintana    (2026-07-08 01:13:22)
Contemplan mano de obra?</t>
      </text>
    </comment>
    <comment authorId="0" ref="D30">
      <text>
        <t xml:space="preserve">======
ID#AAAB914xg-A
Antonella Silveira    (2026-06-20 00:19:23)
Par stock 3</t>
      </text>
    </comment>
    <comment authorId="0" ref="D29">
      <text>
        <t xml:space="preserve">======
ID#AAAB914xg94
Antonella Silveira    (2026-06-20 00:19:16)
Par stock 3</t>
      </text>
    </comment>
    <comment authorId="0" ref="B27">
      <text>
        <t xml:space="preserve">======
ID#AAAB914xg8A
Antonella Silveira    (2026-06-19 23:19:50)
Se utilizarán 2 para cada domo, para ofrecer camas matrimoniales o individuales</t>
      </text>
    </comment>
    <comment authorId="0" ref="D219">
      <text>
        <t xml:space="preserve">======
ID#AAAB_4_4IYM
Antonella Silveira    (2026-06-20 21:44:30)
Vestuario, sala hidromasaje y sala de tratamientos</t>
      </text>
    </comment>
    <comment authorId="0" ref="D216">
      <text>
        <t xml:space="preserve">======
ID#AAAB_4_4IYQ
Antonella Silveira    (2026-06-20 22:10:05)
Baño, sala de hidromasaje, sala de tratamientos, recepción</t>
      </text>
    </comment>
    <comment authorId="0" ref="B54">
      <text>
        <t xml:space="preserve">======
ID#AAAB914xg_A
Antonella Silveira    (2026-06-20 00:42:48)
Iluminación dormitorio
======
ID#AAAB914xg-8
Antonella Silveira    (2026-06-20 00:42:22)
Iluminación baño</t>
      </text>
    </comment>
    <comment authorId="0" ref="B53">
      <text>
        <t xml:space="preserve">======
ID#AAAB914xg-4
Antonella Silveira    (2026-06-20 00:42:09)
Decoración sobre cama</t>
      </text>
    </comment>
    <comment authorId="0" ref="D51">
      <text>
        <t xml:space="preserve">======
ID#AAAB914xg-c
Antonella Silveira    (2026-06-20 00:36:23)
Par stock 3</t>
      </text>
    </comment>
    <comment authorId="0" ref="F276">
      <text>
        <t xml:space="preserve">======
ID#AAACDR2rL0w
Martina Miranda    (2026-07-18 21:09:01)
Es el precio en un pago por 48 meses</t>
      </text>
    </comment>
    <comment authorId="0" ref="D50">
      <text>
        <t xml:space="preserve">======
ID#AAAB9CFhr78
Antonella Silveira    (2026-06-10 01:17:25)
4 por domo</t>
      </text>
    </comment>
    <comment authorId="0" ref="C12">
      <text>
        <t xml:space="preserve">======
ID#AAAAawjIl9w
Fabrizio Scalfino    (2022-06-07 23:46:09)
Este número se obtiene del Cash Flow</t>
      </text>
    </comment>
    <comment authorId="0" ref="D44">
      <text>
        <t xml:space="preserve">======
ID#AAAB914xg-M
Antonella Silveira    (2026-06-20 00:22:33)
Par stock 3</t>
      </text>
    </comment>
    <comment authorId="0" ref="D43">
      <text>
        <t xml:space="preserve">======
ID#AAAB914xg-I
Antonella Silveira    (2026-06-20 00:22:30)
Par stock 3</t>
      </text>
    </comment>
    <comment authorId="0" ref="D42">
      <text>
        <t xml:space="preserve">======
ID#AAAB914xg-E
Antonella Silveira    (2026-06-20 00:22:26)
Par stock 3</t>
      </text>
    </comment>
    <comment authorId="0" ref="D41">
      <text>
        <t xml:space="preserve">======
ID#AAAB914xg90
Antonella Silveira    (2026-06-20 00:17:43)
Par stock 3</t>
      </text>
    </comment>
    <comment authorId="0" ref="B39">
      <text>
        <t xml:space="preserve">======
ID#AAAB914xg9c
Antonella Silveira    (2026-06-20 00:10:16)
Configuración: 
1-Tipo de Cortina : Doble: Gasa y Blackout
2- MEDIDAS DE LA CORTINA: Ancho: 300 , Alto: 220
3.1 TELA: Gasa Luka Antique
3.2 COLOR DE LA CORTINA BLACKOUT: Black Out Natural
4-TIPO DE COLOCACIÓN: Colocación a pared
5-TIPO DE CABEZAL: Tablas encontradas
6-LADO DE APERTURA: Dos paños
7-METODO DE USO: Desplazamiento con la mano</t>
      </text>
    </comment>
    <comment authorId="0" ref="D40">
      <text>
        <t xml:space="preserve">======
ID#AAAB914xg9w
Antonella Silveira    (2026-06-20 00:17:38)
Par stock 3</t>
      </text>
    </comment>
  </commentList>
  <extLst>
    <ext uri="GoogleSheetsCustomDataVersion2">
      <go:sheetsCustomData xmlns:go="http://customooxmlschemas.google.com/" r:id="rId1" roundtripDataSignature="AMtx7mhfvZuNmEmE7kWyxJMMHKUC8AmE1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I5">
      <text>
        <t xml:space="preserve">======
ID#AAABerpAkOA
Fabrizio Scalfino    (2025-02-25 01:42:57)
Detallar la forma en la cual los socios harán la devolución del monto aportado por parte del inversionista, considerando su ganancia.</t>
      </text>
    </comment>
  </commentList>
  <extLst>
    <ext uri="GoogleSheetsCustomDataVersion2">
      <go:sheetsCustomData xmlns:go="http://customooxmlschemas.google.com/" r:id="rId1" roundtripDataSignature="AMtx7mjA8+i0VMxVfaUO006w1fO0mAhToA=="/>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E3">
      <text>
        <t xml:space="preserve">======
ID#AAAB_4_4IXY
Martina Miranda    (2026-06-20 19:57:38)
El crédito da 6 meses de gracia sobre el capital</t>
      </text>
    </comment>
    <comment authorId="0" ref="C4">
      <text>
        <t xml:space="preserve">======
ID#AAAB_4_4IXQ
Martina Miranda    (2026-06-20 19:49:50)
TNA del préstamo = (TNA activa BNA [24%] ÷ 2) + 2% = 14% / Fuente: https://www.bna.com.ar/home/informacionalusuariofinanciero</t>
      </text>
    </comment>
  </commentList>
  <extLst>
    <ext uri="GoogleSheetsCustomDataVersion2">
      <go:sheetsCustomData xmlns:go="http://customooxmlschemas.google.com/" r:id="rId1" roundtripDataSignature="AMtx7mjvb9bAg6pXTS5MTePY9199ewcF4A=="/>
    </ext>
  </extL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M269">
      <text>
        <t xml:space="preserve">======
ID#AAACDRzC8wY
Martina Miranda    (2026-07-19 14:55:43)
Esto es para calcular los gastos de stock inicial en enero. Vamos a hacer una compra inicial por 3 meses, y luego reposición de lo vendido en el mes. Aca no calculamos inflacion pero si en el cashflow</t>
      </text>
    </comment>
    <comment authorId="0" ref="G37">
      <text>
        <t xml:space="preserve">======
ID#AAAB-RdllCA
Martina Miranda    (2026-06-25 03:06:04)
Es un tipo de cambio estimativo para el año siguiente basado en distintas proyecciones: https://www.eldestapeweb.com/economia/cuando-se-va-el-dolar-a-2-000-en-argentina-segun-una-consultora-de-referencia-mundial-2026424191933 y https://j2t.com/es/solutions/blogview/pronostico-del-dolar-blue/</t>
      </text>
    </comment>
    <comment authorId="0" ref="E258">
      <text>
        <t xml:space="preserve">======
ID#AAACDRzC8wU
Martina Miranda    (2026-07-19 14:06:36)
Se calcularon con un margen bruto de ganancia de 60% en base a los costos. Salvo el Corporate Wine Box, con un 30% de ganancia ya que es por mayor</t>
      </text>
    </comment>
    <comment authorId="0" ref="E269">
      <text>
        <t xml:space="preserve">======
ID#AAACDRzC8wQ
Martina Miranda    (2026-07-19 13:47:58)
Linkeado a la estimacion de domos</t>
      </text>
    </comment>
    <comment authorId="0" ref="B41">
      <text>
        <t xml:space="preserve">======
ID#AAAB_YDYjTI
Gonzalo Quintana    (2026-07-08 01:24:52)
Se podría plantear un FO más conservador? 
Está bastante por encima del promedio de la plaza</t>
      </text>
    </comment>
    <comment authorId="0" ref="F284">
      <text>
        <t xml:space="preserve">======
ID#AAACDRzC8ws
Martina Miranda    (2026-07-19 15:35:11)
Acá como es por evento no hay compra inicial. Calculamos 2% inflación</t>
      </text>
    </comment>
    <comment authorId="0" ref="C39">
      <text>
        <t xml:space="preserve">======
ID#AAAB-RdllCE
Martina Miranda    (2026-06-25 03:07:03)
Calculamos una suba del 5% a las tarifas en dolares, además del nuevo tipo de cambio</t>
      </text>
    </comment>
    <comment authorId="0" ref="L269">
      <text>
        <t xml:space="preserve">======
ID#AAACDRzC8wg
Martina Miranda    (2026-07-19 15:03:56)
En cada mes calculamos un 2% de inflacion</t>
      </text>
    </comment>
  </commentList>
  <extLst>
    <ext uri="GoogleSheetsCustomDataVersion2">
      <go:sheetsCustomData xmlns:go="http://customooxmlschemas.google.com/" r:id="rId1" roundtripDataSignature="AMtx7mhmiOg24RFLQdfeCG9DHQEdXLkY+w=="/>
    </ext>
  </extL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5">
      <text>
        <t xml:space="preserve">======
ID#AAAAdPNOPNw
    (2022-07-26 16:02:21)
(2022-07-26 16:02:21)
Se abona en aquellos meses en que se presenten ganancias (ESQUEMA SIMPLIFICADO)</t>
      </text>
    </comment>
    <comment authorId="0" ref="B32">
      <text>
        <t xml:space="preserve">======
ID#AAACDRzC8wk
Martina Miranda    (2026-07-19 15:23:13)
Para stock primeros 3 meses</t>
      </text>
    </comment>
    <comment authorId="0" ref="C32">
      <text>
        <t xml:space="preserve">======
ID#AAACDRzC8wo
Martina Miranda    (2026-07-19 15:24:02)
Se compra lo que se vendió el mes anterior. calculamos 2% de inflacion.</t>
      </text>
    </comment>
    <comment authorId="0" ref="A30">
      <text>
        <t xml:space="preserve">======
ID#AAAB-RO_pA8
Martina Miranda    (2026-06-24 18:15:34)
En la matriz de gastos está calculado a la ocupación 100% - cada mes lo multiplicamos por el FO en spa + el 2% de inflación acumulada</t>
      </text>
    </comment>
    <comment authorId="0" ref="A28">
      <text>
        <t xml:space="preserve">======
ID#AAAB-RO_pA0
Martina Miranda    (2026-06-24 17:52:23)
En la matriz de gastos está calculado a la ocupación 100% - cada mes lo multiplicamos por el FO en domo + el 2% de inflación acumulada</t>
      </text>
    </comment>
    <comment authorId="0" ref="A26">
      <text>
        <t xml:space="preserve">======
ID#AAACDR2rL1E
Martina Miranda    (2026-07-18 23:13:34)
Estimamos 3mil usd x influencer. las colaboraciones son cada 3 meses pero lo prorrateamos anualmente. 3mil x 4 x 2 / 12 = 2.000usd x mes
En el 3er año es cada 6 meses</t>
      </text>
    </comment>
    <comment authorId="0" ref="A24">
      <text>
        <t xml:space="preserve">======
ID#AAAB-RO_pB0
Martina Miranda    (2026-06-24 19:04:56)
Calculando que un 70% de las ventas vienen de booking en el primer año. En el segundo un 50% y en el tercero un 40%</t>
      </text>
    </comment>
    <comment authorId="0" ref="A55">
      <text>
        <t xml:space="preserve">======
ID#AAAB_YDYjTQ
Gonzalo Quintana    (2026-07-08 01:29:23)
No recuperan capital?</t>
      </text>
    </comment>
    <comment authorId="0" ref="M67">
      <text>
        <t xml:space="preserve">======
ID#AAAAnqUZKcs
Fabrizio Scalfino    (2023-03-30 13:37:33)
Retiro de socios (último mes del ejercicio)</t>
      </text>
    </comment>
    <comment authorId="0" ref="A22">
      <text>
        <t xml:space="preserve">======
ID#AAAB-RO_o_8
Martina Miranda    (2026-06-24 16:45:59)
el 50% de los ingresos x spa</t>
      </text>
    </comment>
    <comment authorId="0" ref="A53">
      <text>
        <t xml:space="preserve">======
ID#AAACDR2rL00
Martina Miranda    (2026-07-18 21:17:31)
Google Workspace 3 usuarios</t>
      </text>
    </comment>
    <comment authorId="0" ref="A20">
      <text>
        <t xml:space="preserve">======
ID#AAAB-SApfR4
Martina Miranda    (2026-06-24 23:10:44)
Ligado al FO domos</t>
      </text>
    </comment>
    <comment authorId="0" ref="A51">
      <text>
        <t xml:space="preserve">======
ID#AAAB-RO_pBg
Martina Miranda    (2026-06-24 18:47:55)
por persona anual</t>
      </text>
    </comment>
    <comment authorId="0" ref="A49">
      <text>
        <t xml:space="preserve">======
ID#AAAB-RO_pBo
Martina Miranda    (2026-06-24 18:56:06)
por persona</t>
      </text>
    </comment>
    <comment authorId="0" ref="A14">
      <text>
        <t xml:space="preserve">======
ID#AAABBNqbo0k
Fabrizio Scalfino    (2023-11-25 15:29:59)
Obtener de "6.5 Sueldos y cargas sociales"</t>
      </text>
    </comment>
    <comment authorId="0" ref="A43">
      <text>
        <t xml:space="preserve">======
ID#AAACAF7nmKc
Martina Miranda    (2026-06-24 04:20:02)
https://www.economianqn.gob.ar/contenido/file/12305 // El ultimo aumento de esto fue hace bastante, no se si corresponde aumentar mensualmente</t>
      </text>
    </comment>
    <comment authorId="0" ref="Z67">
      <text>
        <t xml:space="preserve">======
ID#AAAAnqUZKcw
Fabrizio Scalfino    (2023-03-30 13:37:58)
Retiro de socios (último mes del ejercicio)</t>
      </text>
    </comment>
    <comment authorId="0" ref="A39">
      <text>
        <t xml:space="preserve">======
ID#AAAB-O79WXM
Martina Miranda    (2026-06-24 03:28:00)
Con los paneles solares estimamos un 50% del consumo // Fuente precios: https://www.epen.gov.ar/wp-content/uploads/2026/06/CT-consumos-06_2026.pdf</t>
      </text>
    </comment>
    <comment authorId="0" ref="A37">
      <text>
        <t xml:space="preserve">======
ID#AAAB-RO_pAE
Martina Miranda    (2026-06-24 17:10:35)
Cotización de FEDERACION PATRONAL Total  6.182.588,69 en 12 cuotas de 515.215,72 // El interés lo calculamos anualmente</t>
      </text>
    </comment>
    <comment authorId="0" ref="A35">
      <text>
        <t xml:space="preserve">======
ID#AAAB-RO_pBE
Martina Miranda    (2026-06-24 18:22:30)
Compra cada 6 meses</t>
      </text>
    </comment>
    <comment authorId="0" ref="A31">
      <text>
        <t xml:space="preserve">======
ID#AAACDPudtPw
Martina Miranda    (2026-07-19 04:41:54)
En la matriz de gastos se calcula por jornada. Lo multiplicamos por ventas esperadas + inflación</t>
      </text>
    </comment>
    <comment authorId="0" ref="A29">
      <text>
        <t xml:space="preserve">======
ID#AAAB-RO_pA4
Martina Miranda    (2026-06-24 18:06:51)
En la matriz de gastos está calculado a la ocupación 100% - cada mes lo multiplicamos por el FO en domo + el 2% de inflación acumulada</t>
      </text>
    </comment>
    <comment authorId="0" ref="AM67">
      <text>
        <t xml:space="preserve">======
ID#AAAAnqUZKc0
Fabrizio Scalfino    (2023-03-30 13:42:35)
Retiro de socios (Último mes del ejercicio)</t>
      </text>
    </comment>
    <comment authorId="0" ref="A60">
      <text>
        <t xml:space="preserve">======
ID#AAAAIiVKIzk
    (2021-05-18 18:03:32)
(2021-05-18 18:03:32)
NO MODIFICAR FÓRMULA. Se aplica sobre la facturación del mes</t>
      </text>
    </comment>
    <comment authorId="0" ref="A27">
      <text>
        <t xml:space="preserve">======
ID#AAAB-RO_pAs
Martina Miranda    (2026-06-24 17:46:56)
En la matriz de gastos está calculado a la ocupación 100% - cada mes lo multiplicamos por el FO en restaurante + el 2% de inflación acumulada</t>
      </text>
    </comment>
    <comment authorId="0" ref="A58">
      <text>
        <t xml:space="preserve">======
ID#AAACAGO5BCg
Martina Miranda    (2026-06-24 12:02:30)
BPN ofrece primeros 12 meses bonificados para empresas (https://www.bpn.com.ar/Empresas/NegociosPlus)
Costo mensual a marzo 2026 mantenimiento personas jurídicas $30.180 + iva (https://apiapp.bpn.com.ar/Resources/Files/dd851b2d5788482b916a6a8e46c20e2c.pdf)</t>
      </text>
    </comment>
    <comment authorId="0" ref="A56">
      <text>
        <t xml:space="preserve">======
ID#AAABBNqbo0g
    (2023-11-25 15:29:26)
(2023-11-25 15:29:26)
Obtener de "6.2.1 Detalle devolución préstamo"</t>
      </text>
    </comment>
    <comment authorId="0" ref="A23">
      <text>
        <t xml:space="preserve">======
ID#AAAB-RO_pAI
Martina Miranda    (2026-06-24 17:17:54)
En la matriz de gastos está calculado a la ocupación 100% - cada mes lo multiplicamos por el FO + el 2% de inflación acumulada</t>
      </text>
    </comment>
    <comment authorId="0" ref="A21">
      <text>
        <t xml:space="preserve">======
ID#AAAB-SApfR8
Martina Miranda    (2026-06-24 23:10:59)
Son siempre 2 clases por día</t>
      </text>
    </comment>
    <comment authorId="0" ref="A52">
      <text>
        <t xml:space="preserve">======
ID#AAAB-O79WXA
Martina Miranda    (2026-06-24 03:04:30)
Es anual https://nic.ar/es/dominios/aranceles</t>
      </text>
    </comment>
    <comment authorId="0" ref="A50">
      <text>
        <t xml:space="preserve">======
ID#AAAB-RO_pBk
Martina Miranda    (2026-06-24 18:55:55)
por grupo</t>
      </text>
    </comment>
    <comment authorId="0" ref="A17">
      <text>
        <t xml:space="preserve">======
ID#AAAB-O79WWc
Martina Miranda    (2026-06-24 02:29:32)
Precio x hora: $11.317 se pensaron 30hs mensuales</t>
      </text>
    </comment>
    <comment authorId="0" ref="A48">
      <text>
        <t xml:space="preserve">======
ID#AAAB-O79WWY
Martina Miranda    (2026-06-24 02:26:10)
Incluye capacitación inicial + asistencia</t>
      </text>
    </comment>
    <comment authorId="0" ref="A46">
      <text>
        <t xml:space="preserve">======
ID#AAAB-RO_pBY
Martina Miranda    (2026-06-24 18:43:47)
Esto debe ser ser mas ocasionalmente, no estoy segura de cómo calcularlo</t>
      </text>
    </comment>
    <comment authorId="0" ref="A42">
      <text>
        <t xml:space="preserve">======
ID#AAAB-O79WXY
Martina Miranda    (2026-06-24 04:12:45)
Ley 3541 nqn Art 12 inc. b</t>
      </text>
    </comment>
    <comment authorId="0" ref="A38">
      <text>
        <t xml:space="preserve">======
ID#AAAB-RO_pBQ
Martina Miranda    (2026-06-24 18:31:54)
https://cptn.org.ar/honorarios-minimos-sugeridos/</t>
      </text>
    </comment>
    <comment authorId="0" ref="B69">
      <text>
        <t xml:space="preserve">======
ID#AAAB_3jnmL8
Antonella Silveira    (2026-06-17 22:17:13)
Si da negativo, al mes siguiente tengo que iniciar con $0</t>
      </text>
    </comment>
    <comment authorId="0" ref="A67">
      <text>
        <t xml:space="preserve">======
ID#AAAB_3jnmLs
Antonella Silveira    (2026-06-17 22:14:44)
Cuando se pierde plata no se hace retiro (saldo final de caja acumulado)
------
ID#AAAB_YDYjTg
Gonzalo Quintana    (2026-07-08 01:30:11)
A partir del año 2, pueden hacer retiros más generosos</t>
      </text>
    </comment>
    <comment authorId="0" ref="A34">
      <text>
        <t xml:space="preserve">======
ID#AAAB-SApfSA
Martina Miranda    (2026-06-24 23:27:17)
En la matriz de gastos está calculado a la ocupación 100% - cada mes lo multiplicamos por el FO en domo + el 2% de inflación acumulada</t>
      </text>
    </comment>
  </commentList>
  <extLst>
    <ext uri="GoogleSheetsCustomDataVersion2">
      <go:sheetsCustomData xmlns:go="http://customooxmlschemas.google.com/" r:id="rId1" roundtripDataSignature="AMtx7mjW21R7dmxidXfzJJIMmVcJCpDDnA=="/>
    </ext>
  </extL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63">
      <text>
        <t xml:space="preserve">======
ID#AAAB-O79WTo
Antonella Silveira    (2026-06-23 21:48:54)
24 sesiones × 1 botella = 24 botellas por mes</t>
      </text>
    </comment>
    <comment authorId="0" ref="C162">
      <text>
        <t xml:space="preserve">======
ID#AAAB-O79WT0
Antonella Silveira    (2026-06-23 21:50:31)
Aprox 120g por sesión</t>
      </text>
    </comment>
    <comment authorId="0" ref="C161">
      <text>
        <t xml:space="preserve">======
ID#AAAB-O79WTw
Antonella Silveira    (2026-06-23 21:50:19)
Aprox 120g por sesión</t>
      </text>
    </comment>
    <comment authorId="0" ref="C160">
      <text>
        <t xml:space="preserve">======
ID#AAAB-O79WTs
Antonella Silveira    (2026-06-23 21:49:49)
Aprox 80g por sesión</t>
      </text>
    </comment>
    <comment authorId="0" ref="C159">
      <text>
        <t xml:space="preserve">======
ID#AAAB-O79WTk
Antonella Silveira    (2026-06-23 21:28:22)
24 tinas / 6 botellas por caja (1 botella por turno)</t>
      </text>
    </comment>
    <comment authorId="0" ref="C158">
      <text>
        <t xml:space="preserve">======
ID#AAAB-O79WTg
Antonella Silveira    (2026-06-23 21:28:01)
48 limpiezas, estimando 5 ml por limpieza</t>
      </text>
    </comment>
    <comment authorId="0" ref="C157">
      <text>
        <t xml:space="preserve">======
ID#AAAB-O79WTY
Antonella Silveira    (2026-06-23 21:27:36)
48 limpiezas, estimando 5 ml por limpieza</t>
      </text>
    </comment>
    <comment authorId="0" ref="C156">
      <text>
        <t xml:space="preserve">======
ID#AAAB-O79WTU
Antonella Silveira    (2026-06-23 21:27:25)
48 limpiezas, estimando 5 ml por limpieza</t>
      </text>
    </comment>
    <comment authorId="0" ref="A89">
      <text>
        <t xml:space="preserve">======
ID#AAACAGO5BHc
Martina Miranda    (2026-06-24 15:04:39)
Calculando ocupación completa 30 comensales x noche x mes</t>
      </text>
    </comment>
    <comment authorId="0" ref="A153">
      <text>
        <t xml:space="preserve">======
ID#AAAB-O79WT4
Antonella Silveira    (2026-06-23 21:52:52)
Turnos disponibles por día al 100% de capacidad:
Masajes: 3 turnos x día, 72 mensuales
Limpieza facial: 2 turnos por día, 48 mensuales
Vinoterapia: 1 turno por día, 24 mensuales</t>
      </text>
    </comment>
    <comment authorId="0" ref="C155">
      <text>
        <t xml:space="preserve">======
ID#AAAB-O79WTQ
Antonella Silveira    (2026-06-23 21:27:12)
72 masajes, estimando 20 ml por masaje</t>
      </text>
    </comment>
    <comment authorId="0" ref="A36">
      <text>
        <t xml:space="preserve">======
ID#AAAB-RO_o_o
Martina Miranda    (2026-06-24 16:10:12)
https://www.augustafh.com.ar/h2o.php</t>
      </text>
    </comment>
  </commentList>
  <extLst>
    <ext uri="GoogleSheetsCustomDataVersion2">
      <go:sheetsCustomData xmlns:go="http://customooxmlschemas.google.com/" r:id="rId1" roundtripDataSignature="AMtx7mj5XJYFB3sxp4XRrmlmY+bEZzfRPg=="/>
    </ext>
  </extLst>
</comments>
</file>

<file path=xl/sharedStrings.xml><?xml version="1.0" encoding="utf-8"?>
<sst xmlns="http://schemas.openxmlformats.org/spreadsheetml/2006/main" count="1841" uniqueCount="1107">
  <si>
    <t xml:space="preserve">Tipo de cambio utilizado para inversiones en USD: </t>
  </si>
  <si>
    <t>TC DOLAR</t>
  </si>
  <si>
    <t xml:space="preserve">Fecha del tipo de cambio: </t>
  </si>
  <si>
    <t>INVERSIONES REQUERIDAS</t>
  </si>
  <si>
    <t>NUCLEO HABITACIONAL</t>
  </si>
  <si>
    <t>No modificar fórmulas</t>
  </si>
  <si>
    <t>ESPACIOS DE TRABAJO</t>
  </si>
  <si>
    <t>ESPACIOS COMUNES</t>
  </si>
  <si>
    <t>ARQUITECTURA</t>
  </si>
  <si>
    <t>TERRENO/INMUEBLE</t>
  </si>
  <si>
    <t>HABILITACIONES</t>
  </si>
  <si>
    <t>COMUNICACIÓN / COMERCIALIZACION</t>
  </si>
  <si>
    <t>PRE - INGRESO AL NEGOCIO</t>
  </si>
  <si>
    <t>INVERSION TOTAL REQUERIDA</t>
  </si>
  <si>
    <t>FINANCIACIÓN</t>
  </si>
  <si>
    <t>FINANCIACIÓN PROPIA (A)</t>
  </si>
  <si>
    <t>FINANCIACIÓN EXTERNA (B)</t>
  </si>
  <si>
    <t>FINANCIACIÓN DE INVERSIONISTAS (C)</t>
  </si>
  <si>
    <t>FINANCIACIÓN TOTAL OBTENIDA (A+B+C)</t>
  </si>
  <si>
    <t>Liquidez inicial (Financiación total – inversión total)</t>
  </si>
  <si>
    <t xml:space="preserve">Es necesario, a la hora de calcular la inversión necesaria, analizar todos los aspectos a incluir en el cálculo. 
Para ello, se sugiere un modelo como el presentado a continuación (es un ejemplo, no todos los conceptos le aplicarán a su proyecto, y quizá algunos de los que sí apliquen deberán agregarlos). </t>
  </si>
  <si>
    <t>DOMOS</t>
  </si>
  <si>
    <t>Precio unitario</t>
  </si>
  <si>
    <t>Unidades</t>
  </si>
  <si>
    <t>Subtotal</t>
  </si>
  <si>
    <t>Link de referencia del producto/servicio</t>
  </si>
  <si>
    <t xml:space="preserve">Sommier 1 1/2 plaza </t>
  </si>
  <si>
    <t>https://www.mercadolibre.com.ar/sommier-y-colchon-1-12-plaza100x190-bedtime-top-hotel-spa-gris/p/MLA61083247#polycard_client=search-desktop&amp;be_origin=backend&amp;search_layout=grid&amp;position=3&amp;type=product&amp;tracking_id=98ad0d0e-198c-4f85-8446-1b3a5207b038&amp;wid=MLA2490236402&amp;sid=search</t>
  </si>
  <si>
    <t>Pillow para colchon (200x190cm)</t>
  </si>
  <si>
    <t>https://www.mercadolibre.com.ar/pillow-top-unificador-unir-colchones-200x190-hotel/up/MLAU449290682#polycard_client=search-desktop&amp;be_origin=backend&amp;search_layout=grid&amp;position=2&amp;type=product&amp;tracking_id=4782507d-d349-4300-853d-75a9867f86c2&amp;wid=MLA1441937481&amp;sid=search</t>
  </si>
  <si>
    <t>Cube colchón 1 1/2 plaza</t>
  </si>
  <si>
    <t>https://www.mariageshome.com.ar/productos/cubrecolchon-protector-ajustable-marca-espalma-twin-size-109dr/</t>
  </si>
  <si>
    <t>Cubre colchón king</t>
  </si>
  <si>
    <t>https://www.mariageshome.com.ar/productos/cubrecolchon-protector-ajustable-marca-espalma-king-size-1te0q/</t>
  </si>
  <si>
    <t>Cubre sommier 1 1/2 plaza</t>
  </si>
  <si>
    <t>https://www.selvadebohemia.com.ar/productos/cubre-sommier-elastizado/?variant=544559900&amp;pf=mc&amp;gad_source=1&amp;gad_campaignid=22173999056&amp;gbraid=0AAAAA-sGJmj-cPlDRiwaSc4jmpbyd-wyQ&amp;gclid=CjwKCAjwxb7RBhA5EiwAQ-AAdB9EwwQD_ObNCjwrKx3EfFKn91sUidrn0uV-XQ301bblBUavyDc9NhoCG1IQAvD_BwE</t>
  </si>
  <si>
    <t>Mesa barrica</t>
  </si>
  <si>
    <t>https://www.mercadolibre.com.ar/barril-mesa-vintage-de-madera-premium-factoria-studio/up/MLAU181172002#polycard_client=search-desktop&amp;be_origin=backend&amp;search_layout=grid&amp;position=10&amp;type=product&amp;tracking_id=28d99ac4-93e9-4019-a375-afb7f62242ba&amp;wid=MLA3365003112&amp;sid=search</t>
  </si>
  <si>
    <t>Mesa de luz x2</t>
  </si>
  <si>
    <t>https://www.mercadolibre.com.ar/mesa-de-luz-paparulo-muebles-auxiliares-melamina-60x40x30-cm-color-atakama-x2/p/MLA53360401?product_trigger_id=MLA53297574&amp;pdp_filters=item_id%3AMLA3280208240&amp;applied_product_filters=MLA55894029&amp;picker=true&amp;quantity=1</t>
  </si>
  <si>
    <t>Velador de pared pack x3</t>
  </si>
  <si>
    <t>https://www.dantehogar.com.ar/productos/aplique-chalten/</t>
  </si>
  <si>
    <t>Placard</t>
  </si>
  <si>
    <t>https://www.mercadolibre.com.ar/ropero-vestidor-abierto-de-pino-120-mt/up/MLAU164433791#polycard_client=search-desktop&amp;be_origin=backend&amp;search_layout=grid&amp;position=46&amp;type=product&amp;float_highlight=last_units&amp;tracking_id=a06246be-ba51-4958-a6d2-d45be798a4a3&amp;wid=MLA859377434&amp;sid=search</t>
  </si>
  <si>
    <t>Frigobar</t>
  </si>
  <si>
    <t>https://vondom.com.ar/collections/frigobares/products/frigobar-con-motor-compresor-negro-46-l</t>
  </si>
  <si>
    <t>Alfombra</t>
  </si>
  <si>
    <t>https://www.etiqueta-blanca.com/productos/alfombra-nordica-pelo-largo-city-blanco/?variant=1287135335&amp;pf=mc&amp;network=x&amp;campaign=23641558052&amp;group=&amp;creative=&amp;keyword=&amp;device=c&amp;matchtype=&amp;gad_source=1&amp;gad_campaignid=23646208465&amp;gbraid=0AAAAACKlB8PdEK40tf1KsPkmQ-NaG3JK8&amp;gclid=Cj0KCQjw0JnRBhDJARIsALobnXbum18zx6NgBDESAZMfDRjoRDmAA8No7O9CjOl-e-qJ01LU4gD13uQaAmVpEALw_wcB</t>
  </si>
  <si>
    <t xml:space="preserve"> </t>
  </si>
  <si>
    <t>Hidromasaje</t>
  </si>
  <si>
    <t>https://hidromasajesdeluxe.com.ar/jacuzzi-minimalista-180x120-deluxe-classic-eco-8-jets-blanco-rtid33BB5qdBmS/</t>
  </si>
  <si>
    <t>Cortinas 300cm x 220cm</t>
  </si>
  <si>
    <t>https://rollermarket.com.ar/cortinas-a-medida/3747-cortina-a-medida.html?utm_term=&amp;utm_campaign=PMax+Roller+Market+-+Feed+%2B+terminos+ganadores+-+2026-05-27&amp;utm_source=adwords&amp;utm_medium=ppc&amp;hsa_acc=2750119346&amp;hsa_cam=23890145215&amp;hsa_grp=&amp;hsa_ad=&amp;hsa_src=x&amp;hsa_tgt=&amp;hsa_kw=&amp;hsa_mt=&amp;hsa_net=adwords&amp;hsa_ver=3&amp;gad_source=1&amp;gad_campaignid=23890165858&amp;gbraid=0AAAAACbpgpuddOhjM852-VjpY_9JU2xI0&amp;gclid=CjwKCAjw857RBhAgEiwAI-1yKHVWQ6KLf4XessEMeH4RspuUViQtOxPH0rcuLXHi-a5ZUwG94RAHQhoC2g4QAvD_BwE</t>
  </si>
  <si>
    <t>Sabanas 1 1/2 plaza 400 hilos</t>
  </si>
  <si>
    <t>https://www.mariageshome.com.ar/productos/set-de-sabanas-100-algodon-egipcio-400-hilos-importadas-twin-size/?variant=1093853530</t>
  </si>
  <si>
    <t>Sábanas king 400 hilos</t>
  </si>
  <si>
    <t>https://www.mariageshome.com.ar/productos/set-de-sabanas-100-algodon-egipcio-400-hilos-importadas-king-size/</t>
  </si>
  <si>
    <t>Almohadas</t>
  </si>
  <si>
    <t>https://www.duvet.com.ar/productos/Almohada-DH-Hotel-Collection-Signature/</t>
  </si>
  <si>
    <t>Edredon king</t>
  </si>
  <si>
    <t>https://www.mariageshome.com.ar/productos/duvet-edredon-de-pluma-ecologica-king-hungarian-ecodown-importado-copia-jypit/</t>
  </si>
  <si>
    <t>Edredon twin</t>
  </si>
  <si>
    <t>https://www.mariageshome.com.ar/productos/duvet-edredon-de-pluma-ecologica-twin-hungarian-ecodown-importado-copia-sgz75/</t>
  </si>
  <si>
    <t>Fundas de almohadas (pack x2)</t>
  </si>
  <si>
    <t>https://lbh.com.ar/productos/pack-x-2-fundas-de-almohadas-la-bastilla-linea-hotelera/</t>
  </si>
  <si>
    <t>Secador de pelo</t>
  </si>
  <si>
    <t>https://www.mercadolibre.com.ar/secador-de-hotel-hotelero-pared-1600w-bprof-air-power-2500/up/MLAU3880604113#polycard_client=search-desktop&amp;be_origin=backend&amp;search_layout=grid&amp;position=2&amp;type=product&amp;tracking_id=5fb8ca27-9d68-4aed-b786-c2d8e6e59120&amp;wid=MLA1737441613&amp;sid=search</t>
  </si>
  <si>
    <t>Aire acondicionado Frío-Calor</t>
  </si>
  <si>
    <t>https://www.mercadolibre.com.ar/aire-acondicionado-hisense-split-frio-calor-4472-frigorias/p/MLA36962630?pdp_filters=item_id%3AMLA2239341698&amp;from=gshop&amp;matt_tool=80761995&amp;matt_word=&amp;matt_source=google&amp;matt_campaign_id=23390548961&amp;matt_ad_group_id=189479918543&amp;matt_match_type=&amp;matt_network=g&amp;matt_device=c&amp;matt_creative=789984784519&amp;matt_keyword=&amp;matt_ad_position=&amp;matt_ad_type=pla&amp;matt_merchant_id=735078350&amp;matt_product_id=MLA36962630-product&amp;matt_product_partition_id=2455352449135&amp;matt_target_id=aud-1965625651133:pla-2455352449135&amp;cq_src=google_ads&amp;cq_cmp=23390548961&amp;cq_net=g&amp;cq_plt=gp&amp;cq_med=pla&amp;gad_source=1&amp;gad_campaignid=23390548961&amp;gbraid=0AAAAAD01zQbqdfgbP8P0ZzJfKpsUQFJie&amp;gclid=CjwKCAjw857RBhAgEiwAI-1yKEx5cQNgRMCGKjwRl3JN7xCh_V5dz8pe3eyRk-Sm5z8ANqDNISbfLBoCVekQAvD_BwE</t>
  </si>
  <si>
    <t>Sofá 2 cuerpos</t>
  </si>
  <si>
    <t>https://www.mercadolibre.com.ar/sillon-2-cuerpos-tapizado-160-m-dadaa-chenille-premium-a-eleccion/p/MLA45287624?pdp_filters=item_id%3AMLA1563055327&amp;from=gshop&amp;matt_tool=45201162&amp;matt_word=&amp;matt_source=google&amp;matt_campaign_id=23390548541&amp;matt_ad_group_id=189479840543&amp;matt_match_type=&amp;matt_network=g&amp;matt_device=c&amp;matt_creative=789984777247&amp;matt_keyword=&amp;matt_ad_position=&amp;matt_ad_type=pla&amp;matt_merchant_id=735078350&amp;matt_product_id=MLA45287624-product&amp;matt_product_partition_id=2388009772746&amp;matt_target_id=pla-2388009772746&amp;cq_src=google_ads&amp;cq_cmp=23390548541&amp;cq_net=g&amp;cq_plt=gp&amp;cq_med=pla&amp;gad_source=1&amp;gad_campaignid=23390548541&amp;gbraid=0AAAAAD01zQY3SI-ewIOzBmtJ7G0m7J3KS&amp;gclid=CjwKCAjw0dPRBhAPEiwAE5vTTlOzy1jN5MHR9qXjYoIW3w3YH2Uuj1hs0DSCNnd5MqU8fcXPgMqgihoCQSYQAvD_BwE</t>
  </si>
  <si>
    <t xml:space="preserve">Lámpara de techo </t>
  </si>
  <si>
    <t>https://www.mercadolibre.com.ar/lampara-colgante-rattan-con-madera-cable-de-yute-rapsodia/up/MLAU4082919948#polycard_client=search-desktop&amp;be_origin=backend&amp;search_layout=grid&amp;position=21&amp;type=product&amp;tracking_id=2e3385f4-19e7-4de6-be58-760db7a62fb1&amp;wid=MLA3448186568&amp;sid=search</t>
  </si>
  <si>
    <t>Toma corrientes doble</t>
  </si>
  <si>
    <t>https://www.mercadolibre.com.ar/tapa-llave--luz-armada-sica-i--caja-soporte-blanco-x-1-pack/up/MLAU3220329142?picker=true&amp;quantity=1</t>
  </si>
  <si>
    <t>Pie de cama king+ almohadones decorativos</t>
  </si>
  <si>
    <t>https://www.mercadolibre.com.ar/pie-de-cama-king-manta-tusor-con-fundas-de-almohadon/up/MLAU3324714340?pdp_filters=seller_id%3A403328713#polycard_client=recommendations_vip-seller_items-above&amp;reco_backend=ranker-retsys-same-seller&amp;reco_model=rk_entity_sameseller&amp;reco_client=vip-seller_items-above&amp;reco_item_pos=1&amp;reco_backend_type=low_level&amp;reco_id=398965fa-5aeb-4269-9bac-3d68a4c594de&amp;wid=MLA2200132566&amp;sid=recos</t>
  </si>
  <si>
    <t>Pie de cama 1 1/2 plaza + almohadones decorativos</t>
  </si>
  <si>
    <t>https://www.mercadolibre.com.ar/manta-tusor-algodon-100x190-con-fundas-de-almohadones/up/MLAU3284683660?pdp_filters=item_id%3AMLA1509138681#polycard_client=mshops-appearance-api&amp;component=relevant_item_container&amp;wid=MLA1509138681&amp;title=Nuestro+Producto+Estrella&amp;tracking_id=dddb56378836529d8bd7907da99880ac&amp;sid=storefronts&amp;global_position=6</t>
  </si>
  <si>
    <t>Tira luces led</t>
  </si>
  <si>
    <t>https://www.mercadolibre.com.ar/kit-manguera-luz-neon-5-mts-fuente-ficha-exterior-interior-resiste-al-agua-luminoso-flexible-levys-bazar-blanco-calido/p/MLA51438271#polycard_client=search-desktop&amp;be_origin=backend&amp;search_layout=grid&amp;position=27&amp;type=product&amp;tracking_id=47cb39e9-5314-4a65-bc9a-b9553fd311e3&amp;wid=MLA2129163576&amp;sid=search</t>
  </si>
  <si>
    <t>Bombilla de luz cálida led x 10</t>
  </si>
  <si>
    <t>https://www.mercadolibre.com.ar/10-lamparas-led-15w-120w-luz-calida-candela-clasica-6797/up/MLAU208216033#polycard_client=search-desktop&amp;be_origin=backend&amp;search_layout=grid&amp;position=4&amp;type=product&amp;float_highlight=last_units&amp;tracking_id=27d5f202-2011-4f45-a1ac-efb35f32cf03&amp;wid=MLA1440813034&amp;sid=search</t>
  </si>
  <si>
    <t>Maceta decorativa para piso</t>
  </si>
  <si>
    <t>https://articulo.mercadolibre.com.ar/MLA-1288017941-maceta-rotomoldeada-plastica-decorativa-rustica-inca-40cm-_JM?searchVariation=176204304602&amp;gallery_type=horizontal&amp;sizeForPhoto=416&amp;pdp_filters=official_store%3A63248#polycard_client%3Drecommendations_recoview-selleritems-eshops%26reco_backend%3Dsame-seller-odin%26reco_client%3Drecoview-selleritems-eshops%26reco_item_pos%3D0%26reco_backend_type%3Dlow_level%26reco_id%3D38792983-a5ac-404c-9c55-bd0dcb2924fc%26tracking_id%3D3a1a7bfd9f5d2df121c98cad927dae99%26source%3Deshops%26seller_id%3D256439218%26category_id%3DMLA11034</t>
  </si>
  <si>
    <t>Planta decorativa</t>
  </si>
  <si>
    <t>https://tienda.viveromario.com.ar/productos/areca1/</t>
  </si>
  <si>
    <t>Maceta decorativa para mesa</t>
  </si>
  <si>
    <t>https://www.mercadolibre.com.ar/maceta-de-diseno-ceramica-allegra-moderna-decoracion-n10-crema-allegra/p/MLA74056137#polycard_client=search-desktop&amp;be_origin=backend&amp;search_layout=grid&amp;position=35&amp;type=product&amp;tracking_id=2dd15244-66c1-4b6c-9b59-624751278ab0&amp;wid=MLA3485003090&amp;sid=search</t>
  </si>
  <si>
    <t>Pantuflas 37/38</t>
  </si>
  <si>
    <t>https://metroblanc.com.ar/producto/pantufla-hotel-de-toalla/?utm_term=&amp;utm_campaign=Compras+-+Shopping+Sales+Performance+28/6/23&amp;utm_source=adwords&amp;utm_medium=ppc&amp;hsa_acc=6513142586&amp;hsa_cam=20320539008&amp;hsa_grp=&amp;hsa_ad=&amp;hsa_src=x&amp;hsa_tgt=&amp;hsa_kw=&amp;hsa_mt=&amp;hsa_net=adwords&amp;hsa_ver=3&amp;gad_source=1&amp;gad_campaignid=20320543412&amp;gbraid=0AAAAAD6dP7HzzjQfRoqjjlCE_-YFzeoTb&amp;gclid=CjwKCAjw9NjRBhATEiwA_p2J8RvTnNpZm2eLGADl2aFaybN4FV9sOMZV0XxiLy2hWCwgdEJC3JxU1BoCRIkQAvD_BwE</t>
  </si>
  <si>
    <t>Pantuflas 42/43</t>
  </si>
  <si>
    <t>Llave de luz</t>
  </si>
  <si>
    <t>https://www.mercadolibre.com.ar/llaves-de-luz-armada-2-puntos-teclas-interruptores-jeluz/up/MLAU208261935#polycard_client=search-desktop&amp;be_origin=backend&amp;search_layout=grid&amp;position=7&amp;type=product&amp;tracking_id=e6112490-821a-433c-9ca1-b709bbfe0651&amp;wid=MLA904324375&amp;sid=search</t>
  </si>
  <si>
    <t>TOTAL DOMOS</t>
  </si>
  <si>
    <t xml:space="preserve">   </t>
  </si>
  <si>
    <t>BAÑOS</t>
  </si>
  <si>
    <t>Bidet</t>
  </si>
  <si>
    <t>https://www.mercadolibre.com.ar/bidet-para-bano-ceramica-sanitaria-europea-con-monocomando/up/MLAU3799755453#polycard_client=recommendations_pdp-pads-up&amp;wid=MLA2896780446&amp;sid=recos&amp;reco_backend=recomm_platform_base_pads_ron_MERGE&amp;reco_model=search_recos_backend_merge&amp;reco_client=pdp-pads-up&amp;reco_item_pos=1&amp;reco_backend_type=low_level&amp;reco_id=16382891-a21b-401c-8d35-39bdc778f1f3&amp;is_advertising=true&amp;ad_domain=PDPDESKTOP_UP&amp;ad_position=2&amp;ad_click_id=OTI0YjhkM2EtYmY1Yy00NTQ3LWI1YTctNjAyNjFlNTA0MjEx</t>
  </si>
  <si>
    <t>Plafón led cálido</t>
  </si>
  <si>
    <t>https://www.mercadolibre.com.ar/plafon-panel-led-12w-embutir-candela-estructura-blanco-calido/p/MLA19972328#polycard_client=search-desktop&amp;be_origin=backend&amp;search_layout=grid&amp;position=3&amp;type=product&amp;tracking_id=3fc95a82-1c9c-4ccf-8faf-9629027c627c&amp;wid=MLA1373198727&amp;sid=search</t>
  </si>
  <si>
    <t>Set de toalla, toallón y pie de baño</t>
  </si>
  <si>
    <t>https://lbh.com.ar/productos/set-toalla-toallon-piso-pie-de-ducha-marca-la-bastilla-linea-spa-modelo-hotel-670-gr-m2-x5lr5/</t>
  </si>
  <si>
    <t>Canasto organizador</t>
  </si>
  <si>
    <t>https://houseofgringa.com.ar/productos/canasto-duna-mini/?variant=333400690&amp;pf=mc&amp;gad_source=1&amp;gad_campaignid=22794314399&amp;gbraid=0AAAAA9SI1q8DizHky_9HlyHvc5dxax53b&amp;gclid=CjwKCAjw0dPRBhAPEiwAE5vTTh88-rIbxjt3Eetb2ZqiZGhhFH1-oeNhVAbNq4H9s16Htpa9YFkkLBoCqrkQAvD_BwE</t>
  </si>
  <si>
    <t>Dispenser triple (shampoo, acondicionador y jabón)</t>
  </si>
  <si>
    <t>https://www.mercadolibre.com.ar/dispenser-triple-liquido-jabon-para-bano-cocina-visor-pared/up/MLAU3907460693?pdp_filters=item_id%3AMLA3216862034&amp;from=gshop&amp;matt_tool=25256910&amp;matt_word=&amp;matt_source=google&amp;matt_campaign_id=23390548553&amp;matt_ad_group_id=189479849463&amp;matt_match_type=&amp;matt_network=g&amp;matt_device=c&amp;matt_creative=789984777784&amp;matt_keyword=&amp;matt_ad_position=&amp;matt_ad_type=pla&amp;matt_merchant_id=5694513414&amp;matt_product_id=MLAU3907460693&amp;matt_product_partition_id=2390507432878&amp;matt_target_id=pla-2390507432878&amp;cq_src=google_ads&amp;cq_cmp=23390548553&amp;cq_net=g&amp;cq_plt=gp&amp;cq_med=pla&amp;gad_source=1&amp;gad_campaignid=23390548553&amp;gbraid=0AAAAAD01zQZIUOKrHCC-KGzZRcMSnCBRM&amp;gclid=CjwKCAjw9NjRBhATEiwA_p2J8V0LXxBKSV1pmrOb3WYUuj53LHDFIIOA0-yLRWhaZF5wrjuMQ6t2IBoC3EgQAvD_BwE</t>
  </si>
  <si>
    <t>Dispenser de jabón y vaso</t>
  </si>
  <si>
    <t>https://www.tiendaslandmark.com.ar/product/set-dispenser-y-vaso-sasha-white-bec0002?gad_source=1&amp;gad_campaignid=23860445946&amp;gbraid=0AAAABDtSaqx4SQobRLG3_j_7RrK07gYJ9&amp;gclid=CjwKCAjw9NjRBhATEiwA_p2J8b7x8GN1mMKl1mH8m2sbq6pNTg0AMu5QOgPRYmsUIr_UQ9RPS14QpRoCI3sQAvD_BwE</t>
  </si>
  <si>
    <t>Porta rollo papel higiénico</t>
  </si>
  <si>
    <t>https://www.mercadolibre.com.ar/porta-rollo-soporte-papel-higienico-con-adhesivo-sin-perforacion-portarrollo-acero-inoxidable-2-posiciones-levys-bazar-color-plateado-accesorio-bano/p/MLA47405665?pdp_filters=item_id%3AMLA2143435272&amp;from=gshop&amp;matt_tool=99120742&amp;matt_word=&amp;matt_source=google&amp;matt_campaign_id=23390548556&amp;matt_ad_group_id=189479849503&amp;matt_match_type=&amp;matt_network=g&amp;matt_device=c&amp;matt_creative=789984777985&amp;matt_keyword=&amp;matt_ad_position=&amp;matt_ad_type=pla&amp;matt_merchant_id=735078350&amp;matt_product_id=MLA47405665-product&amp;matt_product_partition_id=2390507433038&amp;matt_target_id=pla-2390507433038&amp;cq_src=google_ads&amp;cq_cmp=23390548556&amp;cq_net=g&amp;cq_plt=gp&amp;cq_med=pla&amp;gad_source=1&amp;gad_campaignid=23390548556&amp;gbraid=0AAAAAD01zQZrtsKDsZMbUrqI8UYuE2HDz&amp;gclid=CjwKCAjw9NjRBhATEiwA_p2J8TQKDvbDcoh_BaMjiCZx6KAIwpPh_y4vDEuhhgshTKNV0_jg5zeDARoC4pcQAvD_BwE</t>
  </si>
  <si>
    <t>Cesto de basura + escobilla</t>
  </si>
  <si>
    <t>https://somosrex.com/set-de-escobilla-y-cesto-de-basura-negro-mate-3l.html?utm_source=rexpipol&amp;utm_medium=gperformancemaxpipol&amp;utm_campaign=performancemaxaopmax&amp;gad_source=1&amp;gad_campaignid=21702714145&amp;gbraid=0AAAAAD1uH0eZ0Fe836xSN3DRa87fbKH0O&amp;gclid=CjwKCAjwxb7RBhA5EiwAQ-AAdHFK-XTYylt2MiS14_vXtHhK9b01LjBd1q3PWVVFFArC4X89O-2gcxoCCRsQAvD_BwE</t>
  </si>
  <si>
    <t>TOTAL BAÑOS</t>
  </si>
  <si>
    <t>TOTAL NUCLEO HABITACIONAL</t>
  </si>
  <si>
    <t>RECEPCIÓN Y ADMINISTRACIÓN</t>
  </si>
  <si>
    <t>Mostrador de recepción</t>
  </si>
  <si>
    <t>https://articulo.mercadolibre.com.ar/MLA-3219295110-recibidor-oficina-mostrador-recepcion-consultorio-instalar-_JM?searchVariation=193474128470#polycard_client=search-desktop&amp;be_origin=backend&amp;searchVariation=193474128470&amp;search_layout=grid&amp;position=26&amp;type=item&amp;tracking_id=5963c1ce-d86d-4b74-8a4e-fc1341b67326</t>
  </si>
  <si>
    <t>Computadora de Escritorio completa</t>
  </si>
  <si>
    <t>https://www.microhardazul.com.ar/productos/pc-todo-en-uno-pcbox-s681w/?variant=1266066125&amp;pf=mc</t>
  </si>
  <si>
    <t>Silla de Escritorio</t>
  </si>
  <si>
    <t>https://www.mercadolibre.com.ar/silla-oficina-premium-escritorio-ergonomica-ejecutivo-pc-smart-tech-hy-807-mesh-color-negro/p/MLA35915863?pdp_filters=item_id:MLA1791703198&amp;matt_tool=53055365&amp;matt_internal_campaign_id=356413227&amp;matt_word=&amp;matt_source=google&amp;matt_campaign_id=23322223412&amp;matt_ad_group_id=194838764096&amp;matt_match_type=&amp;matt_network=g&amp;matt_device=c&amp;matt_creative=800756584492&amp;matt_keyword=&amp;matt_ad_position=&amp;matt_ad_type=pla&amp;matt_merchant_id=114215280&amp;matt_product_id=MLA1791703198&amp;matt_product_partition_id=2440723100054&amp;matt_target_id=aud-2430760955230:pla-2440723100054&amp;cq_src=google_ads&amp;cq_cmp=23322223412&amp;cq_net=g&amp;cq_plt=gp&amp;cq_med=pla&amp;gad_source=1&amp;gad_campaignid=23322223412&amp;gbraid=0AAAAAD01zQbiAoG58qmDTXh2eK57ZNqU8&amp;gclid=CjwKCAjwuanRBhBSEiwAY5y6V0RLjtpE714FM4KMPP3hRk4Wi_I6W0l_h8X7pIvbue6b1eTPgoXhVRoCjDQQAvD_BwE</t>
  </si>
  <si>
    <t>Extensor de señal</t>
  </si>
  <si>
    <t>https://www.mercadolibre.com.ar/repetidor-wifi-extensor-senal-tplink-wa850re-300mbps-850re/up/MLAU214366583?pdp_filters=item_id:MLA764245260#is_advertising=true&amp;searchVariation=MLAU214366583&amp;backend_model=search-backend&amp;be_origin=backend&amp;position=1&amp;search_layout=grid&amp;type=pad&amp;tracking_id=ae85da25-5daa-4398-b7ec-3bcd594ea4b6&amp;ad_domain=VQCATCORE_LST&amp;ad_position=1&amp;ad_click_id=MzhhMDBmYzYtNjJkMi00ZTMyLTljNmQtNmNkOTIwZWNmZGU5</t>
  </si>
  <si>
    <t>Impresora</t>
  </si>
  <si>
    <t>https://www.mercadolibre.com.ar/impresora-multifuncion-a-color-epson-l6490-con-wifi/p/MLA44117754?pdp_filters=item_id:MLA2050604384#is_advertising=true&amp;searchVariation=MLA44117754&amp;backend_model=search-backend&amp;be_origin=fallback&amp;position=1&amp;search_layout=grid&amp;type=pad&amp;tracking_id=6c002d21-d68e-4e3e-8eeb-fb0d5daf9fcf&amp;ad_domain=VQCATCORE_LST&amp;ad_position=1&amp;ad_click_id=NTk1NTBlNzUtYTQ0OC00M2NkLWIwMTktY2QzODY3YzQ5NjZh</t>
  </si>
  <si>
    <t>Apliques de iluminación</t>
  </si>
  <si>
    <t>https://articulo.mercadolibre.com.ar/MLA-1638198833-lampara-led-colgante-minimalista-42w-luz-fria-calida-1-metro-_JM?matt_tool=41779540&amp;matt_word=&amp;matt_source=google&amp;matt_campaign_id=23390548763&amp;matt_ad_group_id=189479891463&amp;matt_match_type=&amp;matt_network=g&amp;matt_device=c&amp;matt_creative=789984781588&amp;matt_keyword=&amp;matt_ad_position=&amp;matt_ad_type=pla&amp;matt_merchant_id=764319377&amp;matt_product_id=MLA1638198833&amp;matt_product_partition_id=2387145049142&amp;matt_target_id=aud-2430760955230:pla-2387145049142&amp;cq_src=google_ads&amp;cq_cmp=23390548763&amp;cq_net=g&amp;cq_plt=gp&amp;cq_med=pla&amp;gad_source=1&amp;gad_campaignid=23390548763&amp;gbraid=0AAAAAD01zQYKwusXhsHtIuC4AO62rFfUr&amp;gclid=CjwKCAjw3ejRBhAdEiwADkqPn0LrWUWFuAmjyoa53e7qYDH_tQoLiNHRWfoJp7fjy-IVYXTMBK4DyhoChY0QAvD_BwE</t>
  </si>
  <si>
    <t>Toma corrientes</t>
  </si>
  <si>
    <t>Sistema de reservas</t>
  </si>
  <si>
    <t>https://articulo.mercadolibre.com.ar/MLA-1848238399-software-gestion-hotelera-cabanas-posada-hostales-hospedajes-_JM#polycard_client=search-desktop&amp;be_origin=backend&amp;search_layout=grid&amp;position=2&amp;type=item&amp;tracking_id=819db311-f97c-49a0-b602-73f2661c2990&amp;wid=MLA1848238399&amp;sid=search</t>
  </si>
  <si>
    <t>Estantería/exhibidor de vinos</t>
  </si>
  <si>
    <t>https://www.mercadolibre.com.ar/exhibidor-de-vino-botellero-bodega-hierro-cava/up/MLAU126386688#polycard_client=search-desktop&amp;be_origin=backend&amp;search_layout=grid&amp;position=11&amp;type=product&amp;tracking_id=b2388404-bddf-474c-be19-70fa1e889443&amp;wid=MLA1371774545&amp;sid=search</t>
  </si>
  <si>
    <t>Mesa ratona</t>
  </si>
  <si>
    <t>https://www.mercadolibre.com.ar/mesa-ratona-pata-elefante-pesada-patinada-tipo-campo/up/MLAU124176028?pdp_filters=item_id:MLA1155451883#is_advertising=true&amp;searchVariation=MLAU124176028&amp;backend_model=search-backend&amp;be_origin=backend&amp;position=1&amp;search_layout=grid&amp;type=pad&amp;tracking_id=2861719f-3f2f-4181-bd08-1850d3d60b08&amp;ad_domain=VQCATCORE_LST&amp;ad_position=1&amp;ad_click_id=NzIwNmUzZjctMWZmZS00Zjc0LWI4ZjQtMmQ1M2UxZWIwNjZl</t>
  </si>
  <si>
    <t>Sillon individual</t>
  </si>
  <si>
    <t>https://www.mercadolibre.com.ar/sillon-herradura-poltronas--individual--ideal-consultorio/up/MLAU3946784898#polycard_client=search-desktop&amp;be_origin=backend&amp;search_layout=grid&amp;position=3&amp;type=product&amp;tracking_id=b324ed84-5a64-4f09-925d-84130750bfb4&amp;wid=MLA1775080873&amp;sid=search</t>
  </si>
  <si>
    <t>Cartel "Wineping"</t>
  </si>
  <si>
    <t>https://www.mercadolibre.com.ar/cartel-tallado-madera-personalizado-negocio-cabana-quinta/up/MLAU186075379#polycard_client=search-desktop&amp;be_origin=backend&amp;search_layout=grid&amp;position=3&amp;type=product&amp;tracking_id=fd155bb2-86d3-4636-b185-d26223c26e27&amp;wid=MLA1549820766&amp;sid=search</t>
  </si>
  <si>
    <t>Climatización frío-calor</t>
  </si>
  <si>
    <t>https://aguirrezabala.com.ar/products/bgh-silent-air-bsh65wcu-blanco?gad_source=1&amp;gad_campaignid=23830000239&amp;gbraid=0AAAABCpCTchEXM3rrZ2EPSOaE0_Ug0DqF&amp;gclid=CjwKCAjwuanRBhBSEiwAY5y6VzvwfuoWijNYCaLNODev9wIg7gRfXdgpC-JE_V14tyvRhKZh8n17OBoC4D0QAvD_BwE</t>
  </si>
  <si>
    <t>TOTAL RECEPCIÓN Y ADMINISTRACIÓN</t>
  </si>
  <si>
    <t>HOUSEKEEPING</t>
  </si>
  <si>
    <t>Carro de limpieza</t>
  </si>
  <si>
    <t>https://dilpex.com.ar/ficha-32-carro-de-limpieza-multiservicios-portaelementos-con-bolsa-hotelero?srsltid=AfmBOopOqF3WB5rZ93tkAATwR-iyvOQCs5LhMqYy8heEVIOuqRAKIVmW</t>
  </si>
  <si>
    <t>Contenedor de basura</t>
  </si>
  <si>
    <t>https://www.mercadolibre.com.ar/cesto-residuos-plastico-con-ruedas-120-lts-tacho-contenedor/up/MLAU3665013111#polycard_client=search-desktop&amp;be_origin=backend&amp;search_layout=grid&amp;position=11&amp;type=product&amp;tracking_id=743c545d-f2f1-4127-8e71-f4b49543b6f2&amp;wid=MLA2655751920&amp;sid=search</t>
  </si>
  <si>
    <t>Aspiradora</t>
  </si>
  <si>
    <t>https://www.mercadolibre.com.ar/aspiradora-de-tacho-para-el-hogar-o-la-oficina-15-l-snpe-2008-1300w-color-plateado-suono/p/MLA34004845?pdp_filters=item_id:MLA2211054382#is_advertising=true&amp;searchVariation=MLA34004845&amp;backend_model=search-backend&amp;be_origin=fallback&amp;position=2&amp;search_layout=grid&amp;type=pad&amp;tracking_id=38ad521c-7da1-40c7-982b-8470a135d458&amp;ad_domain=VQCATCORE_LST&amp;ad_position=2&amp;ad_click_id=YmU4YzIzNmEtOTk3MS00N2Y0LWE2NjItYTg0NTBhMmQ0N2My</t>
  </si>
  <si>
    <t>Estanterias</t>
  </si>
  <si>
    <t>TOTAL HOUSKEEPING</t>
  </si>
  <si>
    <t>COCINA</t>
  </si>
  <si>
    <t>Cocina Industrial de 6 hornallas con horno</t>
  </si>
  <si>
    <t>$2.825.680,00</t>
  </si>
  <si>
    <r>
      <rPr>
        <rFont val="Arial"/>
        <color rgb="FF1155CC"/>
        <sz val="11.0"/>
        <u/>
      </rPr>
      <t>https://www.gastroquil.com/productos/cocina-industrial-brafh-1045-6-hornallas/</t>
    </r>
  </si>
  <si>
    <t>horno convector profesional</t>
  </si>
  <si>
    <t>$5.597.680,00</t>
  </si>
  <si>
    <r>
      <rPr>
        <rFont val="Arial"/>
        <color rgb="FF1155CC"/>
        <sz val="11.0"/>
        <u/>
      </rPr>
      <t>https://www.gastroquil.com/productos/horno-convector-brafh-hc-910-con-base/</t>
    </r>
  </si>
  <si>
    <t>parrilla</t>
  </si>
  <si>
    <t>$1.066.911,00</t>
  </si>
  <si>
    <r>
      <rPr>
        <rFont val="Arial"/>
        <color rgb="FF1155CC"/>
        <sz val="11.0"/>
        <u/>
      </rPr>
      <t>https://www.mercadolibre.com.ar/parrilla-duomo-tromen-fogon-accesorios-asador-estaca-color-negro/p/MLA15234407?pdp_filters=item_id%3AMLA2194622848&amp;from=gshop&amp;matt_tool=99120742&amp;matt_word=&amp;matt_source=google&amp;matt_campaign_id=23390548556&amp;matt_ad_group_id=189479851663&amp;matt_match_type=&amp;matt_network=g&amp;matt_device=c&amp;matt_creative=789984778012&amp;matt_keyword=&amp;matt_ad_position=&amp;matt_ad_type=pla&amp;matt_merchant_id=735114561&amp;matt_product_id=MLA15234407-product&amp;matt_product_partition_id=2454318722597&amp;matt_target_id=aud-2430760955230:pla-2454318722597&amp;cq_src=google_ads&amp;cq_cmp=23390548556&amp;cq_net=g&amp;cq_plt=gp&amp;cq_med=pla&amp;gad_source=1&amp;gad_campaignid=23390548556&amp;gbraid=0AAAAAD01zQb9JGkop8gdygrFcthlrcbE_&amp;gclid=CjwKCAjw857RBhAgEiwAI-1yKPqvxHc8nXIg_1o2fzotmaPZ5A1-R22o1KYno-E6j7eanEaUYUh27RoCYfUQAvD_BwE</t>
    </r>
  </si>
  <si>
    <t>horno a leña</t>
  </si>
  <si>
    <t>$1.272.123,60</t>
  </si>
  <si>
    <r>
      <rPr>
        <rFont val="Arial"/>
        <color rgb="FF1155CC"/>
        <sz val="11.0"/>
        <u/>
      </rPr>
      <t>https://www.mercadolibre.com.ar/horno-de-calor-envolvente-tromen-tango-de-mesada-a-lena/p/MLA29743376#polycard_client=search-desktop&amp;be_origin=backend&amp;search_layout=grid&amp;position=5&amp;type=product&amp;tracking_id=63efd6eb-d33c-4461-82a2-130c6c1e5375&amp;wid=MLA1741612580&amp;sid=search</t>
    </r>
  </si>
  <si>
    <t>heladera bajo mesada</t>
  </si>
  <si>
    <t>$3.716.680,00</t>
  </si>
  <si>
    <t>https://www.gastroquil.com/productos/heladera-mostrador-bajo-mesada-teora-4-puertas/</t>
  </si>
  <si>
    <t>heladera vertical mostradora</t>
  </si>
  <si>
    <t>$1.040.380,00</t>
  </si>
  <si>
    <r>
      <rPr>
        <rFont val="Arial"/>
        <color rgb="FF1155CC"/>
        <sz val="11.0"/>
        <u/>
      </rPr>
      <t>https://www.gastroquil.com/productos/heladera-exhibidora-vertical-teora-tev-375-1-puerta-313-lts/</t>
    </r>
  </si>
  <si>
    <t>frezzer</t>
  </si>
  <si>
    <t>$2.737.680,00</t>
  </si>
  <si>
    <r>
      <rPr>
        <rFont val="Arial"/>
        <color rgb="FF1155CC"/>
        <sz val="11.0"/>
        <u/>
      </rPr>
      <t>https://www.gastroquil.com/productos/freezer-horizontal-ciego-inelro-fih-1200-3-tapas/</t>
    </r>
  </si>
  <si>
    <t>heladera almacenera vertical</t>
  </si>
  <si>
    <t>$3.188.680,00</t>
  </si>
  <si>
    <r>
      <rPr>
        <rFont val="Arial"/>
        <color rgb="FF1155CC"/>
        <sz val="11.0"/>
        <u/>
      </rPr>
      <t>https://www.gastroquil.com/productos/heladera-armario-almacenera-bestcold-2-puertas-rejillas-de-metal/</t>
    </r>
  </si>
  <si>
    <t>mesada de trabajo acero inoxidable</t>
  </si>
  <si>
    <t>$603.680,00</t>
  </si>
  <si>
    <r>
      <rPr>
        <rFont val="Arial"/>
        <color rgb="FF1155CC"/>
        <sz val="11.0"/>
        <u/>
      </rPr>
      <t>https://www.gastroquil.com/productos/mesada-gastronomica-fineschi-legitima-150-cm-con-estante-sin-zocalo/</t>
    </r>
  </si>
  <si>
    <t>mesada con bacha doble</t>
  </si>
  <si>
    <t>$999.000,00</t>
  </si>
  <si>
    <r>
      <rPr>
        <rFont val="Arial"/>
        <color rgb="FF1155CC"/>
        <sz val="11.0"/>
        <u/>
      </rPr>
      <t>https://www.mercadolibre.com.ar/mesada-gastronomica-con-doble-bacha-190mts-acero-inoxidable/up/MLAU3724458302#polycard_client=search-desktop&amp;be_origin=backend&amp;search_layout=grid&amp;position=19&amp;type=product&amp;tracking_id=a35d5b03-5261-4ed8-beb7-bc9db12281a1&amp;wid=MLA2771922656&amp;sid=search</t>
    </r>
  </si>
  <si>
    <t>lavamanos gastronomico</t>
  </si>
  <si>
    <t>$482.177,00</t>
  </si>
  <si>
    <t>estanteria de acero</t>
  </si>
  <si>
    <t>$670.999,00</t>
  </si>
  <si>
    <r>
      <rPr>
        <rFont val="Arial"/>
        <color rgb="FF1155CC"/>
        <sz val="11.0"/>
        <u/>
      </rPr>
      <t>https://www.gastroquil.com/productos/estanteria-ajustable-sikla-180-x-53-x-180-5-estantes/</t>
    </r>
  </si>
  <si>
    <t>campana extractora industrial</t>
  </si>
  <si>
    <t>$530.412,00</t>
  </si>
  <si>
    <r>
      <rPr>
        <rFont val="Arial"/>
        <color rgb="FF1155CC"/>
        <sz val="11.0"/>
        <u/>
      </rPr>
      <t>https://www.gastroquil.com/productos/campana-de-cocina-tst-puelo-90-cm-de-pared/</t>
    </r>
  </si>
  <si>
    <t>motor extractor</t>
  </si>
  <si>
    <t>$129.990,00</t>
  </si>
  <si>
    <r>
      <rPr>
        <rFont val="Arial"/>
        <color rgb="FF1155CC"/>
        <sz val="11.0"/>
        <u/>
      </rPr>
      <t>https://www.mercadolibre.com.ar/extractor-direccional-motor-exterior-campana-cocina-6-15-cm/up/MLAU261144535?pdp_filters=item_id:MLA1384014792#is_advertising=true&amp;searchVariation=MLAU261144535&amp;backend_model=search-backend&amp;be_origin=backend&amp;position=1&amp;search_layout=grid&amp;type=pad&amp;tracking_id=f0a8b65d-bc7a-487d-aa8b-b98a211cd8da&amp;ad_domain=VQCATCORE_LST&amp;ad_position=1&amp;ad_click_id=NmI5OWY5NWEtZjk5MC00YTgxLTg1Y2ItMTMyNzlkNTVmYjRi</t>
    </r>
  </si>
  <si>
    <t>multiprocesadora profesional</t>
  </si>
  <si>
    <t>$1.994.080,00</t>
  </si>
  <si>
    <r>
      <rPr>
        <rFont val="Arial"/>
        <color rgb="FF1155CC"/>
        <sz val="11.0"/>
        <u/>
      </rPr>
      <t>https://www.gastroquil.com/productos/multiprocesadora-moretti-vc65-5-discos-copia/</t>
    </r>
  </si>
  <si>
    <t>batidora planetaria</t>
  </si>
  <si>
    <t>$1.879.680,00</t>
  </si>
  <si>
    <r>
      <rPr>
        <rFont val="Arial"/>
        <color rgb="FF1155CC"/>
        <sz val="11.0"/>
        <u/>
      </rPr>
      <t>https://www.gastroquil.com/productos/batidora-planetaria-moretti-dynamix-10/</t>
    </r>
  </si>
  <si>
    <t>microondas gastronomico</t>
  </si>
  <si>
    <t>$1.583.999,00</t>
  </si>
  <si>
    <r>
      <rPr>
        <rFont val="Arial"/>
        <color rgb="FF1155CC"/>
        <sz val="11.0"/>
        <u/>
      </rPr>
      <t>https://www.mercadolibre.com.ar/microondas-empotrable-ariston-mp-776-ix-a-40l-grill-acero-inoxidable/p/MLA18230761#polycard_client=search-desktop&amp;be_origin=backend&amp;search_layout=grid&amp;position=3&amp;type=product&amp;tracking_id=e2747329-a436-423e-a3fc-c2f4d3d7896e&amp;wid=MLA2797646584&amp;sid=search</t>
    </r>
  </si>
  <si>
    <t>balanza digital</t>
  </si>
  <si>
    <t>$183.999,00</t>
  </si>
  <si>
    <r>
      <rPr>
        <rFont val="Arial"/>
        <color rgb="FF1155CC"/>
        <sz val="11.0"/>
        <u/>
      </rPr>
      <t>https://www.mercadolibre.com.ar/balanza-moretti-lap-15kg-blanco/p/MLA10866348#polycard_client=search-desktop&amp;be_origin=backend&amp;search_layout=grid&amp;position=2&amp;type=product&amp;tracking_id=28453ac2-9bcb-4017-bd1f-02864bd1d82b&amp;wid=MLA1610545222&amp;sid=search</t>
    </r>
  </si>
  <si>
    <t>ollas grandes</t>
  </si>
  <si>
    <t>$50.000,00</t>
  </si>
  <si>
    <r>
      <rPr>
        <rFont val="Arial"/>
        <color rgb="FF1155CC"/>
        <sz val="11.0"/>
        <u/>
      </rPr>
      <t>https://www.mercadolibre.com.ar/cacerola-aluminio-gastronomico-reforzado-n30-fiamaj/up/MLAU601204511?pdp_filters=item_id%3AMLA1889877756&amp;from=gshop&amp;matt_tool=99120742&amp;matt_word=&amp;matt_source=google&amp;matt_campaign_id=23390548556&amp;matt_ad_group_id=189479852383&amp;matt_match_type=&amp;matt_network=g&amp;matt_device=c&amp;matt_creative=789984778021&amp;matt_keyword=&amp;matt_ad_position=&amp;matt_ad_type=pla&amp;matt_merchant_id=5365165443&amp;matt_product_id=MLAU601204511&amp;matt_product_partition_id=2388009210146&amp;matt_target_id=aud-2430760955230:pla-2388009210146&amp;cq_src=google_ads&amp;cq_cmp=23390548556&amp;cq_net=g&amp;cq_plt=gp&amp;cq_med=pla&amp;gad_source=1&amp;gad_campaignid=23390548556&amp;gbraid=0AAAAAD01zQb9JGkop8gdygrFcthlrcbE_&amp;gclid=CjwKCAjw857RBhAgEiwAI-1yKMDnN8zcmXWR1ShmIYfcVb4d-HPwD8oEmr5JyH8qZCx8TtoPgK10cRoCvesQAvD_BwE</t>
    </r>
  </si>
  <si>
    <t>ollas medianas</t>
  </si>
  <si>
    <t>$23.098,00</t>
  </si>
  <si>
    <r>
      <rPr>
        <rFont val="Arial"/>
        <color rgb="FF1155CC"/>
        <sz val="11.0"/>
        <u/>
      </rPr>
      <t>https://www.mercadolibre.com.ar/cacerola-aluminio-gastronomico-reforzado-n24-fiamaj-color-plateado/p/MLA54464759?pdp_filters=item_id%3AMLA2309782510&amp;from=gshop&amp;matt_tool=32095255&amp;matt_word=&amp;matt_source=google&amp;matt_campaign_id=23390548559&amp;matt_ad_group_id=189479852543&amp;matt_match_type=&amp;matt_network=g&amp;matt_device=c&amp;matt_creative=789984778222&amp;matt_keyword=&amp;matt_ad_position=&amp;matt_ad_type=pla&amp;matt_merchant_id=735078350&amp;matt_product_id=MLA54464759-product&amp;matt_product_partition_id=2389601385546&amp;matt_target_id=aud-2430760955230:pla-2389601385546&amp;cq_src=google_ads&amp;cq_cmp=23390548559&amp;cq_net=g&amp;cq_plt=gp&amp;cq_med=pla&amp;gad_source=1&amp;gad_campaignid=23390548559&amp;gbraid=0AAAAAD01zQb76B1_2CbQceUOASLqBNBRA&amp;gclid=CjwKCAjw857RBhAgEiwAI-1yKAe1CDFbBAHWvbsHZkpVPnG5KIjvLQt-s04sf4F_6aVwq9b_FxOjvxoCqyIQAvD_BwE</t>
    </r>
  </si>
  <si>
    <t>sartenes profesionales</t>
  </si>
  <si>
    <t>$12.826,00</t>
  </si>
  <si>
    <r>
      <rPr>
        <rFont val="Arial"/>
        <color rgb="FF1155CC"/>
        <sz val="11.0"/>
        <u/>
      </rPr>
      <t>https://tienda.elnuevoemporio.com.ar/tienda/sartenes/sarten-profesional-de-chapa-hierro-28cm-con-mango-planchuela</t>
    </r>
  </si>
  <si>
    <t>asadera gastronomica</t>
  </si>
  <si>
    <t>$30.721,51</t>
  </si>
  <si>
    <r>
      <rPr>
        <rFont val="Arial"/>
        <color rgb="FF1155CC"/>
        <sz val="11.0"/>
        <u/>
      </rPr>
      <t>https://tienda.elnuevoemporio.com.ar/tienda/asaderas/asadera-bandeja-fuente-enlozada-horno-parrilla-30x40x2-cm</t>
    </r>
  </si>
  <si>
    <t>cuchillos chef</t>
  </si>
  <si>
    <t>$30.721,50</t>
  </si>
  <si>
    <r>
      <rPr>
        <rFont val="Arial"/>
        <color rgb="FF1155CC"/>
        <sz val="11.0"/>
        <u/>
      </rPr>
      <t>https://www.mercadolibre.com.ar/cuchillo-de-cocina-sakir-profesional-de-acero-damasco-con-mango-de-madera-para-chef/p/MLA60127107?pdp_filters=item_id:MLA2456347570#is_advertising=true&amp;searchVariation=MLA60127107&amp;backend_model=search-backend&amp;be_origin=backend&amp;position=2&amp;search_layout=grid&amp;type=pad&amp;tracking_id=d713317b-2211-4671-9986-92803ec82527&amp;ad_domain=VQCATCORE_LST&amp;ad_position=2&amp;ad_click_id=MDAyMDJkM2UtNGI2OS00NTY5LWExYmMtODVjMDNhZjlhYjdj</t>
    </r>
  </si>
  <si>
    <t>juego de cuchillo varios</t>
  </si>
  <si>
    <t>$155.998,00</t>
  </si>
  <si>
    <r>
      <rPr>
        <rFont val="Arial"/>
        <color rgb="FF1155CC"/>
        <sz val="11.0"/>
        <u/>
      </rPr>
      <t>https://articulo.mercadolibre.com.ar/MLA-1446401101-set-cuchillos-chef-santoku-oficio-cocina-acero-kingsta-x6-_JM?matt_tool=99120742&amp;matt_word=&amp;matt_source=google&amp;matt_campaign_id=23390548556&amp;matt_ad_group_id=189479854783&amp;matt_match_type=&amp;matt_network=g&amp;matt_device=c&amp;matt_creative=789984778051&amp;matt_keyword=&amp;matt_ad_position=&amp;matt_ad_type=pla&amp;matt_merchant_id=330671405&amp;matt_product_id=MLA1446401101&amp;matt_product_partition_id=2388010495146&amp;matt_target_id=aud-2430760955230:pla-2388010495146&amp;cq_src=google_ads&amp;cq_cmp=23390548556&amp;cq_net=g&amp;cq_plt=gp&amp;cq_med=pla&amp;gad_source=1&amp;gad_campaignid=23390548556&amp;gbraid=0AAAAAD01zQb9JGkop8gdygrFcthlrcbE_&amp;gclid=CjwKCAjw857RBhAgEiwAI-1yKJxinKEGBYo8xQmKGWzQ6WH_UXE2L-N9eFwMlBVxz-Hl4a3LOnisoRoCDgQQAvD_BwE</t>
    </r>
  </si>
  <si>
    <t>tablas de corte por color</t>
  </si>
  <si>
    <t>$144.420,00</t>
  </si>
  <si>
    <r>
      <rPr>
        <rFont val="Arial"/>
        <color rgb="FF1155CC"/>
        <sz val="11.0"/>
        <u/>
      </rPr>
      <t>https://www.mercadolibre.com.ar/tablas-de-cortar-en-acero-inoxidable-premium/up/MLAU3397583114?matt_tool=38087446&amp;utm_source=google_shopping&amp;utm_medium=organic&amp;pdp_filters=item_id%3AMLA1518331737&amp;from=gshop</t>
    </r>
  </si>
  <si>
    <t>bowls de acero inoxidable x5</t>
  </si>
  <si>
    <t>$42.188,00</t>
  </si>
  <si>
    <r>
      <rPr>
        <rFont val="Arial"/>
        <color rgb="FF1155CC"/>
        <sz val="11.0"/>
        <u/>
      </rPr>
      <t>https://www.mercadolibre.com.ar/bowl-ensaladera-acero-inoxidable-reposteria-x5/p/MLA58495995?pdp_filters=item_id:MLA1549789379#is_advertising=true&amp;searchVariation=MLA58495995&amp;backend_model=search-backend&amp;be_origin=backend&amp;position=1&amp;search_layout=grid&amp;type=pad&amp;tracking_id=b04bbb6f-09c6-42a0-9c1c-999a335b3ab9&amp;ad_domain=VQCATCORE_LST&amp;ad_position=1&amp;ad_click_id=N2IwMDgyYzItYjFhZi00NmYxLWEzMmEtNTNiMWNhZGRjMzk4</t>
    </r>
  </si>
  <si>
    <t>espatulas</t>
  </si>
  <si>
    <t>$33.120,00</t>
  </si>
  <si>
    <r>
      <rPr>
        <rFont val="Arial"/>
        <color rgb="FF1155CC"/>
        <sz val="11.0"/>
        <u/>
      </rPr>
      <t>https://www.mercadolibre.com.ar/espatulas-acero-inoxidable-cocina-trica--pack-x-2/up/MLAU3384051269?pdp_filters=item_id:MLA1517614743#is_advertising=true&amp;searchVariation=MLAU3384051269&amp;backend_model=search-backend&amp;be_origin=backend&amp;position=13&amp;search_layout=grid&amp;type=pad&amp;tracking_id=5c19a54c-974d-4d5c-a903-ad8338fb048f&amp;ad_domain=VQCATCORE_LST&amp;ad_position=13&amp;ad_click_id=MWRlYjkxYWUtMmU5Mi00OWY1LWFkNzEtMThkNzIyMWE0NDQz</t>
    </r>
  </si>
  <si>
    <t>pinzas</t>
  </si>
  <si>
    <t>$4.890,00</t>
  </si>
  <si>
    <r>
      <rPr>
        <rFont val="Arial"/>
        <color rgb="FF1155CC"/>
        <sz val="11.0"/>
        <u/>
      </rPr>
      <t>https://www.mercadolibre.com.ar/pinza-multiuso-parrillera-bnb-silicona-35cm-acero-inoxidable-plateado-negro/p/MLA57662033#polycard_client=search-desktop&amp;be_origin=backend&amp;search_layout=grid&amp;position=5&amp;type=product&amp;tracking_id=8d9376f0-7954-40ce-b601-8373d3dff10f&amp;wid=MLA2392071076&amp;sid=search</t>
    </r>
  </si>
  <si>
    <t>cucharones</t>
  </si>
  <si>
    <t>$20.081,00</t>
  </si>
  <si>
    <r>
      <rPr>
        <rFont val="Arial"/>
        <color rgb="FF1155CC"/>
        <sz val="11.0"/>
        <u/>
      </rPr>
      <t>https://www.mercadolibre.com.ar/cucharon-gastronomico-reforzado-n16-aluminio-59-cm-almandoz/up/MLAU218089327?pdp_filters=item_id:MLA1146283702#is_advertising=true&amp;searchVariation=MLAU218089327&amp;backend_model=search-backend&amp;be_origin=backend&amp;position=15&amp;search_layout=grid&amp;type=pad&amp;tracking_id=cca6b03c-8111-4015-aa1b-45cfef2bff96&amp;ad_domain=VQCATCORE_LST&amp;ad_position=15&amp;ad_click_id=ZDU2NTRiZDctZDBhMC00N2M5LTk2NjMtY2M0ZGRmNjIzN2Jj</t>
    </r>
  </si>
  <si>
    <t>batidores manuales</t>
  </si>
  <si>
    <t>$14.540,00</t>
  </si>
  <si>
    <r>
      <rPr>
        <rFont val="Arial"/>
        <color rgb="FF1155CC"/>
        <sz val="11.0"/>
        <u/>
      </rPr>
      <t>https://www.mercadolibre.com.ar/batidor-manual-whiskspro-profesional-35-cm/p/MLA40610701#polycard_client=search-desktop&amp;be_origin=backend&amp;search_layout=grid&amp;position=5&amp;type=product&amp;float_highlight=last_units&amp;tracking_id=5182ed92-6cb7-4cc2-98e5-9a2c81574706&amp;wid=MLA2289485370&amp;sid=search</t>
    </r>
  </si>
  <si>
    <t>coladores</t>
  </si>
  <si>
    <t>$36.100,00</t>
  </si>
  <si>
    <r>
      <rPr>
        <rFont val="Arial"/>
        <color rgb="FF1155CC"/>
        <sz val="11.0"/>
        <u/>
      </rPr>
      <t>https://www.mercadolibre.com.ar/set-x5-coladores-con-asas-patagonia-home-para-cocina-facil/up/MLAU3914802621?pdp_filters=item_id:MLA1763055857#is_advertising=true&amp;searchVariation=MLAU3914802621&amp;backend_model=search-backend&amp;be_origin=backend&amp;position=4&amp;search_layout=grid&amp;type=pad&amp;tracking_id=e8691b52-a8b9-4b80-bbec-0d9b42996914&amp;ad_domain=VQCATCORE_LST&amp;ad_position=4&amp;ad_click_id=MjU1ZTVmZTktOWJlOS00MWE3LWI2OTgtMGE1N2Q2ZjI5MTAx</t>
    </r>
  </si>
  <si>
    <t>recipientes gastronomicos</t>
  </si>
  <si>
    <t>$16.467,00</t>
  </si>
  <si>
    <r>
      <rPr>
        <rFont val="Arial"/>
        <color rgb="FF1155CC"/>
        <sz val="11.0"/>
        <u/>
      </rPr>
      <t>https://www.mercadolibre.com.ar/-bandeja-deposito-gastronomico-acero-inox-tapa-265-x-/p/MLA2043261774?pdp_filters=item_id:MLA3138651192#is_advertising=true&amp;searchVariation=MLA2043261774&amp;backend_model=search-backend&amp;be_origin=backend&amp;position=1&amp;search_layout=grid&amp;type=pad&amp;tracking_id=6f1da690-4de5-4a79-b8f9-24a9e7f55b1b&amp;ad_domain=VQCATCORE_LST&amp;ad_position=1&amp;ad_click_id=NjAxMWM1YmQtYTIyZi00OTc0LWIxZjEtYmM0YTZhODQ5YTQ3</t>
    </r>
  </si>
  <si>
    <t>escurridor de acero inoxidable</t>
  </si>
  <si>
    <t>$290.029,00</t>
  </si>
  <si>
    <r>
      <rPr>
        <rFont val="Arial"/>
        <color rgb="FF1155CC"/>
        <sz val="11.0"/>
        <u/>
      </rPr>
      <t>https://www.mercadolibre.com.ar/escurridor-inoxidable-regulable-90cm-con-vasero-v1-pro-color-gris/p/MLA66312350?pdp_filters=item_id%3AMLA3020073510&amp;from=gshop&amp;matt_tool=99120742&amp;matt_word=&amp;matt_source=google&amp;matt_campaign_id=23390548556&amp;matt_ad_group_id=189479853823&amp;matt_match_type=&amp;matt_network=g&amp;matt_device=c&amp;matt_creative=789984778039&amp;matt_keyword=&amp;matt_ad_position=&amp;matt_ad_type=pla&amp;matt_merchant_id=735113679&amp;matt_product_id=MLA66312350-product&amp;matt_product_partition_id=2388858616448&amp;matt_target_id=aud-2430760955230:pla-2388858616448&amp;cq_src=google_ads&amp;cq_cmp=23390548556&amp;cq_net=g&amp;cq_plt=gp&amp;cq_med=pla&amp;gad_source=1&amp;gad_campaignid=23390548556&amp;gbraid=0AAAAAD01zQb9JGkop8gdygrFcthlrcbE_&amp;gclid=CjwKCAjw857RBhAgEiwAI-1yKChZDlaGxLXFKXZJvL75HlVL8EEI_RwiW9-cUGxMtjnDckbJzW-k4xoCbeEQAvD_BwE</t>
    </r>
  </si>
  <si>
    <t>Kit de vajilla 18 piezas</t>
  </si>
  <si>
    <r>
      <rPr>
        <rFont val="Arial"/>
        <color rgb="FF1155CC"/>
        <sz val="11.0"/>
        <u/>
      </rPr>
      <t>https://www.tiendaoxford.com.ar/productos/set-de-vajilla-18-piezas-brisa-unni-oxford/</t>
    </r>
  </si>
  <si>
    <t>Kit de cuberteria x 12</t>
  </si>
  <si>
    <t>$159.999,00</t>
  </si>
  <si>
    <r>
      <rPr>
        <rFont val="Arial"/>
        <color rgb="FF1155CC"/>
        <sz val="11.0"/>
        <u/>
      </rPr>
      <t>https://www.mercadolibre.com.ar/set-150-cubiertos-acero-inox-gastronomia-restaurant-oferta/up/MLAU3782093162?matt_tool=38087446&amp;utm_source=google_shopping&amp;utm_medium=organic&amp;pdp_filters=item_id%3AMLA1670721713&amp;from=gshop</t>
    </r>
  </si>
  <si>
    <t>Copas x12</t>
  </si>
  <si>
    <t>$28.428,00</t>
  </si>
  <si>
    <r>
      <rPr>
        <rFont val="Arial"/>
        <color rgb="FF1155CC"/>
        <sz val="11.0"/>
        <u/>
      </rPr>
      <t>https://listado.mercadolibre.com.ar/copas-por-12#D[A:copas%20por%2012]</t>
    </r>
  </si>
  <si>
    <t>Vasosx 12</t>
  </si>
  <si>
    <t>$49.554,00</t>
  </si>
  <si>
    <r>
      <rPr>
        <rFont val="Arial"/>
        <color rgb="FF1155CC"/>
        <sz val="11.0"/>
        <u/>
      </rPr>
      <t>https://www.mercadolibre.com.ar/set-x-24-vasos-dubai-nadir-transparente/p/MLA23267744?product_trigger_id=MLA23207186&amp;picker=true</t>
    </r>
  </si>
  <si>
    <t>repasadores x6</t>
  </si>
  <si>
    <t>$14.193,00</t>
  </si>
  <si>
    <r>
      <rPr>
        <rFont val="Arial"/>
        <color rgb="FF1155CC"/>
        <sz val="11.0"/>
        <u/>
      </rPr>
      <t>https://articulo.mercadolibre.com.ar/MLA-678751436-repasador-guarda-francesa-ideal-gastronomia-x6-uni-100-alg-_JM?searchVariation=177138626079#is_advertising=true&amp;searchVariation=177138626079&amp;backend_model=search-backend&amp;be_origin=backend&amp;position=4&amp;search_layout=grid&amp;type=pad&amp;tracking_id=fe8338f4-70fa-447a-96be-ae01ddeae0b7&amp;ad_domain=VQCATCORE_LST&amp;ad_position=4&amp;ad_click_id=YmM4YmE3ZTctMzc0MS00Mzg0LTk4NDMtYmU4ZjE1NDRlNDZj</t>
    </r>
  </si>
  <si>
    <t>Servilletas</t>
  </si>
  <si>
    <t>$95.000,00</t>
  </si>
  <si>
    <r>
      <rPr>
        <rFont val="Arial"/>
        <color rgb="FF1155CC"/>
        <sz val="11.0"/>
        <u/>
      </rPr>
      <t>https://articulo.mercadolibre.com.ar/MLA-2599580126-servilletas-de-tela-anti-manchas-35x35-cm-pack-x-200-_JM?searchVariation=187440812104#is_advertising=true&amp;searchVariation=187440812104&amp;backend_model=search-backend&amp;be_origin=backend&amp;position=1&amp;search_layout=grid&amp;type=pad&amp;tracking_id=2a730fb8-6760-4313-8baa-62fa73c56f15&amp;ad_domain=VQCATCORE_LST&amp;ad_position=1&amp;ad_click_id=YjdhMzU5ZTAtOTkyYy00OWI1LWFmMDEtNmE3M2ZkZmY4MjM3</t>
    </r>
  </si>
  <si>
    <t>Pava Electrica</t>
  </si>
  <si>
    <t>$21.600,00</t>
  </si>
  <si>
    <r>
      <rPr>
        <rFont val="Arial"/>
        <color rgb="FF1155CC"/>
        <sz val="11.0"/>
        <u/>
      </rPr>
      <t>https://www.mercadolibre.com.ar/pava-electrica-winco-con-corte-para-mate-w1702-acero-inoxidable-18l/p/MLA9017656#polycard_client=search-desktop&amp;be_origin=backend&amp;search_layout=grid&amp;position=4&amp;type=product&amp;tracking_id=1fd9e81d-394d-4a5e-ba6a-a3adb62c3316&amp;wid=MLA1793384845&amp;sid=search</t>
    </r>
  </si>
  <si>
    <t>Tostadora</t>
  </si>
  <si>
    <t>$311.080,00</t>
  </si>
  <si>
    <r>
      <rPr>
        <rFont val="Arial"/>
        <color rgb="FF1155CC"/>
        <sz val="11.0"/>
        <u/>
      </rPr>
      <t>https://www.gastroquil.com/productos/tostadora-electrica-speedy-mod-1100-220v/</t>
    </r>
  </si>
  <si>
    <t>Cortadora de fiambre</t>
  </si>
  <si>
    <t>$795.080,00</t>
  </si>
  <si>
    <r>
      <rPr>
        <rFont val="Arial"/>
        <color rgb="FF1155CC"/>
        <sz val="11.0"/>
        <u/>
      </rPr>
      <t>https://www.gastroquil.com/productos/cortadora-de-fiambre-moretti-duecento-20-pro-220/</t>
    </r>
  </si>
  <si>
    <t>Exprimidora</t>
  </si>
  <si>
    <t>$96.580,00</t>
  </si>
  <si>
    <r>
      <rPr>
        <rFont val="Arial"/>
        <color rgb="FF1155CC"/>
        <sz val="11.0"/>
        <u/>
      </rPr>
      <t>https://www.gastroquil.com/productos/exprimidor-manual-citricos-nativa-profesional-citrus/</t>
    </r>
  </si>
  <si>
    <t>Carro gastronomico</t>
  </si>
  <si>
    <t>$482.680,00</t>
  </si>
  <si>
    <r>
      <rPr>
        <rFont val="Arial"/>
        <color rgb="FF1155CC"/>
        <sz val="11.0"/>
        <u/>
      </rPr>
      <t>https://www.gastroquil.com/productos/carro-de-servicio-gastronomico-gastroquil-3-estantes-80-x-40/</t>
    </r>
  </si>
  <si>
    <t>Fabrica de hielo</t>
  </si>
  <si>
    <t>$2.364.999,00</t>
  </si>
  <si>
    <r>
      <rPr>
        <rFont val="Arial"/>
        <color rgb="FF1155CC"/>
        <sz val="11.0"/>
        <u/>
      </rPr>
      <t>https://www.gastroquil.com/productos/fabricadora-de-hielo-turboblender-fh-c40-40kg/</t>
    </r>
  </si>
  <si>
    <t>Iluminación</t>
  </si>
  <si>
    <t>https://www.mercadolibre.com.ar/plafon-led-sobreponer-negro-redondo-24w-blackdecker/up/MLAU3113167840#polycard_client=search-desktop&amp;be_origin=backend&amp;search_layout=grid&amp;position=5&amp;type=product&amp;tracking_id=107848da-db0e-4cdc-8dc4-55087a003c63&amp;wid=MLA2046318582&amp;sid=search</t>
  </si>
  <si>
    <t>cava de vinos</t>
  </si>
  <si>
    <t>https://dmaker.com/productos/cava-de-vinos-winefroz-para-119-botellas-luxury-edition-wmn143t-negra/?variant=1362567892&amp;pf=mc&amp;gad_source=1&amp;gad_campaignid=23547762884&amp;gbraid=0AAAAAoz6uPVjY0SIFfzWR3Sxg_WAJwruK&amp;gclid=CjwKCAjwuanRBhBSEiwAY5y6V4RY9ja1VV1iiJqdaFgVip8GGAXtvnCUMQvgpa8nuFg3uex3A5fFQBoC8KQQAvD_BwE</t>
  </si>
  <si>
    <t>TOTAL COCINA</t>
  </si>
  <si>
    <t>TOTAL ESPACIOS DE TRABAJO</t>
  </si>
  <si>
    <t>RESTAURANTE</t>
  </si>
  <si>
    <t>Mesas</t>
  </si>
  <si>
    <t>https://www.mercadolibre.com.ar/mesa-bar-mesa-industrial-restaurantes-pizzerias-70x70-cm-marron-claro-y-negro/p/MLA66950398?pdp_filters=item_id:MLA1714410973&amp;matt_tool=17330985&amp;matt_internal_campaign_id=354664398&amp;matt_word=&amp;matt_source=google&amp;matt_campaign_id=22943760643&amp;matt_ad_group_id=191334192897&amp;matt_match_type=&amp;matt_network=g&amp;matt_device=c&amp;matt_creative=798166582504&amp;matt_keyword=&amp;matt_ad_position=&amp;matt_ad_type=pla&amp;matt_merchant_id=5706257605&amp;matt_product_id=MLA1714410973&amp;matt_product_partition_id=2434884666648&amp;matt_target_id=aud-2430760955230:pla-2434884666648&amp;cq_src=google_ads&amp;cq_cmp=22943760643&amp;cq_net=g&amp;cq_plt=gp&amp;cq_med=pla&amp;gad_source=1&amp;gad_campaignid=22943760643&amp;gbraid=0AAAAAD01zQZ--QgLQc34gsuoI2-VIzRTN&amp;gclid=CjwKCAjwuanRBhBSEiwAY5y6V28DmzsrkuE0AU-E8YmX9zJc3X05N-B6w4PlmmJSPfZ1DCmKTmIc9BoCaXgQAvD_BwE</t>
  </si>
  <si>
    <t>Sillasx12</t>
  </si>
  <si>
    <t>https://thepinkchair.com.ar/product/silla-sq01-touch-cobre/</t>
  </si>
  <si>
    <t>Decoración</t>
  </si>
  <si>
    <t>https://www.mercadolibre.com.ar/florero-conico-1-litros-ideal-velas-de-soja-o-centro-de-mesa/up/MLAU908198112?pdp_filters=seller_id%3A1658032265#polycard_client=recommendations_vip-seller_items-above&amp;reco_backend=ranker-retsys-same-seller&amp;reco_model=rk_entity_sameseller&amp;reco_client=vip-seller_items-above&amp;reco_item_pos=0&amp;reco_backend_type=low_level&amp;reco_id=d36ca640-40ea-45bf-9e42-380da2e7315b&amp;wid=MLA1902318344&amp;sid=recos</t>
  </si>
  <si>
    <t>Manteles</t>
  </si>
  <si>
    <t>https://articulo.mercadolibre.com.ar/MLA-1143464075-mantel-cuadrado-150-x-150-mts-anti-manchas-restaurante-_JM?searchVariation=174685840184#polycard_client=search-desktop&amp;be_origin=backend&amp;searchVariation=174685840184&amp;search_layout=grid&amp;position=3&amp;type=item&amp;tracking_id=4762553e-4cab-4f03-9e3b-6c3f5ca5089e</t>
  </si>
  <si>
    <t>https://www.mercadolibre.com.ar/lampara-colgante-lineal-de-techo-120cm-led-madera-cedro/up/MLAU341281847?pdp_filters=item_id%3AMLA1713299928&amp;from=gshop&amp;matt_tool=41779540&amp;matt_word=&amp;matt_source=google&amp;matt_campaign_id=23390548763&amp;matt_ad_group_id=189479891503&amp;matt_match_type=&amp;matt_network=g&amp;matt_device=c&amp;matt_creative=789984781591&amp;matt_keyword=&amp;matt_ad_position=&amp;matt_ad_type=pla&amp;matt_merchant_id=5354562760&amp;matt_product_id=MLAU341281847&amp;matt_product_partition_id=2387145049182&amp;matt_target_id=aud-2430760955230:pla-2387145049182&amp;cq_src=google_ads&amp;cq_cmp=23390548763&amp;cq_net=g&amp;cq_plt=gp&amp;cq_med=pla&amp;gad_source=1&amp;gad_campaignid=23390548763&amp;gbraid=0AAAAAD01zQYKwusXhsHtIuC4AO62rFfUr&amp;gclid=CjwKCAjw3ejRBhAdEiwADkqPn6j5872V1AOUecIFSFTLBkPG4KXR9-51RxCAXL9yfiZxurMGZi96DRoCtfYQAvD_BwE</t>
  </si>
  <si>
    <t>Matafuegos</t>
  </si>
  <si>
    <t>https://www.mercadolibre.com.ar/matafuego-nuevo-abc-5kg--chapa-baliza-y-gancho--oblea/up/MLAU3062984653#polycard_client=search-desktop&amp;be_origin=backend&amp;search_layout=grid&amp;position=8&amp;type=product&amp;tracking_id=49059396-0fbd-40b1-b163-ee1b26ac7289&amp;wid=MLA2029763478&amp;sid=search</t>
  </si>
  <si>
    <t>TOTAL RESTAURANTE</t>
  </si>
  <si>
    <t>FOGÓN CENTRAL</t>
  </si>
  <si>
    <t>juego de sillones exterior</t>
  </si>
  <si>
    <t>https://www.sillasdf.com.ar/productos/set-milan/?_gl=1*1b1y642*_up*MQ..*_gs*MQ..&amp;gclid=CjwKCAjwuanRBhBSEiwAY5y6V_JwP0x9Ihw-yFMea7mdvBDJqIV0Y7jOk4-Gs5I1oLP5_MQ8OpsqqRoC3SgQAvD_BwE&amp;gbraid=0AAAAACz_5g6l83TPhqKtrToiKbzbNU22d</t>
  </si>
  <si>
    <t>Mantas</t>
  </si>
  <si>
    <t>https://www.mercadolibre.com.ar/manta-polar-soft-big-teddy-150x200cm--ganga-home/up/MLAU3961929465#polycard_client=search-desktop&amp;be_origin=backend&amp;search_layout=grid&amp;position=5&amp;type=product&amp;tracking_id=4de13411-5e47-4096-bc75-3fdad4bb14a6&amp;wid=MLA1788705643&amp;sid=search</t>
  </si>
  <si>
    <t>TOTAL FOGÓN CENTRAL</t>
  </si>
  <si>
    <t>SALA MICE / EVENTOS</t>
  </si>
  <si>
    <t>Mesa de Reuniones</t>
  </si>
  <si>
    <t>https://www.mercadolibre.com.ar/mesa-de-reunion-coworking-para-mas-d-16-personas-ote-muebles/up/MLAU454172466?matt_tool=38087446&amp;utm_source=google_shopping&amp;utm_medium=organic&amp;pdp_filters=item_id%3AMLA1882420828&amp;from=gshop</t>
  </si>
  <si>
    <t>Sillas</t>
  </si>
  <si>
    <t>https://www.mercadolibre.com.ar/silla-oficina-escritorio-ergonomica-sillon-lumbar-ejecutivo-negro/p/MLA55267276?pdp_filters=item_id:MLA2341374910#is_advertising=true&amp;searchVariation=MLA55267276&amp;backend_model=search-backend&amp;be_origin=backend&amp;position=3&amp;search_layout=grid&amp;type=pad&amp;tracking_id=ef997a53-9ed1-46d3-a796-d5d89af58ac3&amp;ad_domain=VQCATCORE_LST&amp;ad_position=3&amp;ad_click_id=ZGE4MDBjM2YtYzQxMS00N2QwLWFmODctODQ2MzljMmU3N2Zl</t>
  </si>
  <si>
    <t>Proyector + Pantalla</t>
  </si>
  <si>
    <t>Sistema de Audio</t>
  </si>
  <si>
    <t>https://www.mercadolibre.com.ar/sistema-de-sonido-soundbarsub-telefunken-polaris-900-101d/p/MLA21322156#polycard_client=search-desktop&amp;be_origin=backend&amp;search_layout=grid&amp;position=11&amp;type=product&amp;tracking_id=8bea23be-f00c-4271-a827-4e4330806717&amp;wid=MLA1606755957&amp;sid=search</t>
  </si>
  <si>
    <t>Climatización Frio-Calor</t>
  </si>
  <si>
    <t>Extensor Wi-Fi</t>
  </si>
  <si>
    <t>https://techsmart.ar/productos/Deco-S7-3pack/?variant=1293631634&amp;pf=mc&amp;gad_source=1&amp;gad_campaignid=22427107395&amp;gbraid=0AAAAArElj6qMEWvkWpyJgaz3bNciWjtV3&amp;gclid=CjwKCAjwuanRBhBSEiwAY5y6V9-UOdzi5jUdBgAkE4skRormGCCgWoQFRmmqAmpE5wUJxf7Tr0raXhoC2zwQAvD_BwE</t>
  </si>
  <si>
    <t>TOTAL SALA MICE / EVENTOS</t>
  </si>
  <si>
    <t>SPA</t>
  </si>
  <si>
    <t>Jacuzzi de Vinoterapia</t>
  </si>
  <si>
    <t>https://www.mercadolibre.com.ar/hidromasaje-climatizado-jr-premium-redondo-4-personas-900l/up/MLAU3834062707#polycard_client=search-desktop&amp;be_origin=backend&amp;search_layout=grid&amp;position=16&amp;type=product&amp;tracking_id=d2a0ae2c-1464-47cb-9ed2-2ba92e5f1f50&amp;wid=MLA3038288422&amp;sid=search</t>
  </si>
  <si>
    <t>Camilla de Masaje</t>
  </si>
  <si>
    <t>https://www.mercadolibre.com.ar/camilla-para-masajes-de-spa-80x180-fabrica/up/MLAU3634519132?matt_tool=38087446&amp;utm_source=google_shopping&amp;utm_medium=organic&amp;pdp_filters=item_id%3AMLA1593403155&amp;from=gshop</t>
  </si>
  <si>
    <t>Set sábanas para camilla</t>
  </si>
  <si>
    <t>https://www.mercadolibre.com.ar/set-masajes-manta-pareo-sabanas-camilla-almohadas-toall/up/MLAU3907322258#polycard_client=search-desktop&amp;be_origin=backend&amp;search_layout=grid&amp;position=10&amp;type=product&amp;tracking_id=21e09733-e09b-439e-8f4e-2f7ac5ddea3e&amp;wid=MLA3190974380&amp;sid=search</t>
  </si>
  <si>
    <t>Set para tratamiento facial</t>
  </si>
  <si>
    <t>https://www.mercadolibre.com.ar/set-bowl--espatulas--skincare--limpieza-de-cutis/up/MLAU2928796436</t>
  </si>
  <si>
    <t>Bowl para activos</t>
  </si>
  <si>
    <t>https://beauty-now.com.ar/productos/bowl-para-activos-de-vidrio/</t>
  </si>
  <si>
    <t>Parlante</t>
  </si>
  <si>
    <t>https://www.jbl.com.ar/JBLGOESBLKAM.html?gad_source=1&amp;gad_campaignid=23657942614&amp;gbraid=0AAAAAofePV1a8OSbdZHIjE9edyYqHYAMF&amp;gclid=CjwKCAjw6MPRBhBTEiwAd-7Mr2h9zPkbwES_FEtJk-4fK1lV__UU7GNxqI6XRr70MedRD3UOvwVd5hoC220QAvD_BwE</t>
  </si>
  <si>
    <t>Difusor aromático/humidificador</t>
  </si>
  <si>
    <t>https://www.mercadolibre.com.ar/humidificador-ultrasonico-difusor-aromatizador-130ml-kjr-036-color-marron-claro/p/MLA68732193?pdp_filters=item_id:MLA3409761940&amp;matt_tool=36755341&amp;matt_internal_campaign_id=312307971&amp;matt_word=&amp;matt_source=google&amp;matt_campaign_id=22943760643&amp;matt_ad_group_id=185831388712&amp;matt_match_type=&amp;matt_network=g&amp;matt_device=c&amp;matt_creative=773627063903&amp;matt_keyword=&amp;matt_ad_position=&amp;matt_ad_type=pla&amp;matt_merchant_id=255134314&amp;matt_product_id=MLA3409761940&amp;matt_product_partition_id=2424390986595&amp;matt_target_id=pla-2424390986595&amp;cq_src=google_ads&amp;cq_cmp=22943760643&amp;cq_net=g&amp;cq_plt=gp&amp;cq_med=pla&amp;gad_source=1&amp;gad_campaignid=22943760643&amp;gbraid=0AAAAAD01zQZLT0cSxSA5eQ3GUMxA-rEOz&amp;gclid=CjwKCAjw9NjRBhATEiwA_p2J8ROM3WIgPrO2jDrWYDAwIlWUzETvmDfLTx2xJqCWjRKfkn7mYJDueBoCEgcQAvD_BwE</t>
  </si>
  <si>
    <t>Carro de Insumos</t>
  </si>
  <si>
    <t>https://www.neabeautytools.com/product-page/carro-auxiliar-estetico-4-estantes-con-ruedas-organizador-profesional?utm_source=google&amp;utm_medium=wix_google_feed&amp;utm_campaign=freelistings</t>
  </si>
  <si>
    <t>Llave de luz para regular intensidad</t>
  </si>
  <si>
    <t>https://www.mercadolibre.com.ar/llave-de-luz-dimmer-regulador-de-embutir-sica-life-300w/up/MLAU312643874#polycard_client=search-desktop&amp;be_origin=backend&amp;search_layout=grid&amp;position=5&amp;type=product&amp;float_highlight=last_units&amp;tracking_id=09f4f961-f244-4301-aade-f9cb4c9693ba&amp;wid=MLA934201158&amp;sid=search</t>
  </si>
  <si>
    <t>Set toalla y toallon x6</t>
  </si>
  <si>
    <t>https://www.oregonhotel.com.ar/productos/set-x-6-toalla-y-toallon-standard-450-grs-m2/</t>
  </si>
  <si>
    <t>Batas talle M</t>
  </si>
  <si>
    <t>https://metroblanc.com.ar/producto/bata-de-bano-luxury-velour-blanca-100-algodon/</t>
  </si>
  <si>
    <t>Batas talle L</t>
  </si>
  <si>
    <t>Batas talle XL</t>
  </si>
  <si>
    <t>Batas talle XXL</t>
  </si>
  <si>
    <t>https://lbh.com.ar/productos/bata-de-toalla-marca-arcoiris-color-blanca/</t>
  </si>
  <si>
    <t>Vestuario</t>
  </si>
  <si>
    <t>Ropero</t>
  </si>
  <si>
    <t>https://www.mercadolibre.com.ar/ropero-vestidor-de-pino-deck-80-abierto/up/MLAU339978193#polycard_client=search-desktop&amp;be_origin=backend&amp;search_layout=grid&amp;position=1&amp;type=product&amp;tracking_id=641f68d3-a7dc-4e61-a859-7f74bee68151&amp;wid=MLA1710574224&amp;sid=search</t>
  </si>
  <si>
    <t>Banco de madera</t>
  </si>
  <si>
    <t>https://www.mercadolibre.com.ar/banco-para-vestuario-de-150m/up/MLAU3342579862?pdp_filters=seller_id%3A2538618621#polycard_client=recommendations_vip-seller_items-above&amp;reco_backend=ranker-retsys-same-seller&amp;reco_model=rk_entity_sameseller&amp;reco_client=vip-seller_items-above&amp;reco_item_pos=0&amp;reco_backend_type=low_level&amp;reco_id=9c78980e-730f-40fb-bef0-774e589dedf2&amp;wid=MLA2212451214&amp;sid=recos</t>
  </si>
  <si>
    <t>Inodoro</t>
  </si>
  <si>
    <t>https://www.blaisten.com.ar/sanitario-one-piece-moon/p</t>
  </si>
  <si>
    <t>Vanitory + espejo</t>
  </si>
  <si>
    <t>https://www.mercadolibre.com.ar/vanitory-colgante-50cm-nordico-bacha--griferia--espejo/up/MLAU3864870566#polycard_client=recommendations_vip-pads-up&amp;wid=MLA3091394196&amp;sid=recos&amp;reco_backend=recomm_platform_base_pads_ron_marketplace&amp;reco_model=fallback_productos-promocionados&amp;reco_client=vip-pads-up&amp;reco_item_pos=0&amp;reco_backend_type=low_level&amp;reco_id=afedae94-d83b-4339-8e3d-d8b2d393faed&amp;is_advertising=true&amp;ad_domain=VIPDESKTOP_UP&amp;ad_position=1&amp;ad_click_id=N2RlODJjZWMtMWMxNy00MDk5LTk1MDktOTE4NmJjMDIxOTJl</t>
  </si>
  <si>
    <t>Dosificador jabón líquido</t>
  </si>
  <si>
    <t>https://www.arredo.com.ar/dosificador-de-jabon-ceramica-neutro-824576504/p?idsku=21498&amp;utm_content=_&amp;gad_source=1&amp;gad_campaignid=23672689391&amp;gbraid=0AAAAADoCgLuiG0RyFIHeMa9CV_HRTrr4J&amp;gclid=CjwKCAjw9NjRBhATEiwA_p2J8ZjRonitWzPkVNC8VaeqddrBB3vnRVI_yAR2njhkEWIBmSzIq-5gBxoCY5oQAvD_BwE</t>
  </si>
  <si>
    <t>Mesa auxiliar para jacuzzi</t>
  </si>
  <si>
    <t>https://www.amazon.com/-/es/POOLCOMFT-hidromasaje-ajustable-antideslizante-accesorios/dp/B0FQ4QNJ61/ref=pd_sbs_d_sccl_1_7/140-8630331-0985036?pd_rd_w=h6CwC&amp;content-id=amzn1.sym.aa738fbd-ad05-4d11-aae2-04b598db6305&amp;pf_rd_p=aa738fbd-ad05-4d11-aae2-04b598db6305&amp;pf_rd_r=9N7EEBG12Y9PHW10KRPA&amp;pd_rd_wg=kztLY&amp;pd_rd_r=a33b6d74-4b81-4fd6-b0d6-7859e6498fed&amp;pd_rd_i=B0FQ4QNJ61&amp;th=1</t>
  </si>
  <si>
    <t>https://www.mercadolibre.com.ar/meso-de-tronco-ratona/up/MLAU331153721#polycard_client=search-desktop&amp;be_origin=backend&amp;search_layout=grid&amp;position=19&amp;type=product&amp;tracking_id=61ff3969-db91-4477-a5e1-358c0d557fba&amp;wid=MLA1695590662&amp;sid=search</t>
  </si>
  <si>
    <t>https://www.mercadolibre.com.ar/alfombra-redonda-de-yute-natura-lisa-60cm--living-bensur/up/MLAU3643774016#polycard_client=search-desktop&amp;be_origin=backend&amp;search_layout=grid&amp;position=23&amp;type=product&amp;tracking_id=dd60c9af-6d8e-44b3-bc6a-51246348a466&amp;wid=MLA3456287730&amp;sid=search</t>
  </si>
  <si>
    <t>Mesa de apoyo</t>
  </si>
  <si>
    <t>https://www.mercadolibre.com.ar/mesa-ratona-gervasoni-linea-nordica-madera-60cm-encerada/up/MLAU3306262372#polycard_client=search-desktop&amp;be_origin=backend&amp;search_layout=grid&amp;position=5&amp;type=product&amp;tracking_id=dfe19257-bf1d-463e-b042-0389b8555904&amp;wid=MLA2186390590&amp;sid=search</t>
  </si>
  <si>
    <t>https://www.mercadolibre.com.ar/lampara-spot-aplique-barral-cabezal-movil-techo-riel-slim-4-luces-apto-led-gu10-estructura-negro-gioluce/p/MLA30604721#polycard_client=search-desktop&amp;be_origin=backend&amp;search_layout=grid&amp;position=5&amp;type=product&amp;tracking_id=22213b3f-0371-4961-9f9a-bde1efae8ee3&amp;wid=MLA3241040668&amp;sid=search</t>
  </si>
  <si>
    <t>https://www.mercadolibre.com.ar/florero-bandeja-ovalada-set-centro-decoracion-nordico-modern/up/MLAU3794324690#polycard_client=search-desktop&amp;be_origin=backend&amp;search_layout=grid&amp;position=24&amp;type=product&amp;tracking_id=a829b040-0379-48c3-8187-67dbb49d2756&amp;wid=MLA1676269575&amp;sid=search</t>
  </si>
  <si>
    <t xml:space="preserve">Perchero </t>
  </si>
  <si>
    <t>https://www.magnoliasdeco.com.ar/productos/perchero-con-estante/?variant=610536765&amp;pf=mc&amp;gad_source=1&amp;gad_campaignid=23839063191&amp;gbraid=0AAAAA9iqQ9OhSIBGoeB0oZ4NJ_LQVRts5&amp;gclid=CjwKCAjw6MPRBhBTEiwAd-7MrwwOoahgETpynaqm_dyM2GVL9GOms_FjeAU9vRCttkUYq6bWm4EweRoCKPcQAvD_BwE</t>
  </si>
  <si>
    <t>TOTAL SPA</t>
  </si>
  <si>
    <t>TOTAL ESPACIOS COMUNES</t>
  </si>
  <si>
    <t>Estructura de Domos Geodésicos + Cubierta + Aislación</t>
  </si>
  <si>
    <t>https://yurtas.com.ar/yurtas-y-precios</t>
  </si>
  <si>
    <t>descuento del 10% por volumen de compra</t>
  </si>
  <si>
    <t>Decks de los domos (120 m²)</t>
  </si>
  <si>
    <t>Contruccion del baño en los domos + restaurante+recepcion + spa</t>
  </si>
  <si>
    <t>domo central de recepcion</t>
  </si>
  <si>
    <t>https://www.raxtent.com/products/10m-wooden-glass-dome-for-glamping-hotel-and-reception-dome</t>
  </si>
  <si>
    <t>Construcción Spa+ ventana+baño+puerta</t>
  </si>
  <si>
    <t>https://www.raxtent.com/products/raxdome-6x16m-oval-glass-dome-house-pod-for-glamping-cabin-with-insulated-panels?variant=43180126732399</t>
  </si>
  <si>
    <t>Construcción Fogón Central</t>
  </si>
  <si>
    <r>
      <rPr>
        <rFont val="Raleway"/>
        <color theme="1"/>
        <sz val="11.0"/>
      </rPr>
      <t xml:space="preserve">https://www.indec.gob.ar/uploads/informesdeprensa/icc_05_2673538FC44D.pdf y </t>
    </r>
    <r>
      <rPr>
        <rFont val="Raleway"/>
        <color rgb="FF1155CC"/>
        <sz val="11.0"/>
        <u/>
      </rPr>
      <t>https://caede.com.ar/costos-construccion/costo-construccion-neuquen/</t>
    </r>
  </si>
  <si>
    <t>Construcción de restaurante + cubierta+aislacion+ventanas+puerta</t>
  </si>
  <si>
    <t>https://www.raxtent.com/products/raxtent-18m-mixed-dome-house-for-restaurant-and-event-space?variant=42847133368431</t>
  </si>
  <si>
    <t>se calculo incluyendo el aislamiento, puerta, ventana y costo de envio (la mano de obra ya esta inlcuida en el precio del domo)</t>
  </si>
  <si>
    <t>Perforación de pozo + Bomba</t>
  </si>
  <si>
    <t>https://granperforista.ar/agua/pozos-de-agua/perforaciones/precios/</t>
  </si>
  <si>
    <t>Tanques de reserva/reservorio de agua 10mil lt</t>
  </si>
  <si>
    <t>https://www.mercadolibre.com.ar/tanque-agua-tricapa-vertical-10000-litros-waterplast-color-c/up/MLAU3510293172#polycard_client=search-desktop&amp;be_origin=backend&amp;search_layout=grid&amp;position=3&amp;type=product&amp;tracking_id=8a39676b-8146-46b8-882e-dc3349fdb057&amp;wid=MLA1563291597&amp;sid=search</t>
  </si>
  <si>
    <t>Biodigestor/tratamiento de efluentes</t>
  </si>
  <si>
    <t xml:space="preserve">https://listado.mercadolibre.com.ar/biodigestores-cloacales - lo escalamos a nivel comercial </t>
  </si>
  <si>
    <t>Paneles solares+ termotanques solares</t>
  </si>
  <si>
    <t>https://inteva.com.ar/ (escalado para cubrir jacuzzis y climatización</t>
  </si>
  <si>
    <t>Cercado perimetral (Alambrado rural de 7 hilos)</t>
  </si>
  <si>
    <t>https://www.motivar.com.ar/produccion-agropecuaria/el-inta-informo-cuanto-cuesta-el-metro-alambrado-rural-2026-n5335319</t>
  </si>
  <si>
    <t>Matafuegos ABC 5kg</t>
  </si>
  <si>
    <t>Matafuegos Clase K</t>
  </si>
  <si>
    <t>https://www.mercadolibre.com.ar/matafuego-drago-clase-k-de-6-litros-con-carga/up/MLAU351660400#polycard_client=search-desktop&amp;be_origin=backend&amp;search_layout=grid&amp;position=12&amp;type=product&amp;tracking_id=97f32382-cda9-4e66-b643-b7e48f7bc92e&amp;wid=MLA1418942879&amp;sid=search</t>
  </si>
  <si>
    <t>Detector de humox10</t>
  </si>
  <si>
    <t>https://www.mercadolibre.com.ar/pack-de-10-sensor-detector-de-humo-autonomo-fotoelectrico/up/MLAU3322837342?pdp_filters=item_id%3AMLA2198583708&amp;from=gshop&amp;matt_tool=74855370&amp;matt_word=&amp;matt_source=google&amp;matt_campaign_id=23390548772&amp;matt_ad_group_id=189479892703&amp;matt_match_type=&amp;matt_network=g&amp;matt_device=c&amp;matt_creative=789984781654&amp;matt_keyword=&amp;matt_ad_position=&amp;matt_ad_type=pla&amp;matt_merchant_id=5306642239&amp;matt_product_id=MLAU3322837342&amp;matt_product_partition_id=2455354001655&amp;matt_target_id=aud-2418879895625:pla-2455354001655&amp;cq_src=google_ads&amp;cq_cmp=23390548772&amp;cq_net=g&amp;cq_plt=gp&amp;cq_med=pla&amp;gad_source=1&amp;gad_campaignid=23390548772&amp;gbraid=0AAAAAD01zQaQE8v8oSlwK19SqrZo8dDX5&amp;gclid=Cj0KCQjwi8nRBhDhARIsAHZf_pbdt-UYev3quEkICpJAlWYX0qvD8odjS-yIF3EwB_Uqbn7WLsEo1FkaAj4sEALw_wcB</t>
  </si>
  <si>
    <t>Carteleria evacuación</t>
  </si>
  <si>
    <t>https://www.mercadolibre.com.ar/cartel-evacuacion-salida-10x30-flecha-10x10-senal-x10-u/up/MLAU3713811758#polycard_client=search-desktop&amp;be_origin=backend&amp;search_layout=grid&amp;position=3&amp;type=product&amp;float_highlight=last_units&amp;tracking_id=169cb8ef-099a-467c-b2c9-8451a43c6f78&amp;wid=MLA2747862692&amp;sid=search</t>
  </si>
  <si>
    <t>Sistema de seguridad (kit de camaras)</t>
  </si>
  <si>
    <t>https://www.mercadolibre.com.ar/kit-seguridad-dahua-cctv-dvr-8ch-fullhd-6-camaras-2mp-1080p/up/MLAU209229302#polycard_client=search-desktop&amp;be_origin=backend&amp;search_layout=grid&amp;position=3&amp;type=product&amp;tracking_id=5d693133-2ebf-4ca4-95e7-ed272e9e0c3d&amp;wid=MLA1107998934&amp;sid=search</t>
  </si>
  <si>
    <t>Conectividad (Starlink)</t>
  </si>
  <si>
    <t>https://starlink.com/ar/service-plans/business + https://www.iprofesional.com/tecnologia/456715-starlink-sube-precios-cuanto-sale-tener-internet-satelital-en-argentina-en-junio-2026</t>
  </si>
  <si>
    <t>Luces de exterior</t>
  </si>
  <si>
    <t>https://www.mercadolibre.com.ar/farol-piso-jardin-60cm-exterior-led-e27-sendero-pack-x6/up/MLAU3206538749?pdp_filters=item_id%3AMLA2095878992&amp;from=gshop&amp;matt_tool=24807139&amp;matt_internal_campaign_id=355154847&amp;matt_word=&amp;matt_source=google&amp;matt_campaign_id=22943760643&amp;matt_ad_group_id=200604612424&amp;matt_match_type=&amp;matt_network=g&amp;matt_device=c&amp;matt_creative=798898759585&amp;matt_keyword=&amp;matt_ad_position=&amp;matt_ad_type=pla&amp;matt_merchant_id=238105235&amp;matt_product_id=MLAU3206538749&amp;matt_product_partition_id=2433460612482&amp;matt_target_id=aud-2430760955230:pla-2433460612482&amp;cq_src=google_ads&amp;cq_cmp=22943760643&amp;cq_net=g&amp;cq_plt=gp&amp;cq_med=pla&amp;gad_source=1&amp;gad_campaignid=22943760643&amp;gbraid=0AAAAAD01zQZS6D_kae50vmfog7rhbHgGr&amp;gclid=CjwKCAjwgO7RBhBKEiwAZNP85mz0DG1XTAECnT7YxeWx_sdggZC7WDyZDswmiYdh6ybGEP-oNgX9WhoC4JAQAvD_BwE</t>
  </si>
  <si>
    <t>TOTAL ARQUITECTURA</t>
  </si>
  <si>
    <t>TERRENO / INMUEBLE</t>
  </si>
  <si>
    <t>TERRENO</t>
  </si>
  <si>
    <t>Compra/alquiler del terreno/inmueble</t>
  </si>
  <si>
    <t>Impuesto de sellos (1,5%)</t>
  </si>
  <si>
    <t>Honorarios Escribano (1%)</t>
  </si>
  <si>
    <t>Comisión Inmobiliaria (3%)</t>
  </si>
  <si>
    <t>Honorarios diseño de suelo y senderos</t>
  </si>
  <si>
    <t>https://cptn.org.ar/honorarios-minimos-sugeridos/</t>
  </si>
  <si>
    <t>TOTAL TERRENO</t>
  </si>
  <si>
    <t>Habilitación municipal (15 módulos x superficie + 4 módulos x alojamiento + 10 módulos x domo)</t>
  </si>
  <si>
    <t>https://www.economianqn.gob.ar/contenido/file/12305</t>
  </si>
  <si>
    <t>Estudio de Impacto Ambiental</t>
  </si>
  <si>
    <t>https://www.cpaneuquen.org.ar/pdf/honorarios.pdf</t>
  </si>
  <si>
    <t>Estudio de Carga de Fuego y Memoria de Incendio</t>
  </si>
  <si>
    <t>Trámite de agua</t>
  </si>
  <si>
    <t>Trámite de gas</t>
  </si>
  <si>
    <t>Trámite de cloacas</t>
  </si>
  <si>
    <t>Registro de marca INPI (Clase 43, 20 posiciones)</t>
  </si>
  <si>
    <t>https://servidos.ar/calculadora-marcas-patentes</t>
  </si>
  <si>
    <t>Contador para Constitucón SAS</t>
  </si>
  <si>
    <t>https://sitio.cpcen.org.ar/files/escala-de-honorarios-sugerida/RES_777_HONORARIOS_MINIMOS_03_2026_445ea4d4df.pdf</t>
  </si>
  <si>
    <t>Publicación Edicto Sociedad (estimado)</t>
  </si>
  <si>
    <t>https://boficial.neuquen.gov.ar/PreguntasFrecuentes</t>
  </si>
  <si>
    <t>Tasas retributivas + firma de contratos</t>
  </si>
  <si>
    <t>https://www.jusneuquen.gov.ar/rpc-tasas-retributivas/</t>
  </si>
  <si>
    <t>Impuesto de sellos (1,4% sobre el total declarado)</t>
  </si>
  <si>
    <t>https://boficial.neuquen.gov.ar/Leyes/ley_3541_AnexoI.pdf</t>
  </si>
  <si>
    <t>Trámites varios</t>
  </si>
  <si>
    <t>TOTAL HABILITACIONES</t>
  </si>
  <si>
    <t>COMUNICACIÓN / COMERCIALIZACIÓN</t>
  </si>
  <si>
    <t>COMERCIALIZACIÓN</t>
  </si>
  <si>
    <t>Desarollo de página Web</t>
  </si>
  <si>
    <t>Hosting/SSL</t>
  </si>
  <si>
    <t>https://donweb.com/es-ar</t>
  </si>
  <si>
    <t>2 influencer invitación pre-lanzamiento</t>
  </si>
  <si>
    <t>https://www.iproup.com/empleo/62716-cuanto-gana-un-influencer-en-la-argentina-precio-de-story-video-y-reels</t>
  </si>
  <si>
    <t>Google Ads pre-lanzamiento</t>
  </si>
  <si>
    <t>TOTAL COMERCIALIZACIÓN</t>
  </si>
  <si>
    <t>No modificar fórmula (linkea con Cash Flow)</t>
  </si>
  <si>
    <t>Monto total pre-ingreso al negocio (según Cash Flow)</t>
  </si>
  <si>
    <t>TOTAL PRE - INGRESO AL NEGOCIO</t>
  </si>
  <si>
    <t>TC USD:</t>
  </si>
  <si>
    <t>DETALLE DE FUENTES DE FINANCIAMIENTO PROPIA (A)</t>
  </si>
  <si>
    <t>DETALLE DE FUENTES DE FINANCIACION EXTERNA (B)</t>
  </si>
  <si>
    <t>DETALLE DE FUENTES DE FINANCIACION DE INVERSIONISTAS (C)</t>
  </si>
  <si>
    <t>Aporte en efectivo por el dueño/socio/ accionista N° 1</t>
  </si>
  <si>
    <t>Línea elegida</t>
  </si>
  <si>
    <t>Créditos CFI Cadena de Valor</t>
  </si>
  <si>
    <t>Aporte del Inversionista N°1</t>
  </si>
  <si>
    <t>Aporte en efectivo por el dueño/socio/accionista Nº 2</t>
  </si>
  <si>
    <t>Banco/Organismo otorgante</t>
  </si>
  <si>
    <t>CFI</t>
  </si>
  <si>
    <t>Aporte del Inversionista N°2</t>
  </si>
  <si>
    <t>Aporte en efectivo por el dueño/socio/accionista Nº 3</t>
  </si>
  <si>
    <t>Link de referencia de la línea</t>
  </si>
  <si>
    <t>https://www.neuquen.gob.ar/financiamiento/wp-content/uploads/2024/09/Neuquen-Cadenas-de-Valor.pdf</t>
  </si>
  <si>
    <t>Forma de devolución del capital invertido</t>
  </si>
  <si>
    <t>Aporte en efectivo por el dueño/socio/accionista Nº 4</t>
  </si>
  <si>
    <t>https://docs.google.com/document/d/1nJRvVSi2Wd9tHC6rMJ4QjoQlAe5BD6u5SUzVG0OKVhU/edit?usp=sharing</t>
  </si>
  <si>
    <t>Monto total préstamo solicitado (capital)</t>
  </si>
  <si>
    <t>Monto total aportado por inversionistas</t>
  </si>
  <si>
    <t>Unidad Habitacional en San Vicente_ propiedad de Noelia Petrone + Casa de fin de semana de 180 m2 en barrio privado</t>
  </si>
  <si>
    <t>https://www.zonaprop.com.ar/propiedades/clasificado/veclcain-excelente-casa-quinta-con-piscina-en-san-vicente!-54773160.html?n_src=Listado&amp;n_pills=Dormitorio+en+suite&amp;n_pg=1&amp;n_pos=5&amp;n_search_id=f5efa73c-d6f4-47cc-97db-8629f9dac115&amp;utm_source=share&amp;utm_medium=copyLink&amp;utm_campaign=property_sharen_src=Listado&amp;n_pills=Dormitorio+en+suite&amp;n_pg=1&amp;n_pos=5&amp;n_search_id=f5efa73c-d6f4-47cc-97db-8629f9dac115&amp;utm_source=share&amp;utm_medium=copyLink&amp;utm_campaign=property_share</t>
  </si>
  <si>
    <t>En caso de tener una fuente de financiamiento externa, debe desarrollar la solapa 6.2.1 (Detalle devolución préstamo)</t>
  </si>
  <si>
    <t>Unidad Habitacional en Mar del Plata Barrio Plaza Colón propiedad de Martina Miranda - Dpto 2 ambientes con balcón frente a plaza Colón</t>
  </si>
  <si>
    <t>https://www.argenprop.com/departamento-en-venta-en-plaza-colon-2-ambientes--7956391</t>
  </si>
  <si>
    <r>
      <rPr>
        <rFont val="Raleway"/>
        <color rgb="FF000000"/>
        <sz val="11.0"/>
      </rPr>
      <t xml:space="preserve">Unidad Habitacional en Parque Chas, CABA, propiedad de Antonella Silveira. PH de aproximadamente 94 m2 totales, 3 dormitorios, 1 baño, 1 cocina. Terraza y lavadero.  </t>
    </r>
    <r>
      <rPr>
        <rFont val="Raleway"/>
        <color rgb="FF1155CC"/>
        <sz val="11.0"/>
        <u/>
      </rPr>
      <t>https://inmueble.mercadolibre.com.ar/MLA-2250577824-venta-ph-4-ambientes-luminoso-con-terraza-villa-urquiza-parque-chas-_JM#polycard_client=search-desktop&amp;be_origin=backend&amp;search_layout=grid&amp;position=1&amp;type=item&amp;tracking_id=0be3a8a5-8dcc-4511-9470-9548529560ea&amp;price_drop=not_apply&amp;sid=search</t>
    </r>
  </si>
  <si>
    <t>https://docs.google.com/document/d/1wjQM_26wnvdF7Fvr1ZyaMiN1ySuExVhDqmsgvuoK5AA/edit?tab=t.0</t>
  </si>
  <si>
    <t>Unidad Habitacional en Miramar_ propiedad de Giuliana Manchinelli + Departamento vacacional  de 70 m2 en el centro</t>
  </si>
  <si>
    <t>https://departamento.mercadolibre.com.ar/MLA-2783140796-departamento-venta-miramar-_JM?matt_tool=89488245#origin=share&amp;sid=share&amp;action=copy</t>
  </si>
  <si>
    <t>Total de las Fuentes de Financiamiento Propia</t>
  </si>
  <si>
    <t xml:space="preserve">             </t>
  </si>
  <si>
    <t>Cuota N°</t>
  </si>
  <si>
    <t>Capital</t>
  </si>
  <si>
    <t>Intereses</t>
  </si>
  <si>
    <t>Cuota mensual</t>
  </si>
  <si>
    <t>Saldo a pagar del préstamo</t>
  </si>
  <si>
    <t>Monto total préstamo solicitado</t>
  </si>
  <si>
    <r>
      <rPr>
        <rFont val="Raleway"/>
        <color rgb="FF000000"/>
        <sz val="11.0"/>
      </rPr>
      <t xml:space="preserve">Tasa anual - </t>
    </r>
    <r>
      <rPr>
        <rFont val="Raleway"/>
        <b/>
        <color rgb="FF000000"/>
        <sz val="11.0"/>
      </rPr>
      <t>CONSIDERAR CFT</t>
    </r>
    <r>
      <rPr>
        <rFont val="Raleway"/>
        <color rgb="FF000000"/>
        <sz val="11.0"/>
      </rPr>
      <t xml:space="preserve"> (COSTO FINANCIERO TOTAL)</t>
    </r>
  </si>
  <si>
    <t>Cantidad de cuotas mensuales a pagar</t>
  </si>
  <si>
    <t>Cantidad de meses de período de gracia (capital y/o interés)</t>
  </si>
  <si>
    <t>6 sobre el capital</t>
  </si>
  <si>
    <t>Sistema de amortización (francés o alemán)</t>
  </si>
  <si>
    <t>Francés</t>
  </si>
  <si>
    <t>Ver Planilla Excel de Sistema de Amortización
No olvidar volcar los datos de cuotas de capital e interés en Cash Flow</t>
  </si>
  <si>
    <t>Tasa mensual</t>
  </si>
  <si>
    <t>Cuota fija mensual</t>
  </si>
  <si>
    <t xml:space="preserve">Exprese en una tabla, planilla o gráfico la estacionalidad analizada del destino en relación a su negocio. En caso que opere más de un destino, determine los más relevantes para poder analizar las diferentes curvas de estacionalidad y analizar las temporadas baja/media/alta correspondientes. </t>
  </si>
  <si>
    <t>enero</t>
  </si>
  <si>
    <t>febrero</t>
  </si>
  <si>
    <t>marzo</t>
  </si>
  <si>
    <t>abril</t>
  </si>
  <si>
    <t>mayo</t>
  </si>
  <si>
    <t>junio</t>
  </si>
  <si>
    <t>julio</t>
  </si>
  <si>
    <t>agosto</t>
  </si>
  <si>
    <t>septiembre</t>
  </si>
  <si>
    <t>octubre</t>
  </si>
  <si>
    <t>noviembre</t>
  </si>
  <si>
    <t>diciembre</t>
  </si>
  <si>
    <t>Vacacional</t>
  </si>
  <si>
    <t>Corporativo</t>
  </si>
  <si>
    <t>Fuente(s) de las cuales determinó la(s) curva(s) de destino(s):</t>
  </si>
  <si>
    <t>Observatorio Turístico de la Provincia de Neuquén</t>
  </si>
  <si>
    <t>Link(s):</t>
  </si>
  <si>
    <t>https://app.powerbi.com/view?r=eyJrIjoiNmU0MGJiMTYtOTMxMC00NmZkLWFjOTItZGU5N2E2M2EyZmFlIiwidCI6IjQwZGUyOWM4LTJhNWYtNGUzYS1hZDM4LTM4ZmFmZTY1NjEzZCJ9</t>
  </si>
  <si>
    <t>Anuario de Turismo de Neuquen</t>
  </si>
  <si>
    <t>https://www.neuquencapital.gov.ar/turismo/wp-content/uploads/sites/3/2026/07/WEB-ANUARIO-TURISMO-2025.pdf</t>
  </si>
  <si>
    <r>
      <rPr>
        <rFont val="Raleway"/>
        <color rgb="FF000000"/>
        <sz val="11.0"/>
      </rPr>
      <t xml:space="preserve">ESTA PLANILLA ES UN MODELO - UTILIZAR LA QUE MEJOR SE ADAPTE A SU EMPRENDIMIENTO.
Importante: </t>
    </r>
    <r>
      <rPr>
        <rFont val="Raleway"/>
        <b/>
        <color rgb="FFFF0000"/>
        <sz val="11.0"/>
      </rPr>
      <t>relacionar la estimación de ventas por mes con el destino analizado y ver en qué momento de la estacionalidad se encuentra ese destino.</t>
    </r>
  </si>
  <si>
    <t>AÑO 1 DOMOS</t>
  </si>
  <si>
    <t>Mes</t>
  </si>
  <si>
    <t>Cantidad de días operables en el mes</t>
  </si>
  <si>
    <t>Habitaciones</t>
  </si>
  <si>
    <t>Cantidad de habitaciones STD</t>
  </si>
  <si>
    <t xml:space="preserve">Tarifa STD (según temporada) </t>
  </si>
  <si>
    <t>Factor de ocupación (F.O.)</t>
  </si>
  <si>
    <t>Subtotal diario</t>
  </si>
  <si>
    <t>Subtotal mensual</t>
  </si>
  <si>
    <t>enero (alta)</t>
  </si>
  <si>
    <t>febrero (alta)</t>
  </si>
  <si>
    <t>marzo (media)</t>
  </si>
  <si>
    <t>abril (media)</t>
  </si>
  <si>
    <t>mayo (baja)</t>
  </si>
  <si>
    <t>junio (baja)</t>
  </si>
  <si>
    <t>julio (alta)</t>
  </si>
  <si>
    <t>agosto (alta)</t>
  </si>
  <si>
    <t>septiembre (baja)</t>
  </si>
  <si>
    <t>octubre ( media )</t>
  </si>
  <si>
    <t>noviembre ( media)</t>
  </si>
  <si>
    <t>diciembre(media)</t>
  </si>
  <si>
    <t>TARIFAS</t>
  </si>
  <si>
    <t>Año 1</t>
  </si>
  <si>
    <t>Alta</t>
  </si>
  <si>
    <t>Media</t>
  </si>
  <si>
    <t>Baja</t>
  </si>
  <si>
    <t>Habitación STD</t>
  </si>
  <si>
    <t>AÑO 2 DOMOS</t>
  </si>
  <si>
    <t>Tarifa STD (según temporada)</t>
  </si>
  <si>
    <t>Año 2</t>
  </si>
  <si>
    <t>TC</t>
  </si>
  <si>
    <t>Inflación 5%</t>
  </si>
  <si>
    <t>AÑO 3 DOMOS</t>
  </si>
  <si>
    <t>Año 3</t>
  </si>
  <si>
    <t>https://www.lmneuquen.com/neuquen/el-turismo-temporada-alta-cayo-los-niveles-prepandemia-n1140358/amp</t>
  </si>
  <si>
    <t>https://www.neuqueninforma.gob.ar/noticias/2026/02/26/255331-la-ocupacion-crecio-8-puntos-y-supero-el-millon-y-medio-de-pernoctes</t>
  </si>
  <si>
    <t>https://www.neuquen.com/verano-2025-neuquen-alcanzo-mas-del-75-de-ocupacion-y-fortalecio-su-oferta-turistica/</t>
  </si>
  <si>
    <t>AÑO 1 SPA</t>
  </si>
  <si>
    <t>huespedes estimados</t>
  </si>
  <si>
    <t>cantidad de huespedes para masaje</t>
  </si>
  <si>
    <t>tarifa</t>
  </si>
  <si>
    <t>cantidad de huespedes para limpieza facial</t>
  </si>
  <si>
    <t xml:space="preserve">Tarifa </t>
  </si>
  <si>
    <t>cantidad de servicios de vinoterapia (hasta 4 pax)</t>
  </si>
  <si>
    <t>Año 1 Spa</t>
  </si>
  <si>
    <t>Masajes</t>
  </si>
  <si>
    <t>Limpieza facial</t>
  </si>
  <si>
    <t>Vinoterapia</t>
  </si>
  <si>
    <t>AÑO 2 SPA</t>
  </si>
  <si>
    <t>Año 2 Spa</t>
  </si>
  <si>
    <t>AÑO 3 SPA</t>
  </si>
  <si>
    <t>Año 3 Spa</t>
  </si>
  <si>
    <r>
      <rPr>
        <rFont val="Raleway"/>
        <color rgb="FF000000"/>
        <sz val="11.0"/>
      </rPr>
      <t xml:space="preserve">ESTA PLANILLA ES UN MODELO - UTILIZAR LA QUE MEJOR SE ADAPTE A SU EMPRENDIMIENTO.
Importante: </t>
    </r>
    <r>
      <rPr>
        <rFont val="Raleway"/>
        <b/>
        <color rgb="FFFF0000"/>
        <sz val="11.0"/>
      </rPr>
      <t>relacionar la estimación de ventas por mes con el destino analizado y ver en qué momento de la estacionalidad se encuentra ese destino.</t>
    </r>
  </si>
  <si>
    <t>AÑO 1 RESTAURANTE</t>
  </si>
  <si>
    <t>Cubiertos estimados</t>
  </si>
  <si>
    <t>Cantidad entradas</t>
  </si>
  <si>
    <t>Tarifa</t>
  </si>
  <si>
    <t>Cantidad plato principal</t>
  </si>
  <si>
    <t>Cantidad postre</t>
  </si>
  <si>
    <t>Cantidad bebida sin alcohol</t>
  </si>
  <si>
    <t>Cantidad bebida con alcohol</t>
  </si>
  <si>
    <t>Año 1 Restaurante</t>
  </si>
  <si>
    <t>Entrada</t>
  </si>
  <si>
    <t>Plato principal</t>
  </si>
  <si>
    <t>Postre</t>
  </si>
  <si>
    <t>Bebida sin alcohol</t>
  </si>
  <si>
    <t>Bebida con alcohol</t>
  </si>
  <si>
    <t>Inflación 5%:</t>
  </si>
  <si>
    <r>
      <rPr>
        <rFont val="Raleway"/>
        <color rgb="FF000000"/>
        <sz val="11.0"/>
      </rPr>
      <t xml:space="preserve">ESTA PLANILLA ES UN MODELO - UTILIZAR LA QUE MEJOR SE ADAPTE A SU EMPRENDIMIENTO.
Importante: </t>
    </r>
    <r>
      <rPr>
        <rFont val="Raleway"/>
        <b/>
        <color rgb="FFFF0000"/>
        <sz val="11.0"/>
      </rPr>
      <t>relacionar la estimación de ventas por mes con el destino analizado y ver en qué momento de la estacionalidad se encuentra ese destino.</t>
    </r>
  </si>
  <si>
    <t>AÑO 2 RESTAURANTE</t>
  </si>
  <si>
    <t>Año 2 Restaurante</t>
  </si>
  <si>
    <r>
      <rPr>
        <rFont val="Raleway"/>
        <color rgb="FF000000"/>
        <sz val="11.0"/>
      </rPr>
      <t xml:space="preserve">ESTA PLANILLA ES UN MODELO - UTILIZAR LA QUE MEJOR SE ADAPTE A SU EMPRENDIMIENTO.
Importante: </t>
    </r>
    <r>
      <rPr>
        <rFont val="Raleway"/>
        <b/>
        <color rgb="FFFF0000"/>
        <sz val="11.0"/>
      </rPr>
      <t>relacionar la estimación de ventas por mes con el destino analizado y ver en qué momento de la estacionalidad se encuentra ese destino.</t>
    </r>
  </si>
  <si>
    <t>AÑO 3 RESTAURANTE</t>
  </si>
  <si>
    <t>Año 3 Restaurante</t>
  </si>
  <si>
    <t>AÑO 1 JORNADAS CORPORATIVAS</t>
  </si>
  <si>
    <t>Tarifa Jornada Completa</t>
  </si>
  <si>
    <t>Jornadas completas esperadas</t>
  </si>
  <si>
    <t>Tarifa Media Jornada</t>
  </si>
  <si>
    <t>Media Jornadas esperadas</t>
  </si>
  <si>
    <t>enero (baja)</t>
  </si>
  <si>
    <t>febrero (baja)</t>
  </si>
  <si>
    <t>marzo (baja)</t>
  </si>
  <si>
    <t>mayo (media)</t>
  </si>
  <si>
    <t>junio (media)</t>
  </si>
  <si>
    <t>julio (baja)</t>
  </si>
  <si>
    <t>agosto (media)</t>
  </si>
  <si>
    <t>septiembre (alta)</t>
  </si>
  <si>
    <t>octubre (alta)</t>
  </si>
  <si>
    <t>noviembre (alta)</t>
  </si>
  <si>
    <t>diciembre (alta)</t>
  </si>
  <si>
    <t>Tarifa Fija Año 1</t>
  </si>
  <si>
    <t>Jornada Completa</t>
  </si>
  <si>
    <t>Media Jornada</t>
  </si>
  <si>
    <t>AÑO 2 JORNADAS CORPORATIVAS</t>
  </si>
  <si>
    <t>Inflación 2%</t>
  </si>
  <si>
    <t>AÑO 3 JORNADAS CORPORATIVAS</t>
  </si>
  <si>
    <t>SUPUESTOS PARA VENTA MERCH</t>
  </si>
  <si>
    <t>Tarifa Año 1</t>
  </si>
  <si>
    <t>Tarifa Año 2</t>
  </si>
  <si>
    <t>Tarifa Año 3</t>
  </si>
  <si>
    <t>Estadía promedio (noches)</t>
  </si>
  <si>
    <t>Básica</t>
  </si>
  <si>
    <t>Tasa de conversión (% de reservas que compran una box)</t>
  </si>
  <si>
    <t>Reserva</t>
  </si>
  <si>
    <t>Mix Básica</t>
  </si>
  <si>
    <t>Gran Reserva</t>
  </si>
  <si>
    <t>Mix Reserva</t>
  </si>
  <si>
    <t>Corporate Wine Box</t>
  </si>
  <si>
    <t>Mix Gran Reserva</t>
  </si>
  <si>
    <t>Corporate boxes por jornada/media corporativa</t>
  </si>
  <si>
    <t>% de jornadas que se llevan box</t>
  </si>
  <si>
    <t>Inflación anual del precio en USD</t>
  </si>
  <si>
    <t>AÑO 1 - WINE THERAPY BOXES</t>
  </si>
  <si>
    <t>FO</t>
  </si>
  <si>
    <t>Habitación-noches</t>
  </si>
  <si>
    <t>Reservas del mes</t>
  </si>
  <si>
    <t>Boxes vendidas</t>
  </si>
  <si>
    <t>Básica (u)</t>
  </si>
  <si>
    <t>Reserva (u)</t>
  </si>
  <si>
    <t>Gran Reserva (u)</t>
  </si>
  <si>
    <t>Costos</t>
  </si>
  <si>
    <t>AÑO 1 - CORPORATE WINE BOX</t>
  </si>
  <si>
    <t>Total Jornadas + Medias Jornadas</t>
  </si>
  <si>
    <t>Total  jornadas que se espera lleven wine box</t>
  </si>
  <si>
    <t>Total unidades</t>
  </si>
  <si>
    <t>AÑO 2 - WINE THERAPY BOXES</t>
  </si>
  <si>
    <t>AÑO 2 - CORPORATE WINE BOX</t>
  </si>
  <si>
    <t>AÑO 3 - WINE THERAPY BOXES</t>
  </si>
  <si>
    <t>AÑO 3 - CORPORATE WINE BOX</t>
  </si>
  <si>
    <t>Sindicato/Organización de la cual se obtuvieron los valores de sueldos según Convenio Colectivo de Trabajo (CCT):</t>
  </si>
  <si>
    <t xml:space="preserve">UTHGRA-FEHGRA — Convenio Colectivo de Trabajo N° 389/04 </t>
  </si>
  <si>
    <t>Link:</t>
  </si>
  <si>
    <t>https://uthgramendoza.com.ar/wp-content/uploads/2025/01/escala-fehgra-vigente.pdf</t>
  </si>
  <si>
    <t>SUELDOS Y CARGAS SOCIALES
INDICAR EN EL CASH FLOW (ACTUALIZAR SEGÚN INFLACIÓN)</t>
  </si>
  <si>
    <t>Aplicar inflación para el cálculo de Sueldos y Cargas Sociales (mes a mes)</t>
  </si>
  <si>
    <t>Posición</t>
  </si>
  <si>
    <t>Salario Mensual ($ BRUTOS)
Año 1</t>
  </si>
  <si>
    <t>Director general</t>
  </si>
  <si>
    <t>SÓLO MODIFICAR ESTOS VALORES</t>
  </si>
  <si>
    <t>Administrador mañana</t>
  </si>
  <si>
    <t xml:space="preserve">Administrador tarde </t>
  </si>
  <si>
    <t>Anfitrión</t>
  </si>
  <si>
    <t>El convenio utilizado fue la escala salarial de Mendoza ya que publicó  los valores actualizados de junio de 2026</t>
  </si>
  <si>
    <t>Chef/cocinero</t>
  </si>
  <si>
    <t>Camarero/hostess</t>
  </si>
  <si>
    <t xml:space="preserve">Utilizamos como referencia la categoría B del tercer tramo (Junio 2026). Se asignó el punto 6 a los puestos de  Anfitrión, Chef/Cocinero y Camarero/Hostess y el punto 4 a la housekeeper. Se aplicón un 32 % de cargos adicionales. </t>
  </si>
  <si>
    <t>Housekeeper</t>
  </si>
  <si>
    <t xml:space="preserve">Para definir los salarios del director general y los administradores consultamos varias fuentes (glassdor, bebee) pero los valores no eran razonables para las tareas que ejercía el perfil Por eso decidimos aplicar una remuneración basada en la escala salarial del punto 7 (la más alta del convenio). A los valores base le aplicamos un 48%adicional para el director general y un 8% para los administradores. </t>
  </si>
  <si>
    <t>Sub Total BRUTO (por mes)</t>
  </si>
  <si>
    <t>NO MODIFICAR FÓRMULAS</t>
  </si>
  <si>
    <t>Proporcional SAC BRUTO (mensual)</t>
  </si>
  <si>
    <t>Total mensual BRUTO (Sueldos + Proporcional SAC)</t>
  </si>
  <si>
    <t>APORTES PATRONALES EMPLEADOR (sobre sueldo BRUTO)</t>
  </si>
  <si>
    <t>Año 1 (por mes)</t>
  </si>
  <si>
    <t>Jubilacion (16%)</t>
  </si>
  <si>
    <t>PAMI (2%)</t>
  </si>
  <si>
    <t>Obra social (6%)</t>
  </si>
  <si>
    <t>Fondo Nacional de Empleo (1,5%)</t>
  </si>
  <si>
    <t>Seguro de Vida Obligatorio (0,03%)</t>
  </si>
  <si>
    <t>ART (3%)</t>
  </si>
  <si>
    <t>Sub Total (Mensual) Aportes Patronales</t>
  </si>
  <si>
    <t>Información Salario</t>
  </si>
  <si>
    <t>INFLACIÓN ESTIMADA MENSUAL AÑO 1 
(calcular la inflación mes a mes)</t>
  </si>
  <si>
    <t>INFLACIÓN ESTIMADA MENSUAL AÑO 2
(calcular la inflación mes a mes)</t>
  </si>
  <si>
    <t>INFLACIÓN ESTIMADA MENSUAL AÑO 3
(calcular la inflación mes a mes)</t>
  </si>
  <si>
    <t>AÑO 1</t>
  </si>
  <si>
    <t>AÑO 2</t>
  </si>
  <si>
    <t>AÑO 3</t>
  </si>
  <si>
    <t>TOTAL</t>
  </si>
  <si>
    <t>Saldo inicial de caja</t>
  </si>
  <si>
    <t>INGRESOS</t>
  </si>
  <si>
    <t>Ingresos habitaciones</t>
  </si>
  <si>
    <t>Ingresos spa</t>
  </si>
  <si>
    <t>Ingresos restaurante</t>
  </si>
  <si>
    <t>Ingresos Jornadas Coporativas</t>
  </si>
  <si>
    <t>Ingresos Venta Wine Boxes</t>
  </si>
  <si>
    <t>Ingresos Venta Wine Corporate Boxes</t>
  </si>
  <si>
    <t>Total ingresos</t>
  </si>
  <si>
    <t>EGRESOS</t>
  </si>
  <si>
    <t>Sueldos Brutos</t>
  </si>
  <si>
    <t>Proporcional SAC (Aguinaldo)</t>
  </si>
  <si>
    <t>Aportes Patronales Empleador (Sueldos Brutos + Proporcional SAC)</t>
  </si>
  <si>
    <t>Community manager</t>
  </si>
  <si>
    <t>Fotógrafo</t>
  </si>
  <si>
    <t>Jardinero</t>
  </si>
  <si>
    <t>Sommelier y guía de catas</t>
  </si>
  <si>
    <t>Instructor de yoga</t>
  </si>
  <si>
    <t>Masajista y terapeuta de spa</t>
  </si>
  <si>
    <t>Servicio de lavandería</t>
  </si>
  <si>
    <t>Comisiones Booking (30%)</t>
  </si>
  <si>
    <t>Google Ads</t>
  </si>
  <si>
    <t xml:space="preserve">Colaboración influencers </t>
  </si>
  <si>
    <t>Pago a proveedores Restaurante (Insumos)</t>
  </si>
  <si>
    <t>Pago a proveedores Desayuno (Insumos)</t>
  </si>
  <si>
    <t>Pago a proveedores Housekeeping (Insumos)</t>
  </si>
  <si>
    <t>Pago a proveedores Spa (Insumos)</t>
  </si>
  <si>
    <t>Pago a proveedores Jornadas Corporativas</t>
  </si>
  <si>
    <t>Costos Wine Boxes</t>
  </si>
  <si>
    <t>Costos Corporate Wine Boxes</t>
  </si>
  <si>
    <t>Mantenimiento Jacuzzis</t>
  </si>
  <si>
    <t>Gastos varios de oficina</t>
  </si>
  <si>
    <t>Dispenser de aguax2</t>
  </si>
  <si>
    <t>Seguro integral de comercio</t>
  </si>
  <si>
    <t>Conservador de Incendios</t>
  </si>
  <si>
    <t>Servicios de energía eléctrica</t>
  </si>
  <si>
    <t>Servicios de gas y agua</t>
  </si>
  <si>
    <t>Impuesto inmobiliario</t>
  </si>
  <si>
    <t>Habilitación anual de establecimiento turístico fuera del ejido municipal</t>
  </si>
  <si>
    <t>Tasa Seguridad e Higiene (alojamiento + restaurante + m²)</t>
  </si>
  <si>
    <t>Abono Internet Starlink</t>
  </si>
  <si>
    <t>Asesoramiento Contable</t>
  </si>
  <si>
    <t>Asesoramiento Legal</t>
  </si>
  <si>
    <t>Asesoramiento / Mantenimiento Sistemas Web</t>
  </si>
  <si>
    <t>Pago de licencias por uso de sistemas (pxsol)</t>
  </si>
  <si>
    <t>Capacitación primeros auxilios</t>
  </si>
  <si>
    <t>Capacitación prevencion de incendios</t>
  </si>
  <si>
    <t>Capacitación + carnet Manipulación de alimentos</t>
  </si>
  <si>
    <t>Pago de dominio web</t>
  </si>
  <si>
    <t>Almacenamiento en la nube</t>
  </si>
  <si>
    <t>Abono fumigación</t>
  </si>
  <si>
    <t>Devolución de capital a inversionistas</t>
  </si>
  <si>
    <t>Cuota Prestamo (Capital)</t>
  </si>
  <si>
    <t>Cuota Prestamo (Intereses)</t>
  </si>
  <si>
    <t>Mantenimiento de cuenta corriente bancaria</t>
  </si>
  <si>
    <t>Mantenimiento edilicio (2%)</t>
  </si>
  <si>
    <t>Impuesto a los Ingresos Brutos - IIBB (3%)</t>
  </si>
  <si>
    <t>Impuesto a los débitos (0.6%)</t>
  </si>
  <si>
    <t>Impuesto a los créditos (0.6%)</t>
  </si>
  <si>
    <t>Sub Total Egresos Operativos</t>
  </si>
  <si>
    <t>Resultado Bruto</t>
  </si>
  <si>
    <t>Impuesto a las ganancias - IIGG (35%)</t>
  </si>
  <si>
    <t>Resultado neto: (Resultado Bruto - IIGG)</t>
  </si>
  <si>
    <t>Retiro de socios</t>
  </si>
  <si>
    <t>Saldo de cierre de caja mensual</t>
  </si>
  <si>
    <t>Saldo final de caja acumulado</t>
  </si>
  <si>
    <r>
      <rPr>
        <rFont val="Raleway"/>
        <b/>
        <color rgb="FFFF0000"/>
        <sz val="11.0"/>
      </rPr>
      <t>NO MODIFICAR FÓRMULAS</t>
    </r>
    <r>
      <rPr>
        <rFont val="Raleway"/>
        <b/>
        <color theme="1"/>
        <sz val="11.0"/>
      </rPr>
      <t xml:space="preserve">
Pre ingreso al negocio 
("Saldo final de caja acumulado" más alto en el Cash Flow)
Se indica en positivo</t>
    </r>
  </si>
  <si>
    <t>podemos agregar otra columna por porcentaje y vamos cambiando segun la estacionalidad del mes</t>
  </si>
  <si>
    <t>GASTOS DE HOUSEKEEPING</t>
  </si>
  <si>
    <t>Artículo</t>
  </si>
  <si>
    <t>Link de referencia del producto</t>
  </si>
  <si>
    <t>precio x hora</t>
  </si>
  <si>
    <t>hs x mes (2 clases x dia)</t>
  </si>
  <si>
    <t>Antisarro</t>
  </si>
  <si>
    <t>https://www.mercadolibre.com.ar/limpiador-en-atomizador-harpic-banos-495ml/p/MLA19814725?pdp_filters=item_id:MLA1800905325#is_advertising=true&amp;searchVariation=MLA19814725&amp;backend_model=search-backend&amp;be_origin=backend&amp;position=2&amp;search_layout=grid&amp;type=pad&amp;tracking_id=52f71372-346d-4ea9-b34a-46a13e94b834&amp;ad_domain=VQCATCORE_LST&amp;ad_position=2&amp;ad_click_id=YzY0Mzc2MmYtYThlNi00ZTgyLWJlNDAtYmNkNmZhNGE0ZTE0</t>
  </si>
  <si>
    <t>Instructor yoga</t>
  </si>
  <si>
    <t>Baldes</t>
  </si>
  <si>
    <t>https://www.mercadolibre.com.ar/balde-12-litros-de-plastico-reforzada/p/MLA20952403#polycard_client=search-desktop&amp;be_origin=backend&amp;search_layout=grid&amp;position=12&amp;type=product&amp;tracking_id=7f12b2a5-c287-47f9-a06c-237b742b4a3e&amp;wid=MLA1344524638&amp;sid=search</t>
  </si>
  <si>
    <t>Bolsas de residuo 45x60 (100u)</t>
  </si>
  <si>
    <t>https://www.mercadolibre.com.ar/bolsa-de-residuos-45x60-pack-x100/up/MLAU3805552808#polycard_client=search-desktop&amp;be_origin=backend&amp;search_layout=grid&amp;position=3&amp;type=product&amp;tracking_id=6a8320a8-51b9-4f24-8243-85541f2ca2ec&amp;wid=MLA2881099898&amp;sid=search</t>
  </si>
  <si>
    <t>Bolsas de residuo 60x90 (100u)</t>
  </si>
  <si>
    <t>https://www.mercadolibre.com.ar/bolsa-residuos-consorcio-60-x-90-cm-100-uni-antigoteo/p/MLA2079413843?pdp_filters=item_id:MLA1163849614#is_advertising=true&amp;searchVariation=MLA2079413843&amp;backend_model=search-backend&amp;be_origin=backend&amp;position=3&amp;search_layout=grid&amp;type=pad&amp;tracking_id=7a2018e0-b777-4680-a481-92d9f6258cd1&amp;ad_domain=VQCATCORE_LST&amp;ad_position=3&amp;ad_click_id=ZGM4YTU5MjEtMDdiOS00MjQyLTk0OTktMjMwOTNjYmVlYzk5</t>
  </si>
  <si>
    <t>Botella para pulverizador</t>
  </si>
  <si>
    <t>https://www.mercadolibre.com.ar/envase-plastico-botella-pulverizador-rociador-spray-1l-x10/up/MLAU242724440#polycard_client=search-desktop&amp;be_origin=backend&amp;search_layout=grid&amp;position=6&amp;type=product&amp;tracking_id=fbd38d23-45c3-4d9c-be84-8ca73183257d&amp;wid=MLA1427465140&amp;sid=search</t>
  </si>
  <si>
    <t>Temporada alta</t>
  </si>
  <si>
    <t>Cepillo de mano</t>
  </si>
  <si>
    <t>https://www.mercadolibre.com.ar/cepillo-de-mano-kuntur-glow-blanco/p/MLA66475140?pdp_filters=item_id:MLA3043293248#is_advertising=true&amp;searchVariation=MLA66475140&amp;backend_model=search-backend&amp;be_origin=backend&amp;position=1&amp;search_layout=grid&amp;type=pad&amp;tracking_id=50224ece-d758-454b-9fea-85f6c6c0dc51&amp;ad_domain=VQCATCORE_LST&amp;ad_position=1&amp;ad_click_id=MzM5OGNhMjAtMDQzNi00ZGYzLThjYWQtMzJlNTc2OTYyYmNm</t>
  </si>
  <si>
    <t>Desodorante de ambiente</t>
  </si>
  <si>
    <t>https://www.mercadolibre.com.ar/desodorante-de-ambiente-poett-suavidad-de-algodon-360-ml/p/MLA48593396?pdp_filters=shipping%3Afulfillment%7Cdeal%3AMLA1024566-1#polycard_client=search-desktop&amp;be_origin=backend&amp;search_layout=grid&amp;position=1&amp;type=product&amp;tracking_id=0510e84d-62ee-4607-9cc7-552686e37a72&amp;wid=MLA2055765538&amp;sid=search</t>
  </si>
  <si>
    <t>Detergente X5L (LIESTAR CLEAN)</t>
  </si>
  <si>
    <t>https://www.mercadolibre.com.ar/detergente-liquido-5-l-master-clean/p/MLA62924186?pdp_filters=shipping%3Afulfillment%7Cdeal%3AMLA1024566-1#polycard_client=search-desktop&amp;be_origin=backend&amp;search_layout=grid&amp;position=1&amp;type=product&amp;tracking_id=19b4ffc1-f144-47f3-b5a7-712e2d4cbbc0&amp;wid=MLA2640910412&amp;sid=search</t>
  </si>
  <si>
    <t>Escobillón</t>
  </si>
  <si>
    <t>https://www.mercadolibre.com.ar/escobillon-anden-de-cerda-80cm/up/MLAU172121772?pdp_filters=item_id:MLA763085090#is_advertising=true&amp;searchVariation=MLAU172121772&amp;backend_model=search-backend&amp;be_origin=backend&amp;position=13&amp;search_layout=grid&amp;type=pad&amp;tracking_id=858c37c3-e105-4956-9c6a-3c8433921c34&amp;ad_domain=VQCATCORE_LST&amp;ad_position=13&amp;ad_click_id=YzAyODcwZjctY2I0OS00ODYzLWE4NzMtMzU3N2FiZjAxZWI3</t>
  </si>
  <si>
    <t xml:space="preserve">Esponja Fibra suave </t>
  </si>
  <si>
    <t>https://www.mercadolibre.com.ar/fibra-esponja-azul-superficies-delicadas-pack-x-24-unidades/up/MLAU244654695#polycard_client=search-desktop&amp;be_origin=backend&amp;search_layout=grid&amp;position=1&amp;type=product&amp;tracking_id=0448e4dc-ee51-4e0f-b2d8-f5c5e07cbc68&amp;wid=MLA1550183164&amp;sid=search</t>
  </si>
  <si>
    <t>Esponja tipo Mortimer</t>
  </si>
  <si>
    <t>https://www.mercadolibre.com.ar/esponja-mortimer-cuadriculada-x-12-unidades/up/MLAU4046040057#polycard_client=search-desktop&amp;be_origin=backend&amp;search_layout=grid&amp;position=3&amp;type=product&amp;tracking_id=2974a200-0309-4baf-9d6d-b91296d9caaa&amp;wid=MLA3425470332&amp;sid=search</t>
  </si>
  <si>
    <t>Espuma hidro masajes</t>
  </si>
  <si>
    <t>https://www.mercadolibre.com.ar/spa-espuma-x200-rosas/up/MLAU3921213807?pdp_filters=item_id%3AMLA3242015772&amp;from=gshop&amp;matt_tool=70882460&amp;matt_word=&amp;matt_source=google&amp;matt_campaign_id=23390548526&amp;matt_ad_group_id=189479825183&amp;matt_match_type=&amp;matt_network=g&amp;matt_device=c&amp;matt_creative=789984776368&amp;matt_keyword=&amp;matt_ad_position=&amp;matt_ad_type=pla&amp;matt_merchant_id=5775945945&amp;matt_product_id=MLAU3921213807&amp;matt_product_partition_id=2391100821330&amp;matt_target_id=aud-2430760955230:pla-2391100821330&amp;cq_src=google_ads&amp;cq_cmp=23390548526&amp;cq_net=g&amp;cq_plt=gp&amp;cq_med=pla&amp;gad_source=1&amp;gad_campaignid=23390548526&amp;gbraid=0AAAAAD01zQYITR9YxzFmcrOPSO5TpiMb4&amp;gclid=Cj0KCQjwi8nRBhDhARIsAHZf_pZMyqEP3meDFEQZ1hL_6ADFynJzhe_RlC1o_vFvBUoRYFJrDTC5WoUaAqoLEALw_wcB</t>
  </si>
  <si>
    <t>Gorra de baño (cofia)</t>
  </si>
  <si>
    <t>https://www.mercadolibre.com.ar/cofias-descartables-plisadas-caja-x-200-unidades/up/MLAU251662112?pdp_filters=item_id:MLA1373065457#is_advertising=true&amp;searchVariation=MLAU251662112&amp;backend_model=search-backend&amp;be_origin=backend&amp;position=3&amp;search_layout=grid&amp;type=pad&amp;tracking_id=61a3a705-1196-47e3-8002-5ccfdc2da29b&amp;ad_domain=VQCATCORE_LST&amp;ad_position=3&amp;ad_click_id=Y2ZlMGQ1NDgtODgzNy00MmVjLTg3M2YtZDkyOGVhYjA5M2M0</t>
  </si>
  <si>
    <t xml:space="preserve">Guantes </t>
  </si>
  <si>
    <t>https://articulo.mercadolibre.com.ar/MLA-1119548259-x3-cajas-de-guantes-nitrilo-negro-reforzado-mediglove-_JM?searchVariation=181679942565#is_advertising=true&amp;searchVariation=181679942565&amp;backend_model=search-backend&amp;be_origin=fallback&amp;position=2&amp;search_layout=grid&amp;type=pad&amp;tracking_id=12cfe631-b64b-4674-8327-3a8fb764ec5d&amp;ad_domain=VQCATCORE_LST&amp;ad_position=2&amp;ad_click_id=OTA2ZDRiYzYtMTk0Ny00NmI0LThlNzItMGRkMjllNDhiNDIw</t>
  </si>
  <si>
    <t>shampoo liquido</t>
  </si>
  <si>
    <t>https://www.mercadolibre.com.ar/shampoo-neutro-x-5-litros-color-master-fidelite/p/MLA44430233?pdp_filters=shipping%3Afulfillment%7Cdeal%3AMLA1024566-1#polycard_client=search-desktop&amp;be_origin=backend&amp;search_layout=grid&amp;position=1&amp;type=product&amp;tracking_id=3106679b-f92b-4e86-87d1-0986665ac602&amp;wid=MLA2308182170&amp;sid=search</t>
  </si>
  <si>
    <t>acondicionador liquido</t>
  </si>
  <si>
    <t>https://www.mercadolibre.com.ar/acondicionador-suave-crema-nutricion-5ltrs-unilever/p/MLA28291856?pdp_filters=shipping%3Afulfillment%7Cdeal%3AMLA1024566-1#polycard_client=search-desktop&amp;be_origin=backend&amp;search_layout=grid&amp;position=1&amp;type=product&amp;tracking_id=282fcced-9d78-4739-b508-2705890e8063&amp;wid=MLA1577043742&amp;sid=search</t>
  </si>
  <si>
    <t>Jabon liquido de manos</t>
  </si>
  <si>
    <t>https://www.mercadolibre.com.ar/jabon-liquido-para-manos-sia-fragancia-coco-5-litros/up/MLAU3440260779#polycard_client=search-desktop&amp;be_origin=backend&amp;search_layout=grid&amp;position=11&amp;type=product&amp;tracking_id=3645a96f-5562-444f-91dd-343b4d7a2f0d&amp;wid=MLA2393185416&amp;sid=search</t>
  </si>
  <si>
    <t>Lavandina X5L</t>
  </si>
  <si>
    <t>https://www.mercadolibre.com.ar/agua-lavandina-concentrada-55-gl-5-litros/up/MLAU279587555?pdp_filters=shipping%3Afulfillment%7Cdeal%3AMLA1024566-1#polycard_client=search-desktop&amp;be_origin=backend&amp;search_layout=grid&amp;position=1&amp;type=product&amp;tracking_id=2199cd61-d95f-4eb6-97ff-a819cbd339a0&amp;wid=MLA784733418&amp;sid=search</t>
  </si>
  <si>
    <t xml:space="preserve">Limpia mueble CIF </t>
  </si>
  <si>
    <t>https://www.mercadolibre.com.ar/limpiador-ultra-brillo-cif-original-gatillo-x-400-ml/p/MLA21187143?pdp_filters=shipping%3Afulfillment%7Cdeal%3AMLA1024566-1#polycard_client=search-desktop&amp;be_origin=backend&amp;search_layout=grid&amp;position=1&amp;type=product&amp;tracking_id=9a5cc990-3635-462b-92a9-6c9bb1b67f13&amp;wid=MLA1469873627&amp;sid=search</t>
  </si>
  <si>
    <t xml:space="preserve">Limpia vidrios X5L </t>
  </si>
  <si>
    <t>https://www.mercadolibre.com.ar/limpiador-procenex-vidrios-oro-con-gatillo/p/MLA16134550?pdp_filters=item_id:MLA1134752890#is_advertising=true&amp;searchVariation=MLA16134550&amp;backend_model=search-backend&amp;be_origin=backend&amp;position=2&amp;search_layout=grid&amp;type=pad&amp;tracking_id=b00135a6-8296-481f-bf4f-8d33268c463d&amp;ad_domain=VQCATCORE_LST&amp;ad_position=2&amp;ad_click_id=MDQ2OTA5YWQtODc4Ny00OTRjLWJkNjMtZmNhZDhkODI1NThh</t>
  </si>
  <si>
    <t>Limpiador baño gel</t>
  </si>
  <si>
    <t>Limpiador X5L pisos</t>
  </si>
  <si>
    <t>https://www.mercadolibre.com.ar/limpiador-de-pisos-poett-pro-lavanda-5l-flores-de-primavera/p/MLA65661506#polycard_client=search-desktop&amp;be_origin=backend&amp;search_layout=grid&amp;position=1&amp;type=product&amp;tracking_id=28bb1b2d-2b95-47f2-a1b7-76394d68cfa9&amp;wid=MLA2864286584&amp;sid=search</t>
  </si>
  <si>
    <t xml:space="preserve">Limpiavidrios </t>
  </si>
  <si>
    <t>https://www.mercadolibre.com.ar/limpiavidrio-mango-aluminio-extensible-70cm-doble-cabeza/p/MLA21816514?pdp_filters=shipping%3Afulfillment%7Cdeal%3AMLA1024566-1#polycard_client=search-desktop&amp;be_origin=backend&amp;search_layout=grid&amp;position=1&amp;type=product&amp;tracking_id=d67e0759-077e-4733-a683-4db29399e080&amp;wid=MLA1552750987&amp;sid=search</t>
  </si>
  <si>
    <t>Palo Escoba Cepillo Limpieza Multiuso</t>
  </si>
  <si>
    <t>https://www.mercadolibre.com.ar/palo-escoba-cepillo-limpieza-multiuso-pano-set-accesorios/p/MLA52859927?pdp_filters=shipping%3Afulfillment%7Cdeal%3AMLA1024566-1#polycard_client=search-desktop&amp;be_origin=backend&amp;search_layout=grid&amp;position=4&amp;type=product&amp;tracking_id=d45db08c-b3e7-4f70-87b5-ec6af31333b8&amp;wid=MLA2187790980&amp;sid=search</t>
  </si>
  <si>
    <t xml:space="preserve">Paño Microfibra </t>
  </si>
  <si>
    <t>https://www.mercadolibre.com.ar/laffitte-pano-microfibra-60x40-secado-rapido-y-delicado/p/MLA19911466?pdp_filters=shipping%3Afulfillment%7Cdeal%3AMLA1024566-1#polycard_client=search-desktop&amp;be_origin=backend&amp;search_layout=grid&amp;position=4&amp;type=product&amp;tracking_id=8f3c7d80-3227-4596-a39a-ab134b29ba5c&amp;wid=MLA1742837792&amp;sid=search</t>
  </si>
  <si>
    <t xml:space="preserve">Paño multiuso amarillo </t>
  </si>
  <si>
    <t>https://www.mercadolibre.com.ar/pano-amarillo-limpieza-ballerina-valerina-x-12-unidades/up/MLAU135482530?pdp_filters=item_id%3AMLA884718207&amp;from=gshop&amp;matt_tool=58626580&amp;matt_word=&amp;matt_source=google&amp;matt_campaign_id=23390548691&amp;matt_ad_group_id=189479856423&amp;matt_match_type=&amp;matt_network=g&amp;matt_device=c&amp;matt_creative=789984778468&amp;matt_keyword=&amp;matt_ad_position=&amp;matt_ad_type=pla&amp;matt_merchant_id=312428915&amp;matt_product_id=MLAU135482530&amp;matt_product_partition_id=2454318074597&amp;matt_target_id=aud-2430760955230:pla-2454318074597&amp;cq_src=google_ads&amp;cq_cmp=23390548691&amp;cq_net=g&amp;cq_plt=gp&amp;cq_med=pla&amp;gad_source=1&amp;gad_campaignid=23390548691&amp;gbraid=0AAAAAD01zQaySgtsoerSA0nmOIaucVg9z&amp;gclid=Cj0KCQjwi8nRBhDhARIsAHZf_pa-cXnAc5ZutcwKBWw1vnKctEf3_GNI3wjHV6n0Du1tmjz-CnXM2nEaAmTSEALw_wcB</t>
  </si>
  <si>
    <t xml:space="preserve">Papel higienico </t>
  </si>
  <si>
    <t>https://www.mercadolibre.com.ar/bolson-papel-higienico-blanco-30-rollos-x-100mts-suave/p/MLA53768746?pdp_filters=item_id:MLA2241182834#is_advertising=true&amp;searchVariation=MLA53768746&amp;backend_model=search-backend&amp;be_origin=backend&amp;position=1&amp;search_layout=grid&amp;type=pad&amp;tracking_id=6ae04f76-5b78-4bd3-bbe0-9714e22d7833&amp;ad_domain=VQCATCORE_LST&amp;ad_position=1&amp;ad_click_id=Y2ExYzljOGQtNDJkMi00NDljLWI4MWUtNWY0ZjM3ODY3NTRl</t>
  </si>
  <si>
    <t>Tacho de basura blanco con tapa</t>
  </si>
  <si>
    <t>https://www.mercadolibre.com.ar/tacho-d-basura-15l-automatico-c-sensor-automatico-recargabl/up/MLAU4083628263?pdp_filters=official_store%3Aall#polycard_client=search-desktop&amp;be_origin=backend&amp;search_layout=grid&amp;position=11&amp;type=product&amp;tracking_id=6c7c9f39-b13e-481a-b53a-2207c1ba395f&amp;wid=MLA1835403235&amp;sid=search</t>
  </si>
  <si>
    <t>mopa</t>
  </si>
  <si>
    <t>https://www.mercadolibre.com.ar/mopa-balde-centrifugo-escurridor-apilable-limpieza-premium-negro/p/MLA62390963?pdp_filters=item_id:MLA2611526394#is_advertising=true&amp;searchVariation=MLA62390963&amp;backend_model=search-backend&amp;be_origin=backend&amp;position=15&amp;search_layout=grid&amp;type=pad&amp;tracking_id=f31ecef4-f499-4b95-8a02-f222c8c6fe50&amp;ad_domain=VQCATCORE_LST&amp;ad_position=15&amp;ad_click_id=NGVkZDY1OTAtZTBmMy00MWI3LTllYTctOTc5NWM1NDNhM2Rk</t>
  </si>
  <si>
    <t>TOTAL GASTOS HOUSEKEEPING</t>
  </si>
  <si>
    <t>GASTOS DE LAVANDERÍA</t>
  </si>
  <si>
    <t>FUNDA</t>
  </si>
  <si>
    <t>https://drive.google.com/file/d/1LrHrXRzmxBILOdp0oR39t4lpEoAuMLA-/view?usp=sharing</t>
  </si>
  <si>
    <t>SABANAS</t>
  </si>
  <si>
    <t>TOALLON + TOALLA</t>
  </si>
  <si>
    <t>PIE DE BAÑO</t>
  </si>
  <si>
    <t>ACOLCHADOS KING</t>
  </si>
  <si>
    <t>ACOLCHADOS TWIN</t>
  </si>
  <si>
    <t>TOTAL GASTOS LAVANDERÍA</t>
  </si>
  <si>
    <t>GASTOS DE RECEPCIÓN</t>
  </si>
  <si>
    <t>Lapiceras x50</t>
  </si>
  <si>
    <t>https://www.mercadolibre.com.ar/birome-bic-opaco-en-caja-x-50-boligrafos-trazo-medio-clasico-tinta-cristal-negro/p/MLA69897374?pdp_filters=item_id:MLA3374095480#is_advertising=true&amp;searchVariation=MLA69897374&amp;backend_model=search-backend&amp;be_origin=backend&amp;position=3&amp;search_layout=grid&amp;type=pad&amp;tracking_id=1335c266-72a3-4b5c-8245-64e17fed5615&amp;ad_domain=VQCATCORE_LST&amp;ad_position=3&amp;ad_click_id=N2Y2ZDc2NTYtYjFkNi00ODg1LWFiYjktOTczZTg3NmE5NjE2</t>
  </si>
  <si>
    <t>Cinta Scotch x12</t>
  </si>
  <si>
    <t>https://www.mercadolibre.com.ar/3m-scotch-cinta-magica-3105-19-mm-x-762-m/up/MLAU3781123456?pdp_filters=item_id:MLA2837352410#is_advertising=true&amp;searchVariation=MLAU3781123456&amp;backend_model=search-backend&amp;be_origin=backend&amp;position=3&amp;search_layout=grid&amp;type=pad&amp;tracking_id=f6d0ab2e-d3d2-413d-84b9-6077edcb6737&amp;ad_domain=VQCATCORE_LST&amp;ad_position=3&amp;ad_click_id=YTdiYTY2MjgtNmE4Ni00NmIyLThhZTgtNTkzNWJmOGY1MzA3</t>
  </si>
  <si>
    <t>Ganchos abrochadora</t>
  </si>
  <si>
    <t>https://www.mercadolibre.com.ar/broches-para-abrochadora-64-mit-x5000-color-plateado/p/MLA28166421?pdp_filters=item_id:MLA1420829909#is_advertising=true&amp;searchVariation=MLA28166421&amp;backend_model=search-backend&amp;be_origin=backend&amp;position=2&amp;search_layout=grid&amp;type=pad&amp;tracking_id=5c61abce-ab0d-461b-9d12-5e8abd5ca63d&amp;ad_domain=VQCATCORE_LST&amp;ad_position=2&amp;ad_click_id=NjNkYjE5MmYtZjZlNS00N2M1LWI1OTItOWZiZDI5YTc2MGZm</t>
  </si>
  <si>
    <t>Resaltadores x5</t>
  </si>
  <si>
    <t>https://www.mercadolibre.com.ar/pelikan-resaltadores-flash-pastel-x-4-colores/p/MLA29487160#polycard_client=search-desktop&amp;be_origin=backend&amp;search_layout=grid&amp;position=8&amp;type=product&amp;tracking_id=dded79e7-033a-4578-9325-23093112b750&amp;wid=MLA2474765542&amp;sid=search</t>
  </si>
  <si>
    <t>Anotador A4</t>
  </si>
  <si>
    <t>https://www.mercadolibre.com.ar/block-anotador-rayado-papel-obra-congreso-16x21-esquela-40hj/up/MLAU212188488#polycard_client=search-desktop&amp;be_origin=backend&amp;search_layout=grid&amp;position=5&amp;type=product&amp;tracking_id=2e00d185-4932-4f66-a4e4-47a118eafd2f&amp;wid=MLA874980542&amp;sid=search</t>
  </si>
  <si>
    <t>Corrector Liquid Paper x6</t>
  </si>
  <si>
    <t>https://www.mercadolibre.com.ar/6-lapiz-corrector-liquid-paper-lapicera-7ml-paper-mate-pen/up/MLAU232854199?pdp_filters=item_id:MLA1371132165#is_advertising=true&amp;searchVariation=MLAU232854199&amp;backend_model=search-backend&amp;be_origin=backend&amp;position=16&amp;search_layout=grid&amp;type=pad&amp;tracking_id=43ac30ea-9a48-4335-8de5-4134c940fbd9&amp;ad_domain=VQCATCORE_LST&amp;ad_position=16&amp;ad_click_id=NTQ3ODRmNDEtYTQ0Ni00NzBjLWI4MGMtZDkxMTRkNzFlOTgz</t>
  </si>
  <si>
    <t>TOTAL GASTOS RECEPCIÓN</t>
  </si>
  <si>
    <t>GASTOS DE ALIMENTOS Y BEBIDAS</t>
  </si>
  <si>
    <t>DESAYUNO</t>
  </si>
  <si>
    <t>Café: 10 kg</t>
  </si>
  <si>
    <t>https://www.mercadolibre.com.ar/venta-mayorista-cafe-super-cabrales-molido-tostado-6-x-500g/p/MLA21234656?pdp_filters=item_id%3AMLA1724218821&amp;from=gshop&amp;matt_tool=11388839&amp;matt_word=&amp;matt_source=google&amp;matt_campaign_id=23390548706&amp;matt_ad_group_id=189479863103&amp;matt_match_type=&amp;matt_network=g&amp;matt_device=c&amp;matt_creative=789984779167&amp;matt_keyword=&amp;matt_ad_position=&amp;matt_ad_type=pla&amp;matt_merchant_id=735078350&amp;matt_product_id=MLA21234656-product&amp;matt_product_partition_id=2389907716476&amp;matt_target_id=aud-2430760955230:pla-2389907716476&amp;cq_src=google_ads&amp;cq_cmp=23390548706&amp;cq_net=g&amp;cq_plt=gp&amp;cq_med=pla&amp;gad_source=1&amp;gad_campaignid=23390548706&amp;gbraid=0AAAAAD01zQbmt6HdGhw2Ie5TzyWTX-3IZ&amp;gclid=CjwKCAjwgO7RBhBKEiwAZNP85ogDMGa04YV1JPgd98ZOjsWi6xnxMwVCnC1Ff8ZbcUfzkLGC9ffhBhoC_hcQAvD_BwE</t>
  </si>
  <si>
    <t>Leche: 140 litros</t>
  </si>
  <si>
    <t>https://tienda.limaymayorista.com.ar/producto/leche-larga-vida-entera-1lt/</t>
  </si>
  <si>
    <t>Té: 450 saquitos</t>
  </si>
  <si>
    <t>https://www.mercadolibre.com.ar/te-twinings-earl-grey-te-verde-6-variedades-150-saquitos/p/MLA2079391221#polycard_client=search-desktop&amp;be_origin=backend&amp;search_layout=grid&amp;position=1&amp;type=product&amp;tracking_id=bdb9c835-6ef3-4f78-b7d4-23e5d7156b0e&amp;wid=MLA3341234350&amp;sid=search</t>
  </si>
  <si>
    <t>Mate cocido: 450 saquitos</t>
  </si>
  <si>
    <t>https://www.mercadolibre.com.ar/yerba-mate-playadito-mate-cocido-sin-tacc-en-saquitos-150g/p/MLA47596708#polycard_client=search-desktop&amp;be_origin=backend&amp;search_layout=grid&amp;position=6&amp;type=product&amp;tracking_id=baddebec-dbdc-4564-b203-19f13b4de093&amp;wid=MLA1820760481&amp;sid=search</t>
  </si>
  <si>
    <t>Azúcar: 1.500 sobres</t>
  </si>
  <si>
    <t>https://www.mercadolibre.com.ar/azucar-azucel-caja-1000-sobres-5g-tipo-a-sin-tacc/up/MLAU3870088341#polycard_client=search-desktop&amp;be_origin=backend&amp;search_layout=grid&amp;position=10&amp;type=product&amp;tracking_id=550356fe-4b78-4ae8-b189-b0443fc3f726&amp;wid=MLA1729621609&amp;sid=search</t>
  </si>
  <si>
    <t>Edulcorante: 800 sobres</t>
  </si>
  <si>
    <t>https://www.mercadolibre.com.ar/hileret-clasico-edulcorante-caja-x-400-sobres/p/MLA65406936?pdp_filters=item_id:MLA2388621658#is_advertising=true&amp;backend_model=search-backend&amp;be_origin=backend&amp;position=1&amp;search_layout=grid&amp;type=pad&amp;tracking_id=e16d4ac3-8866-4f5b-a3e6-c95f6993afcf&amp;ad_domain=VQCATCORE_LST&amp;ad_position=1&amp;ad_click_id=Yjc0OTNlMzQtNWNlNS00NjdlLWEyYTctOGIwZGE5ZmU1YzZi</t>
  </si>
  <si>
    <t>Pan blanco: 50 kg</t>
  </si>
  <si>
    <t>https://www.cotodigital.com.ar/sitios/cdigi/productos/_/R-00558091-00558091-200?srsltid=AfmBOop6nfDeO5iYE-oDsB4zJ0wXdLeJpqlef3oB89balX1MapJq0CdoIbA</t>
  </si>
  <si>
    <t>Pan integral: 30 kg</t>
  </si>
  <si>
    <t>https://www.cotodigital.com.ar/sitios/cdigi/productos/pan-con-cereales-y-semillas-fargo-400g-/_/R-00602267-00602267-200</t>
  </si>
  <si>
    <t>Medialunas de manteca: 720 unidades</t>
  </si>
  <si>
    <t>https://www.mercadolibre.com.ar/medialuna-argentina-congelada-molino-canuelas-x-144-u/up/MLAU3756185833#polycard_client=search-desktop&amp;be_origin=backend&amp;search_layout=grid&amp;position=1&amp;type=product&amp;tracking_id=a56217fd-5007-4c93-a808-37c331525071&amp;wid=MLA2815696910&amp;sid=search</t>
  </si>
  <si>
    <t>Chipá: 720 unidades</t>
  </si>
  <si>
    <t>https://articulo.mercadolibre.com.ar/MLA-3480619620-chipa-congelado-congelados-artico-2-kg-_JM#polycard_client=search-desktop&amp;be_origin=backend&amp;search_layout=grid&amp;position=2&amp;type=item&amp;tracking_id=7e5d7d70-1c35-4205-88c4-9e6742bd6183&amp;wid=MLA3480619620&amp;sid=search</t>
  </si>
  <si>
    <t>Budines caseros: 30 unidades</t>
  </si>
  <si>
    <t>https://www.mercadolibre.com.ar/budin-con-gotas-dulce-de-leche-300gr-100-ducados-cioccolato/up/MLAU3513339558?pdp_filters=item_id:MLA1564656433#is_advertising=true&amp;searchVariation=MLAU3513339558&amp;backend_model=search-backend&amp;be_origin=backend&amp;position=16&amp;search_layout=grid&amp;type=pad&amp;tracking_id=d7013632-8ef0-4d7b-ba01-8dbe5c900fb4&amp;ad_domain=VQCATCORE_LST&amp;ad_position=16&amp;ad_click_id=NjZkZGI5NmYtMzdiZi00OWMzLWEyMDItMjcwNGYzZmNmM2Mx</t>
  </si>
  <si>
    <t>Mermelada: 450 porciones individuales</t>
  </si>
  <si>
    <t>https://www.mercadolibre.com.ar/mermelada-individual-light-caja-x-120-unidades-de-20gs-cu/up/MLAU298068675?pdp_filters=item_id:MLA869346730|shipping:fulfillment|deal:MLA1024566-1#is_advertising=true&amp;searchVariation=MLAU298068675&amp;backend_model=search-backend&amp;be_origin=backend&amp;position=1&amp;search_layout=grid&amp;type=pad&amp;tracking_id=84432f6b-2bb5-472b-8796-a1b37a74c797&amp;ad_domain=VQCATCORE_SUPERMARKET&amp;ad_position=1&amp;ad_click_id=Yjg1MTQ5NzMtYmQ3YS00ZGFhLWJlNmUtMWEwYmNhOWJiZmEx</t>
  </si>
  <si>
    <t>Dulce de leche: 450 porciones individuales</t>
  </si>
  <si>
    <t>https://www.mercadolibre.com.ar/dulce-de-leche-individual-potes-x120u-20gr-hoteles-monodosis/p/MLA29542637?pdp_filters=shipping%3Afulfillment%7Cdeal%3AMLA1024566-1#polycard_client=search-desktop&amp;be_origin=backend&amp;search_layout=grid&amp;position=1&amp;type=product&amp;tracking_id=cd61e355-093f-44e6-b709-8067c9b47c87&amp;wid=MLA2778622362&amp;sid=search</t>
  </si>
  <si>
    <t>Queso untable: 12 kg</t>
  </si>
  <si>
    <t>https://www.mercadolibre.com.ar/queso-untable-ilolay-en-mini-porc-individuales-20-gr-x-108-unid/p/MLA22939193#polycard_client=search-desktop&amp;be_origin=backend&amp;search_layout=grid&amp;position=2&amp;type=product&amp;float_highlight=last_units&amp;tracking_id=05809e3c-fb4a-4ba9-9f22-ebeb31f14082&amp;wid=MLA2103714458&amp;sid=search</t>
  </si>
  <si>
    <t>Manteca untable: 450 porciones individuales</t>
  </si>
  <si>
    <t>https://www.mercadolibre.com.ar/manteca-individual-sys-100-unidades-de-10gr-sin-gluten/p/MLA67162183#polycard_client=search-desktop&amp;be_origin=backend&amp;search_layout=grid&amp;position=1&amp;type=product&amp;tracking_id=ac893b37-5c61-43b8-b036-a88f1831e9de&amp;wid=MLA1727207829&amp;sid=search</t>
  </si>
  <si>
    <t>Yogur entero: 180 unidades</t>
  </si>
  <si>
    <t>https://www.mercadolibre.com.ar/pack-x24-ltn-yo-vainilla-190gcu-las-tres-ninas/p/MLA67485509#polycard_client=search-desktop&amp;be_origin=backend&amp;search_layout=grid&amp;position=7&amp;type=product&amp;tracking_id=24b47cce-f92c-4cbe-91dc-a57da8b4e077&amp;wid=MLA1767966779&amp;sid=search</t>
  </si>
  <si>
    <t>Granola: 20 kg</t>
  </si>
  <si>
    <t>https://www.mercadolibre.com.ar/granola-tradicional-x1kg-kos-food/up/MLAU3434324733?pdp_filters=shipping%3Afulfillment%7Cdeal%3AMLA1024566-1#polycard_client=search-desktop&amp;be_origin=backend&amp;search_layout=grid&amp;position=5&amp;type=product&amp;tracking_id=5b5aa983-92a5-4d5c-9cd1-159876c5cf19&amp;wid=MLA1540635891&amp;sid=search</t>
  </si>
  <si>
    <t>Naranjas: 60 kg</t>
  </si>
  <si>
    <t>https://www.mercadolibre.com.ar/cajon-de-naranja-para-jugo-x-16kg-cocina-fruta/up/MLAU4126750256#polycard_client=search-desktop&amp;be_origin=backend&amp;search_layout=grid&amp;position=4&amp;type=product&amp;tracking_id=df68f099-fe30-4b0f-88f2-451a5d5d7e19&amp;wid=MLA1843423457&amp;sid=search</t>
  </si>
  <si>
    <t>Manzanas: 35 kg</t>
  </si>
  <si>
    <t>https://www.mercadolibre.com.ar/manzana-roja-cajon-de-18-kg/up/MLAU2885104888#polycard_client=search-desktop&amp;be_origin=backend&amp;search_layout=grid&amp;position=1&amp;type=product&amp;tracking_id=0df0f473-9c25-4290-a00d-6a412f321768&amp;wid=MLA1971248512&amp;sid=search</t>
  </si>
  <si>
    <t>Bananas: 35 kg</t>
  </si>
  <si>
    <t>https://www.mercadolibre.com.ar/banana-ecuador-cajon-de-18-kg/up/MLAU2885103036#polycard_client=search-desktop&amp;be_origin=backend&amp;search_layout=grid&amp;position=1&amp;type=product&amp;tracking_id=289ebf2e-7ac8-4e88-b42c-e8ab0203549f&amp;wid=MLA1971248514&amp;sid=search</t>
  </si>
  <si>
    <t>Uvas: 35 kg</t>
  </si>
  <si>
    <t>https://www.mercadolibre.com.ar/pasas-de-uva-jumbo-sin-semillas-x-10kg-calidad-premium/p/MLA2041781455?pdp_filters=item_id:MLA2180004196#is_advertising=true&amp;backend_model=search-backend&amp;be_origin=backend&amp;position=5&amp;search_layout=grid&amp;type=pad&amp;tracking_id=ba4ee8da-1cc3-4ba4-b427-32e422cb7b35&amp;ad_domain=VQCATCORE_LST&amp;ad_position=5&amp;ad_click_id=NThhYWYxZDQtNThmZS00MGUyLWEzZjktNjIwYjg2ZTdkMzY0</t>
  </si>
  <si>
    <t>Jamón cocido natural Delicato: 25 kg</t>
  </si>
  <si>
    <t>https://tienda.limaymayorista.com.ar/producto/jamon-cocido-cuadrado-et-negra-la-expo/</t>
  </si>
  <si>
    <t>Queso Danbo La Paulina: 25 kg</t>
  </si>
  <si>
    <t>https://tienda.limaymayorista.com.ar/producto/queso-tybo-santamaria/</t>
  </si>
  <si>
    <t>Huevos: 540 unidades (45 docenas)</t>
  </si>
  <si>
    <t>https://www.mercadolibre.com.ar/huevos-pastoril-cajon-x-12-maples-eco-eggs/p/MLA2091238360#polycard_client=search-desktop&amp;be_origin=backend&amp;search_layout=grid&amp;position=1&amp;type=product&amp;tracking_id=2ffa2fdf-67e2-4c9f-bd8a-c0b29c2bbc8d&amp;wid=MLA1472882549&amp;sid=search</t>
  </si>
  <si>
    <t>Jugo de naranja natural: 150 litros</t>
  </si>
  <si>
    <t>https://www.mercadolibre.com.ar/jugo-de-naranja-con-pulpa-citric-1l/p/MLA21616892?pdp_filters=shipping%3Afulfillment%7Cdeal%3AMLA1024566-1#polycard_client=search-desktop&amp;be_origin=backend&amp;search_layout=grid&amp;position=1&amp;type=product&amp;tracking_id=8f2c9d13-7d39-4b94-b22b-3eccf83b7a65&amp;wid=MLA2078935456&amp;sid=search</t>
  </si>
  <si>
    <t>Hielo: 180 kg</t>
  </si>
  <si>
    <t>https://brutbebidas.com.ar/productos/hielo-city-bolsa-4kg/?srsltid=AfmBOopMGnU6oQBylMgg_7EUvAt_STOGrDxN9mBqwGXZJff-1qfcW8uG</t>
  </si>
  <si>
    <t>Servilletas: 4.500 unidades</t>
  </si>
  <si>
    <t>https://www.mercadolibre.com.ar/servilletas-papel-elegante-blanca-32x32cm-caja-1000-unidades/up/MLAU250550226?pdp_filters=shipping%3Afulfillment%7Cdeal%3AMLA1024566-1#polycard_client=search-desktop&amp;be_origin=backend&amp;search_layout=grid&amp;position=4&amp;type=product&amp;tracking_id=28b11a03-061b-4cb6-a585-1e01d1e33c6a&amp;wid=MLA627297386&amp;sid=search</t>
  </si>
  <si>
    <t>TOTAL DESAYUNO</t>
  </si>
  <si>
    <t>RESTAURANTE - CENA</t>
  </si>
  <si>
    <t>x kg o unidad</t>
  </si>
  <si>
    <t>Total</t>
  </si>
  <si>
    <t>Cordero con hueso xkg</t>
  </si>
  <si>
    <t>https://www.cotodigital.com.ar/sitios/cdigi/productos/cordero-entero-congelado-x-kg/_/R-00000175-00000175-200%3F?gad_source=1&amp;gad_campaignid=755736711&amp;gbraid=0AAAAADgefHhEiS1G6xNy1SwnZxQnGLBMT&amp;gclid=CjwKCAjwgO7RBhBKEiwAZNP85nvA1GcFQ6ZKe9DiehGpN9Gae6XN7l0apCaxoRGTq08GVekxKVOdXRoC4XoQAvD_BwE</t>
  </si>
  <si>
    <t>Ojo de bife xkg</t>
  </si>
  <si>
    <t>https://www.pampaynovillo.com.ar/productos/ojo-de-bife/</t>
  </si>
  <si>
    <t>Filet de trucha xkg</t>
  </si>
  <si>
    <t>https://pescaonline.alamenia.com.ar/producto/filet-de-truchon-fresco-x-1kg/</t>
  </si>
  <si>
    <t>Carne de cordero (empanadas) xkg</t>
  </si>
  <si>
    <t>https://www.proveeduriapiaf.com.ar/producto/asado-de-cordero/</t>
  </si>
  <si>
    <t>Peras xkg</t>
  </si>
  <si>
    <t>https://fincanogueira.com.ar/productos/pera-x-kilo/</t>
  </si>
  <si>
    <t>Papines andinos xkg</t>
  </si>
  <si>
    <t>https://www.carrefour.com.ar/papines-x-kg/p?srsltid=AfmBOoq9keiBplfUxh_lRpMYCBUNLWGp97xMbgEq_78RqQ7uJ-YkJy6G</t>
  </si>
  <si>
    <t>Calabaza xkg</t>
  </si>
  <si>
    <t>https://www.cotodigital.com.ar/sitios/cdigi/productos/zapallo-anco-x-kg-/_/R-00000688-00000688-200?srsltid=AfmBOoryL_L-Mc1-tZPNDJ4OgGBBspsfKdCrGcWFIJwjI_H88saXu6Nx</t>
  </si>
  <si>
    <t>Remolacha xkg</t>
  </si>
  <si>
    <t>https://www.josimar.com.ar/remolacha-kg/p?srsltid=AfmBOoobtfPR6my52hLmUtIsUd10yPkGtDiHlkM6-vvV0Gn-OCLOEVV-</t>
  </si>
  <si>
    <t>Zucchini xkg</t>
  </si>
  <si>
    <t>https://fincanogueira.com.ar/productos/zuchini-x-1-kilo/</t>
  </si>
  <si>
    <t>Espárragos xkg</t>
  </si>
  <si>
    <t>https://manjaresencasa.com.ar/product/esparragos-entero/</t>
  </si>
  <si>
    <t>Zanahoria xkg</t>
  </si>
  <si>
    <t>https://fincanogueira.com.ar/productos/zanahoria-x-kilo/</t>
  </si>
  <si>
    <t>Chauchas xkg</t>
  </si>
  <si>
    <t>https://www.cotodigital.com.ar/sitios/cdigi/productos/chaucha-rolliza-x-kg/_/R-00000862-00000862-200%3F&amp;?srsltid=AfmBOor0gGDUYI1z__4sPcqD6sLJg5ZLcf4VisbT3rt9mePwuOSNpk2U</t>
  </si>
  <si>
    <t>Morrón rojo xkg</t>
  </si>
  <si>
    <t>https://www.cotodigital.com.ar/sitios/cdigi/productos/_/A-00000671-00000671-200?srsltid=AfmBOopjGGJXOjvUT5DTlmWr9AKX2sDcJJAewzqUhIsZEh12sAHr4VGU</t>
  </si>
  <si>
    <t>Batata xkg</t>
  </si>
  <si>
    <t>https://fincanogueira.com.ar/productos/batata-x-kilo/</t>
  </si>
  <si>
    <t>Berenjena xkg</t>
  </si>
  <si>
    <t>https://fincanogueira.com.ar/productos/berenjena-x-kilo/</t>
  </si>
  <si>
    <t>Uvas frescas xkg</t>
  </si>
  <si>
    <t>https://fincanogueira.com.ar/productos/uva-x-kilo/</t>
  </si>
  <si>
    <t>Frutos rojos xkg</t>
  </si>
  <si>
    <t>https://www.friodep.com.ar/congelados/frutas-congeladas/mix-frutos-rojos-congelado-iqf-x-1-kg</t>
  </si>
  <si>
    <t>Hongos champignon xkg</t>
  </si>
  <si>
    <t>https://desdelatierra.com.ar/productos/champinones-blancos-2da-calidad-a-granel-x-kg/</t>
  </si>
  <si>
    <t>Cebolla xkg</t>
  </si>
  <si>
    <t>https://fincanogueira.com.ar/productos/cebolla-x-2-kilo/</t>
  </si>
  <si>
    <t>Rúcula xkg</t>
  </si>
  <si>
    <t>https://www.supermami.com.ar/super/producto/rucula-x-kg/_/A-3390015-3390015-s</t>
  </si>
  <si>
    <t>Queso de cabra xkg</t>
  </si>
  <si>
    <t>https://www.cusumano.com.ar/catalogo/mayorista/quesos/lusignan-natural-x-280-gr/</t>
  </si>
  <si>
    <t>Queso ahumado  xkg</t>
  </si>
  <si>
    <t>Queso azul  xkg</t>
  </si>
  <si>
    <t>https://www.cotodigital.com.ar/sitios/cdigi/productos/-queso-azul-tradicional-vanguard-x-kg/_/A-00019820-00019820-200?gad_source=1&amp;gad_campaignid=755736711&amp;gbraid=0AAAAADgefHjxT3_tHZKDNiXidt3AW24NX&amp;gclid=CjwKCAjw3ejRBhAdEiwADkqPn8nP7W-c9lGYyls2ycA8EicL61y184SFWFl-4xfBOFNXhcs6PUhGThoCW-sQAvD_BwE</t>
  </si>
  <si>
    <t>Queso pategras xkg</t>
  </si>
  <si>
    <t>https://www.cotodigital.com.ar/sitios/cdigi/productos/pategras-selección-horma-santa-rosa-x-1-kg/_/R-00013931-00013931-200?</t>
  </si>
  <si>
    <t>Queso crema x4kg</t>
  </si>
  <si>
    <t>https://www.distribuidorajumbalay.com.ar/crema-queso-crema-pouch-x-4-kg-la-paulina-precio-x-unidad--det--QUES093</t>
  </si>
  <si>
    <t>Manteca x2,kg</t>
  </si>
  <si>
    <t>https://www.donroqueonline.com.ar/producto/manteca-tanto-x-25-kg/</t>
  </si>
  <si>
    <t>Crema de leche x5kg</t>
  </si>
  <si>
    <t>https://lacteosrosario.com/producto/crema-de-leche-cremac-x-5-kg/</t>
  </si>
  <si>
    <t>Queso parmesano</t>
  </si>
  <si>
    <t>https://www.patyfiesta.com/producto/parmesano-vaquero-x-kg/</t>
  </si>
  <si>
    <t>Helado vainillax10kg</t>
  </si>
  <si>
    <t>https://articulo.mercadolibre.com.ar/MLA-1769677457-helado-artesanal-balde-de-10lt-americana-a-la-crema-helafer-_JM?matt_tool=38087446&amp;utm_source=google_shopping&amp;utm_medium=organic</t>
  </si>
  <si>
    <t>Helado chocolatex10kg</t>
  </si>
  <si>
    <t>Azúcar</t>
  </si>
  <si>
    <t>https://tam.com.ar/ficha-1047-azucar-chango-ledesma-x-1-kilo?srsltid=AfmBOoq6zM2ghPxUf4AckaLyyQ35oTp89HQDmrS2Gd1nPFDzf82SvQXk</t>
  </si>
  <si>
    <t>Arroz carnarolix5kg</t>
  </si>
  <si>
    <t>https://alimentosvillares.com.ar/arroz-carnaroli-x-5-kg.html</t>
  </si>
  <si>
    <t>Harina 000 packx10</t>
  </si>
  <si>
    <t>https://www.mercadolibre.com.ar/caja-harina-canuelas-tipo-000-fortificada-pack-mejor-precio/p/MLA26199733?pdp_filters=item_id%3AMLA1714583461&amp;from=gshop&amp;matt_tool=11388839&amp;matt_word=&amp;matt_source=google&amp;matt_campaign_id=23390548706&amp;matt_ad_group_id=189479866943&amp;matt_match_type=&amp;matt_network=g&amp;matt_device=c&amp;matt_creative=789984779215&amp;matt_keyword=&amp;matt_ad_position=&amp;matt_ad_type=pla&amp;matt_merchant_id=735078350&amp;matt_product_id=MLA26199733-product&amp;matt_product_partition_id=2388288776041&amp;matt_target_id=aud-2418879895625:pla-2388288776041&amp;cq_src=google_ads&amp;cq_cmp=23390548706&amp;cq_net=g&amp;cq_plt=gp&amp;cq_med=pla&amp;gad_source=1&amp;gad_campaignid=23390548706&amp;gbraid=0AAAAAD01zQbmt6HdGhw2Ie5TzyWTX-3IZ&amp;gclid=CjwKCAjwgO7RBhBKEiwAZNP85q1wznt7XO9c0zWKhlWIpFXM7SMMXkgcfxrFO78xR7Cb5IJWrdjXSxoCR1IQAvD_BwE</t>
  </si>
  <si>
    <t>Sal 500gr</t>
  </si>
  <si>
    <t>https://tam.com.ar/ficha-1108-sal-fina-dos-anclas-celusal-x-500-gramos?gad_source=1&amp;gad_campaignid=20957999169&amp;gbraid=0AAAAADledQ2WIRH7IzqLGn9dhG21_YLHs&amp;gclid=CjwKCAjwgO7RBhBKEiwAZNP85vxw0VvFSvPCgeyyxl9yRw5oWfsTzMIOoZQ0G3MTOOMcxMCGsdFzcBoCnxMQAvD_BwE</t>
  </si>
  <si>
    <t>Levadura fresca 500gr</t>
  </si>
  <si>
    <t>https://www.mercadolibre.com.ar/levadura-fresca-clasica-calsa-en-cubo-prensada-500g-sin-tacc/p/MLA31057202?pdp_filters=item_id%3AMLA1563069381&amp;from=gshop&amp;matt_tool=11388839&amp;matt_word=&amp;matt_source=google&amp;matt_campaign_id=23390548706&amp;matt_ad_group_id=189479866703&amp;matt_match_type=&amp;matt_network=g&amp;matt_device=c&amp;matt_creative=789984779212&amp;matt_keyword=&amp;matt_ad_position=&amp;matt_ad_type=pla&amp;matt_merchant_id=735113679&amp;matt_product_id=MLA31057202-product&amp;matt_product_partition_id=2391110771490&amp;matt_target_id=aud-2418879895625:pla-2391110771490&amp;cq_src=google_ads&amp;cq_cmp=23390548706&amp;cq_net=g&amp;cq_plt=gp&amp;cq_med=pla&amp;gad_source=1&amp;gad_campaignid=23390548706&amp;gbraid=0AAAAAD01zQbmt6HdGhw2Ie5TzyWTX-3IZ&amp;gclid=CjwKCAjwgO7RBhBKEiwAZNP85pOOkfhVcKoGNq3Liw62S-mNJhZs6Ro7iI-Av3U12uV9CJWfvIuYThoCBi0QAvD_BwE</t>
  </si>
  <si>
    <t>Nueces peladas</t>
  </si>
  <si>
    <t>https://www.tiendaoeste.com/productos/nuez-pelada-mariposa-x-1-kg/</t>
  </si>
  <si>
    <t>Galletitas (base cheesecake) pqt x 3 408gr</t>
  </si>
  <si>
    <t>https://www.mercadolibre.com.ar/galletitas-mana-vainilla-arcor-408g/p/MLA20718954#polycard_client=search-desktop&amp;be_origin=backend&amp;search_layout=grid&amp;position=4&amp;type=product&amp;tracking_id=a1125566-9565-4745-b800-eba5cef651be&amp;wid=MLA2506809678&amp;sid=search</t>
  </si>
  <si>
    <t>Aceite de olivax5l</t>
  </si>
  <si>
    <t>https://www.mercadolibre.com.ar/aceite-de-oliva-extra-virgen-en-bidon-5-litros/up/MLAU3466946901#polycard_client=search-desktop&amp;be_origin=backend&amp;search_layout=grid&amp;position=19&amp;type=product&amp;tracking_id=8d93ebe9-b1c8-4e5e-96db-849773216d3d&amp;wid=MLA2421290960&amp;sid=search</t>
  </si>
  <si>
    <t>Tapas de empanadax48</t>
  </si>
  <si>
    <t>https://www.distribuidoraelgranate.com.ar/shop/1397-tubo-tapas-de-empanadas-criollas-48-unidades-4419</t>
  </si>
  <si>
    <t>Malbec cajax6</t>
  </si>
  <si>
    <t>https://tienda.familiaschroeder.com/collections/nuestros-productos</t>
  </si>
  <si>
    <t>Pinot Noir cajax6</t>
  </si>
  <si>
    <t>Cabernet Sauvignon cajax6</t>
  </si>
  <si>
    <t>Chardonnay cajax6</t>
  </si>
  <si>
    <t>Espumante Extra Brut cajax6</t>
  </si>
  <si>
    <t>Agua mineral</t>
  </si>
  <si>
    <t>https://yaguar.com.ar/producto/agua-mineral-lagoa-sin-gas-500ml/</t>
  </si>
  <si>
    <t>Agua con gas</t>
  </si>
  <si>
    <t>Aguas saborizadas</t>
  </si>
  <si>
    <t>https://tienda.open25.com.ar/productos/agua-saborizada-placer-anana-x500cc-pack-x12un-14rfb/</t>
  </si>
  <si>
    <t>Coca zero lata packx24</t>
  </si>
  <si>
    <t>https://www.mercadolibre.com.ar/coca-cola-lata-354ml-sabor-original-comun-pack-x24-df/up/MLAU3107414619#polycard_client=search-desktop&amp;be_origin=backend&amp;search_layout=grid&amp;position=4&amp;type=product&amp;tracking_id=c5f8e69e-ff90-4437-8238-6b6485914973&amp;wid=MLA2045992884&amp;sid=search</t>
  </si>
  <si>
    <t>Coca original lata packx24</t>
  </si>
  <si>
    <t>Sprite zero lata packx24</t>
  </si>
  <si>
    <t>Sprite original lata packx24</t>
  </si>
  <si>
    <t>Bolsa café 1kg</t>
  </si>
  <si>
    <t>https://www.mercadolibre.com.ar/cafe-maceda-estandar-superior-molido-100-puro-x-1000-gr/p/MLA29034649?pdp_filters=item_id%3AMLA2432791342&amp;from=gshop&amp;matt_tool=11388839&amp;matt_word=&amp;matt_source=google&amp;matt_campaign_id=23390548706&amp;matt_ad_group_id=189479863103&amp;matt_match_type=&amp;matt_network=g&amp;matt_device=c&amp;matt_creative=789984779167&amp;matt_keyword=&amp;matt_ad_position=&amp;matt_ad_type=pla&amp;matt_merchant_id=735078350&amp;matt_product_id=MLA29034649-product&amp;matt_product_partition_id=2389907716476&amp;matt_target_id=aud-2418879895625:pla-2389907716476&amp;cq_src=google_ads&amp;cq_cmp=23390548706&amp;cq_net=g&amp;cq_plt=gp&amp;cq_med=pla&amp;gad_source=1&amp;gad_campaignid=23390548706&amp;gbraid=0AAAAAD01zQbmt6HdGhw2Ie5TzyWTX-3IZ&amp;gclid=CjwKCAjwgO7RBhBKEiwAZNP85kNwYUt1r9WN9AzYZqK2430FGAnZRyF7u6u6I-gtFL3b8o0l6KEH7BoCZeIQAvD_BwE</t>
  </si>
  <si>
    <t>Te en saquitos x50u</t>
  </si>
  <si>
    <t>https://www.mercadolibre.com.ar/te-negro-green-hills-saquitos-clasico-antioxidante-50-unidades/p/MLA19566710#polycard_client=search-desktop&amp;be_origin=backend&amp;search_layout=grid&amp;position=29&amp;type=product&amp;tracking_id=05c31469-c683-4225-9c09-70e8d6733c91&amp;wid=MLA2082705292&amp;sid=search</t>
  </si>
  <si>
    <t>TOTAL GASTOS ALIMENTOS Y BEBIDAS</t>
  </si>
  <si>
    <r>
      <rPr/>
      <t xml:space="preserve">Conservador de Incendios </t>
    </r>
    <r>
      <rPr>
        <color rgb="FF1155CC"/>
        <u/>
      </rPr>
      <t>https://cptn.org.ar/honorarios-minimos-sugeridos/</t>
    </r>
  </si>
  <si>
    <t>GASTOS DE SPA</t>
  </si>
  <si>
    <t>Aceite de pepitas de uva para masajes x1L</t>
  </si>
  <si>
    <t>https://saikucosmetologico.com.ar/productos/oleo-para-hacer-masajes-con-aceite-de-semillas-de-uva-1lts/</t>
  </si>
  <si>
    <t>Exfoliante facial x 50ml</t>
  </si>
  <si>
    <t>https://www.uvas.com.ar/productos/uvas-pulidora-facial-50-ml/</t>
  </si>
  <si>
    <t>Crema de limpieza facial x50ml</t>
  </si>
  <si>
    <t>https://www.uvas.com.ar/productos/crema-de-limpieza-50ml/</t>
  </si>
  <si>
    <t>Crema humectante facial x 120ml</t>
  </si>
  <si>
    <t>https://www.uvas.com.ar/productos/uvas-humectante-dia-clasica-120-ml/</t>
  </si>
  <si>
    <t>Vino Malbec para vinoterapia x6 u.</t>
  </si>
  <si>
    <t>https://tienda.familiaschroeder.com/products/saurus-estate-malbec?srsltid=AfmBOooQk4rWktZljYifIr9I9u5uaU3QNaoiUcCMaHvLx0tH6o7QOTHA</t>
  </si>
  <si>
    <t>Queso azul x 1kg</t>
  </si>
  <si>
    <t>Queso pategrás x 1kg</t>
  </si>
  <si>
    <t>https://www.cotodigital.com.ar/sitios/cdigi/productos/pategras-selección-horma-santa-rosa-x-1-kg/_/R-00013931-00013931-200?gad_source=1&amp;gad_campaignid=755736711&amp;gbraid=0AAAAADgefHjxT3_tHZKDNiXidt3AW24NX&amp;gclid=CjwKCAjw3ejRBhAdEiwADkqPnxb1EnVOpWwmvbek77Vko2cNPe_8aDMm3YEyoqT5-rlfwR-Sq-HZ2RoCtSAQAvD_BwE</t>
  </si>
  <si>
    <t>Queso brie x 1,5kg</t>
  </si>
  <si>
    <t>https://www.mercadolibre.com.ar/queso-brie-emperador-horma-15-kg-premium-sin-tacc/p/MLA2090814222?pdp_filters=item_id%3AMLA3154245386&amp;from=gshop&amp;matt_tool=11388839&amp;matt_word=&amp;matt_source=google&amp;matt_campaign_id=23390548706&amp;matt_ad_group_id=189479865263&amp;matt_match_type=&amp;matt_network=g&amp;matt_device=c&amp;matt_creative=789984779194&amp;matt_keyword=&amp;matt_ad_position=&amp;matt_ad_type=pla&amp;matt_merchant_id=735113679&amp;matt_product_id=MLA2090814222-product&amp;matt_product_partition_id=2389802922654&amp;matt_target_id=pla-2389802922654&amp;cq_src=google_ads&amp;cq_cmp=23390548706&amp;cq_net=g&amp;cq_plt=gp&amp;cq_med=pla&amp;gad_source=1&amp;gad_campaignid=23390548706&amp;gbraid=0AAAAAD01zQbkhDMfXDmelx57ivAxJAfi_&amp;gclid=CjwKCAjw3ejRBhAdEiwADkqPnzW1ZrF3RD07aI-rXytAanLAfg5v_XF31D6OxSD09Hsl55a0EgrdTxoCpkgQAvD_BwE</t>
  </si>
  <si>
    <t>Vino Malbec x6 botellas</t>
  </si>
  <si>
    <t>TOTAL GASTOS SPA</t>
  </si>
  <si>
    <t>GASTOS JORNADA CORPORATIVA</t>
  </si>
  <si>
    <t>Café molido x kg</t>
  </si>
  <si>
    <t>https://www.mercadolibre.com.ar/cafe-maceda-estandar-superior-molido-100-puro-x-1000-gr/p/MLA29034649?</t>
  </si>
  <si>
    <t>Leche x litro</t>
  </si>
  <si>
    <t>Té en saquitos x 50 u</t>
  </si>
  <si>
    <t>Azúcar x kg</t>
  </si>
  <si>
    <t>Medialunas de manteca x unidad</t>
  </si>
  <si>
    <t>Budines caseros x unidad</t>
  </si>
  <si>
    <t>Jugo de naranja natural x litro</t>
  </si>
  <si>
    <t>Fruta de estación x kg</t>
  </si>
  <si>
    <t>TOTAL DESAYUNO BIENVENIDA</t>
  </si>
  <si>
    <t>Chipá x unidad</t>
  </si>
  <si>
    <t>Nueces peladas x kg</t>
  </si>
  <si>
    <t>Agua mineral 500 ml x unidad</t>
  </si>
  <si>
    <t>TOTAL COFFEE BREAK x2</t>
  </si>
  <si>
    <t>Queso de cabra x kg</t>
  </si>
  <si>
    <t>Rúcula x kg</t>
  </si>
  <si>
    <t>Ojo de bife x kg</t>
  </si>
  <si>
    <t>Filet de trucha x kg</t>
  </si>
  <si>
    <t>Papines andinos x kg</t>
  </si>
  <si>
    <t>Calabaza x kg</t>
  </si>
  <si>
    <t>Zucchini x kg</t>
  </si>
  <si>
    <t>Morrón rojo x kg</t>
  </si>
  <si>
    <t>Aceite de oliva x 5 L</t>
  </si>
  <si>
    <t>Pan x kg</t>
  </si>
  <si>
    <t>Helado x kg</t>
  </si>
  <si>
    <t>Frutos rojos x kg</t>
  </si>
  <si>
    <t>Vino Malbec x botella</t>
  </si>
  <si>
    <t>Agua mineral y con gas x unidad</t>
  </si>
  <si>
    <t>TOTAL ALMUERZO EJECUTIVO</t>
  </si>
  <si>
    <t>Pinot Noir x botella</t>
  </si>
  <si>
    <t>Malbec x botella</t>
  </si>
  <si>
    <t>Cabernet Sauvignon x botella</t>
  </si>
  <si>
    <t>Chardonnay x botella</t>
  </si>
  <si>
    <t>Queso azul x kg</t>
  </si>
  <si>
    <t>Queso pategrás x kg</t>
  </si>
  <si>
    <t>Queso ahumado x kg</t>
  </si>
  <si>
    <t>Pan y grisines x kg</t>
  </si>
  <si>
    <t>Botella 750 ml con corcho y etiqueta personalizada</t>
  </si>
  <si>
    <t>TOTAL CATA GUIADA + BLEND</t>
  </si>
  <si>
    <t>Servilletas (pack)</t>
  </si>
  <si>
    <t>Anotador A4 x unidad</t>
  </si>
  <si>
    <t>Lapiceras x unidad</t>
  </si>
  <si>
    <t>TOTAL MATERIALES EVENTO</t>
  </si>
  <si>
    <t>Sommelier x hora</t>
  </si>
  <si>
    <t>Camarero adicional x jornada</t>
  </si>
  <si>
    <t>Ayudante de cocina x jornada</t>
  </si>
  <si>
    <t>TOTAL PERSONAL ADICIONAL</t>
  </si>
  <si>
    <t>TOTAL GASTOS JORNADA COMPLETA</t>
  </si>
  <si>
    <t>GASTOS MEDIA JORNADA CORPORATIVA</t>
  </si>
  <si>
    <t>TOTAL COFFEE BREAK x1</t>
  </si>
  <si>
    <t>TOTAL CATA GUIADA</t>
  </si>
  <si>
    <t>TOTAL GASTOS MEDIA JORNADA</t>
  </si>
  <si>
    <t>GASTOS BOXES</t>
  </si>
  <si>
    <t>Margen objetivo sobre costo (markup)</t>
  </si>
  <si>
    <t>Jabón artesanal en forma de racimo de uvas</t>
  </si>
  <si>
    <t>https://www.mercadolibre.com.ar/jabon-de-uva-hecho-a-mano-con-proceso-en-frio-en-forma-de-uv/p/MLA2074661484?pdp_filters=item_id%3AMLA3119726636&amp;from=gshop&amp;matt_tool=67379362&amp;matt_word=&amp;matt_source=google&amp;matt_campaign_id=23390549222&amp;matt_ad_group_id=190656558653&amp;matt_match_type=&amp;matt_network=g&amp;matt_device=c&amp;matt_creative=790066498313&amp;matt_keyword=&amp;matt_ad_position=&amp;matt_ad_type=pla&amp;matt_merchant_id=735114561&amp;matt_product_id=MLA2074661484-product&amp;matt_product_partition_id=2396768982215&amp;matt_target_id=aud-2418879895625:pla-2396768982215&amp;cq_src=google_ads&amp;cq_cmp=23390549222&amp;cq_net=g&amp;cq_plt=gp&amp;cq_med=pla&amp;gad_source=1&amp;gad_campaignid=23390549222&amp;gbraid=0AAAAAD01zQZ-Xpe9N3aQVoMsz3AV4PV8w&amp;gclid=Cj0KCQjw6_HSBhCpARIsANvVltZ2EmqA9w8ZEX-7GW2XrNBsxRqQgAgRFA77OsDzBYoxv_kLakgRK8AaAqp5EALw_wcB</t>
  </si>
  <si>
    <t>Crema UVAS Manos 170 ml</t>
  </si>
  <si>
    <t>https://www.uvas.com.ar/productos/uvas-humectante-cuerpo-y-manos-170ml/</t>
  </si>
  <si>
    <t>Precio de venta sugerido</t>
  </si>
  <si>
    <t>BASICA</t>
  </si>
  <si>
    <t>Crema UVAS Cuerpo 500 ml</t>
  </si>
  <si>
    <t>https://www.uvas.com.ar/productos/uvas-cuerpo-y-manos-500-ml/</t>
  </si>
  <si>
    <t>Margen bruto</t>
  </si>
  <si>
    <t>Caja rígida</t>
  </si>
  <si>
    <t>https://www.mercadolibre.com.ar/caja-de-almacenamiento-pequena-de-madera-lisa-3-unidades-p/p/MLA2060572916?matt_tool=38087446&amp;utm_source=google_shopping&amp;utm_medium=organic&amp;pdp_filters=item_id%3AMLA2811403230&amp;from=gshop</t>
  </si>
  <si>
    <t>Margen bruto (%)</t>
  </si>
  <si>
    <t>Cinta, tarjeta y etiquetas personalizadas</t>
  </si>
  <si>
    <t>TOTAL WINE THERAPY BOX BASICA</t>
  </si>
  <si>
    <t>RESERVA</t>
  </si>
  <si>
    <t>Crema UVAS Humectante facial</t>
  </si>
  <si>
    <t>Grabado</t>
  </si>
  <si>
    <t>TOTAL WINE THERAPY BOX RESERVA</t>
  </si>
  <si>
    <t>GRAN RESERVA</t>
  </si>
  <si>
    <t>Bomba efervescente</t>
  </si>
  <si>
    <t>Toalla con grabado</t>
  </si>
  <si>
    <t>https://articulo.mercadolibre.com.ar/MLA-1452980135-toalla-mano-bordado-iniciales-franco-valente-500-gr-_JM?matt_tool=97413954&amp;matt_word=&amp;matt_source=google&amp;matt_campaign_id=23390548787&amp;matt_ad_group_id=189479897943&amp;matt_match_type=&amp;matt_network=g&amp;matt_device=c&amp;matt_creative=789984782089&amp;matt_keyword=&amp;matt_ad_position=&amp;matt_ad_type=pla&amp;matt_merchant_id=5435219668&amp;matt_product_id=MLA1452980135&amp;matt_product_partition_id=2392713115861&amp;matt_target_id=aud-2418879895625:pla-2392713115861&amp;cq_src=google_ads&amp;cq_cmp=23390548787&amp;cq_net=g&amp;cq_plt=gp&amp;cq_med=pla&amp;gad_source=1&amp;gad_campaignid=23390548787&amp;gbraid=0AAAAAD01zQY4Z5k8oj3QANrA2ktq55FRc&amp;gclid=Cj0KCQjw6_HSBhCpARIsANvVltZ_dzj_JMt2s1asLcJ1JZ3_HNlbXNaDlCDgoF5nPBX0GbMQ1Cvnb1EaAq1SEALw_wcB</t>
  </si>
  <si>
    <t>TOTAL WINE THERAPY BOX GRAN RESERVA</t>
  </si>
  <si>
    <t>Etiqueta personalizada impresa</t>
  </si>
  <si>
    <t>Copas de cristal grabadas con logo</t>
  </si>
  <si>
    <t>https://www.mercadolibre.com.ar/copas-de-vino-nadir-fume-gris-grabadas-personalizadas-10un/up/MLAU4157772175?pdp_filters=seller_id%3A711015397#polycard_client=recommendations_vip-seller_items-above&amp;reco_backend=ranker-retsys-same-seller&amp;reco_model=rk_entity_sameseller&amp;reco_client=vip-seller_items-above&amp;reco_item_pos=1&amp;reco_backend_type=low_level&amp;reco_id=6ff879f3-74e8-459b-ac10-a6a33156e289&amp;wid=MLA1859086183&amp;sid=recos</t>
  </si>
  <si>
    <t>Sacacorchos metálico</t>
  </si>
  <si>
    <t>https://www.mercadolibre.com.ar/sacacorchos-3-en-1-metalico-destapador-vino-con-cortacapsula/up/MLAU3829004796?pdp_filters=item_id%3AMLA1689480319&amp;from=gshop&amp;matt_tool=21590255&amp;matt_internal_campaign_id=357051868&amp;matt_word=&amp;matt_source=google&amp;matt_campaign_id=23999626472&amp;matt_ad_group_id=197096656983&amp;matt_match_type=&amp;matt_network=g&amp;matt_device=c&amp;matt_creative=816842358226&amp;matt_keyword=&amp;matt_ad_position=&amp;matt_ad_type=pla&amp;matt_merchant_id=5729444620&amp;matt_product_id=MLAU3829004796&amp;matt_product_partition_id=2441379582453&amp;matt_target_id=aud-2418879895625:pla-2441379582453&amp;cq_src=google_ads&amp;cq_cmp=23999626472&amp;cq_net=g&amp;cq_plt=gp&amp;cq_med=pla&amp;gad_source=1&amp;gad_campaignid=23999626472&amp;gbraid=0AAAAAD01zQY00IqYX7gF_GZzOWwrpe381&amp;gclid=Cj0KCQjw6_HSBhCpARIsANvVltYk6k-p_5SVRIe2scpWjtr-jf8NFekpuS__Kg_IZBlxjtz-4Fz43KMaAqv0EALw_wcB</t>
  </si>
  <si>
    <t>Tapón reutilizable para vino</t>
  </si>
  <si>
    <t>https://www.mercadolibre.com.ar/tapon-reutilizable-daza-para-botellas-de-vino-negro-con-bomba-al-vacio-plastico/p/MLA41532710?pdp_filters=item_id%3AMLA1455382317&amp;from=gshop&amp;matt_tool=99120742&amp;matt_word=&amp;matt_source=google&amp;matt_campaign_id=23390548556&amp;matt_ad_group_id=189479849263&amp;matt_match_type=&amp;matt_network=g&amp;matt_device=c&amp;matt_creative=789984777982&amp;matt_keyword=&amp;matt_ad_position=&amp;matt_ad_type=pla&amp;matt_merchant_id=735078350&amp;matt_product_id=MLA41532710-product&amp;matt_product_partition_id=2390507432638&amp;matt_target_id=aud-2418879895625:pla-2390507432638&amp;cq_src=google_ads&amp;cq_cmp=23390548556&amp;cq_net=g&amp;cq_plt=gp&amp;cq_med=pla&amp;gad_source=1&amp;gad_campaignid=23390548556&amp;gbraid=0AAAAAD01zQaRECRSpTTMdXD6dob0L5s5k&amp;gclid=Cj0KCQjw6_HSBhCpARIsANvVltbbPNoz4M_6a3-4nd-SBdqKnkHWmSj3Y9ARCqo8Omtqw26sEDxWaMQaAmW0EALw_wcB</t>
  </si>
  <si>
    <t>Botella Pinot Noir patagónico</t>
  </si>
  <si>
    <t>TOTAL CORPORATE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</si>
</sst>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 $]#,##0.00"/>
  </numFmts>
  <fonts count="79">
    <font>
      <sz val="10.0"/>
      <color rgb="FF000000"/>
      <name val="Arial"/>
      <scheme val="minor"/>
    </font>
    <font>
      <sz val="11.0"/>
      <color theme="1"/>
      <name val="Raleway"/>
    </font>
    <font>
      <b/>
      <sz val="11.0"/>
      <color rgb="FF000000"/>
      <name val="Raleway"/>
    </font>
    <font>
      <b/>
      <sz val="11.0"/>
      <color theme="1"/>
      <name val="Raleway"/>
    </font>
    <font>
      <sz val="11.0"/>
      <color rgb="FF000000"/>
      <name val="Raleway"/>
    </font>
    <font>
      <b/>
      <sz val="14.0"/>
      <color rgb="FFFFFFFF"/>
      <name val="Raleway"/>
    </font>
    <font/>
    <font>
      <b/>
      <sz val="11.0"/>
      <color rgb="FFFFFFFF"/>
      <name val="Raleway"/>
    </font>
    <font>
      <sz val="11.0"/>
      <color rgb="FFFFFFFF"/>
      <name val="Raleway"/>
    </font>
    <font>
      <b/>
      <sz val="14.0"/>
      <color theme="1"/>
      <name val="Raleway"/>
    </font>
    <font>
      <u/>
      <sz val="11.0"/>
      <color theme="1"/>
      <name val="Raleway"/>
    </font>
    <font>
      <color theme="1"/>
      <name val="Arial"/>
      <scheme val="minor"/>
    </font>
    <font>
      <sz val="10.0"/>
      <color theme="1"/>
      <name val="Raleway"/>
    </font>
    <font>
      <u/>
      <sz val="11.0"/>
      <color rgb="FF000000"/>
      <name val="Raleway"/>
    </font>
    <font>
      <u/>
      <sz val="11.0"/>
      <color rgb="FF0000FF"/>
      <name val="Raleway"/>
    </font>
    <font>
      <u/>
      <sz val="11.0"/>
      <color theme="1"/>
      <name val="Raleway"/>
    </font>
    <font>
      <b/>
      <sz val="14.0"/>
      <color rgb="FF000000"/>
      <name val="Raleway"/>
    </font>
    <font>
      <u/>
      <sz val="11.0"/>
      <color theme="1"/>
      <name val="Raleway"/>
    </font>
    <font>
      <u/>
      <sz val="11.0"/>
      <color theme="1"/>
      <name val="Raleway"/>
    </font>
    <font>
      <u/>
      <sz val="11.0"/>
      <color rgb="FF000000"/>
      <name val="Raleway"/>
    </font>
    <font>
      <u/>
      <sz val="11.0"/>
      <color theme="1"/>
      <name val="Raleway"/>
    </font>
    <font>
      <u/>
      <sz val="11.0"/>
      <color theme="1"/>
      <name val="Raleway"/>
    </font>
    <font>
      <u/>
      <sz val="11.0"/>
      <color rgb="FF0000FF"/>
      <name val="Arial"/>
    </font>
    <font>
      <u/>
      <sz val="11.0"/>
      <color theme="1"/>
      <name val="Raleway"/>
    </font>
    <font>
      <u/>
      <sz val="11.0"/>
      <color theme="1"/>
      <name val="Raleway"/>
    </font>
    <font>
      <sz val="11.0"/>
      <color rgb="FF1F1F1F"/>
      <name val="Raleway"/>
    </font>
    <font>
      <u/>
      <sz val="11.0"/>
      <color rgb="FF0000FF"/>
      <name val="Raleway"/>
    </font>
    <font>
      <u/>
      <sz val="11.0"/>
      <color theme="1"/>
      <name val="Raleway"/>
    </font>
    <font>
      <u/>
      <sz val="11.0"/>
      <color theme="1"/>
      <name val="Raleway"/>
    </font>
    <font>
      <u/>
      <sz val="11.0"/>
      <color rgb="FF0000FF"/>
      <name val="Raleway"/>
    </font>
    <font>
      <u/>
      <sz val="11.0"/>
      <color rgb="FF0000FF"/>
      <name val="Raleway"/>
    </font>
    <font>
      <u/>
      <sz val="11.0"/>
      <color theme="1"/>
      <name val="Raleway"/>
    </font>
    <font>
      <b/>
      <u/>
      <sz val="11.0"/>
      <color rgb="FF1155CC"/>
      <name val="Raleway"/>
    </font>
    <font>
      <b/>
      <u/>
      <sz val="11.0"/>
      <color rgb="FF0000FF"/>
      <name val="Raleway"/>
    </font>
    <font>
      <u/>
      <sz val="11.0"/>
      <color rgb="FF0000FF"/>
      <name val="Raleway"/>
    </font>
    <font>
      <u/>
      <sz val="10.0"/>
      <color theme="1"/>
      <name val="Raleway"/>
    </font>
    <font>
      <b/>
      <sz val="10.0"/>
      <color theme="1"/>
      <name val="Raleway"/>
    </font>
    <font>
      <u/>
      <sz val="11.0"/>
      <color rgb="FF0000FF"/>
      <name val="Raleway"/>
    </font>
    <font>
      <u/>
      <sz val="11.0"/>
      <color rgb="FF000000"/>
      <name val="Raleway"/>
    </font>
    <font>
      <u/>
      <sz val="11.0"/>
      <color theme="1"/>
      <name val="Raleway"/>
    </font>
    <font>
      <u/>
      <sz val="11.0"/>
      <color rgb="FF0000FF"/>
      <name val="Raleway"/>
    </font>
    <font>
      <b/>
      <sz val="12.0"/>
      <color rgb="FF000000"/>
      <name val="Raleway"/>
    </font>
    <font>
      <sz val="10.0"/>
      <color rgb="FF1F1F1F"/>
      <name val="Raleway"/>
    </font>
    <font>
      <u/>
      <sz val="10.0"/>
      <color theme="1"/>
      <name val="Raleway"/>
    </font>
    <font>
      <i/>
      <sz val="11.0"/>
      <color rgb="FF666666"/>
      <name val="Raleway"/>
    </font>
    <font>
      <sz val="11.0"/>
      <color rgb="FF666666"/>
      <name val="Raleway"/>
    </font>
    <font>
      <u/>
      <sz val="11.0"/>
      <color rgb="FF000000"/>
      <name val="Raleway"/>
    </font>
    <font>
      <u/>
      <sz val="11.0"/>
      <color rgb="FF000000"/>
      <name val="Raleway"/>
    </font>
    <font>
      <b/>
      <sz val="9.0"/>
      <color theme="1"/>
      <name val="Raleway"/>
    </font>
    <font>
      <sz val="11.0"/>
      <color theme="1"/>
      <name val="Calibri"/>
    </font>
    <font>
      <color theme="1"/>
      <name val="Raleway"/>
    </font>
    <font>
      <color rgb="FF000000"/>
      <name val="Raleway"/>
    </font>
    <font>
      <u/>
      <sz val="11.0"/>
      <color theme="1"/>
      <name val="Raleway"/>
    </font>
    <font>
      <b/>
      <sz val="12.0"/>
      <color rgb="FFFF0000"/>
      <name val="Raleway"/>
    </font>
    <font>
      <u/>
      <sz val="11.0"/>
      <color rgb="FF1155CC"/>
      <name val="Raleway"/>
    </font>
    <font>
      <b/>
      <color theme="1"/>
      <name val="Arial"/>
      <scheme val="minor"/>
    </font>
    <font>
      <sz val="10.0"/>
      <color theme="1"/>
      <name val="Arial"/>
    </font>
    <font>
      <u/>
      <sz val="10.0"/>
      <color theme="1"/>
      <name val="Raleway"/>
    </font>
    <font>
      <u/>
      <sz val="10.0"/>
      <color rgb="FF000000"/>
      <name val="Raleway"/>
    </font>
    <font>
      <u/>
      <sz val="10.0"/>
      <color rgb="FF4285F4"/>
      <name val="Raleway"/>
    </font>
    <font>
      <u/>
      <sz val="10.0"/>
      <color rgb="FF4285F4"/>
      <name val="Raleway"/>
    </font>
    <font>
      <u/>
      <sz val="10.0"/>
      <color theme="1"/>
      <name val="Raleway"/>
    </font>
    <font>
      <u/>
      <sz val="10.0"/>
      <color theme="1"/>
      <name val="Raleway"/>
    </font>
    <font>
      <u/>
      <sz val="10.0"/>
      <color rgb="FF4285F4"/>
      <name val="Raleway"/>
    </font>
    <font>
      <u/>
      <sz val="10.0"/>
      <color rgb="FF4285F4"/>
      <name val="Raleway"/>
    </font>
    <font>
      <u/>
      <sz val="10.0"/>
      <color rgb="FF0000FF"/>
      <name val="Raleway"/>
    </font>
    <font>
      <u/>
      <sz val="10.0"/>
      <color rgb="FF4285F4"/>
      <name val="Raleway"/>
    </font>
    <font>
      <u/>
      <color rgb="FF0000FF"/>
    </font>
    <font>
      <u/>
      <sz val="10.0"/>
      <color rgb="FF4285F4"/>
      <name val="Raleway"/>
    </font>
    <font>
      <u/>
      <sz val="10.0"/>
      <color rgb="FF1155CC"/>
      <name val="Raleway"/>
    </font>
    <font>
      <u/>
      <sz val="10.0"/>
      <color rgb="FF1155CC"/>
      <name val="Raleway"/>
    </font>
    <font>
      <u/>
      <sz val="10.0"/>
      <color rgb="FF1155CC"/>
      <name val="Raleway"/>
    </font>
    <font>
      <u/>
      <sz val="10.0"/>
      <color rgb="FF1155CC"/>
      <name val="Raleway"/>
    </font>
    <font>
      <sz val="10.0"/>
      <color rgb="FF1155CC"/>
      <name val="Raleway"/>
    </font>
    <font>
      <b/>
      <color theme="1"/>
      <name val="Arial"/>
    </font>
    <font>
      <u/>
      <sz val="10.0"/>
      <color rgb="FF0000FF"/>
      <name val="Raleway"/>
    </font>
    <font>
      <color theme="1"/>
      <name val="Arial"/>
    </font>
    <font>
      <color rgb="FF000000"/>
      <name val="Arial"/>
      <scheme val="minor"/>
    </font>
    <font>
      <u/>
      <sz val="10.0"/>
      <color rgb="FF1155CC"/>
      <name val="Raleway"/>
    </font>
  </fonts>
  <fills count="39">
    <fill>
      <patternFill patternType="none"/>
    </fill>
    <fill>
      <patternFill patternType="lightGray"/>
    </fill>
    <fill>
      <patternFill patternType="solid">
        <fgColor rgb="FF808080"/>
        <bgColor rgb="FF808080"/>
      </patternFill>
    </fill>
    <fill>
      <patternFill patternType="solid">
        <fgColor rgb="FFB4A7D6"/>
        <bgColor rgb="FFB4A7D6"/>
      </patternFill>
    </fill>
    <fill>
      <patternFill patternType="solid">
        <fgColor rgb="FFFFFF00"/>
        <bgColor rgb="FFFFFF00"/>
      </patternFill>
    </fill>
    <fill>
      <patternFill patternType="solid">
        <fgColor rgb="FFD0E0E3"/>
        <bgColor rgb="FFD0E0E3"/>
      </patternFill>
    </fill>
    <fill>
      <patternFill patternType="solid">
        <fgColor rgb="FF6D9EEB"/>
        <bgColor rgb="FF6D9EEB"/>
      </patternFill>
    </fill>
    <fill>
      <patternFill patternType="solid">
        <fgColor rgb="FF00FF00"/>
        <bgColor rgb="FF00FF00"/>
      </patternFill>
    </fill>
    <fill>
      <patternFill patternType="solid">
        <fgColor rgb="FFFFE599"/>
        <bgColor rgb="FFFFE599"/>
      </patternFill>
    </fill>
    <fill>
      <patternFill patternType="solid">
        <fgColor theme="8"/>
        <bgColor theme="8"/>
      </patternFill>
    </fill>
    <fill>
      <patternFill patternType="solid">
        <fgColor rgb="FFFF0000"/>
        <bgColor rgb="FFFF0000"/>
      </patternFill>
    </fill>
    <fill>
      <patternFill patternType="solid">
        <fgColor rgb="FFD9D2E9"/>
        <bgColor rgb="FFD9D2E9"/>
      </patternFill>
    </fill>
    <fill>
      <patternFill patternType="solid">
        <fgColor rgb="FFFFFFFF"/>
        <bgColor rgb="FFFFFFFF"/>
      </patternFill>
    </fill>
    <fill>
      <patternFill patternType="solid">
        <fgColor rgb="FFBFDFDA"/>
        <bgColor rgb="FFBFDFDA"/>
      </patternFill>
    </fill>
    <fill>
      <patternFill patternType="solid">
        <fgColor rgb="FFFF6D01"/>
        <bgColor rgb="FFFF6D01"/>
      </patternFill>
    </fill>
    <fill>
      <patternFill patternType="solid">
        <fgColor rgb="FFCCCCCC"/>
        <bgColor rgb="FFCCCCCC"/>
      </patternFill>
    </fill>
    <fill>
      <patternFill patternType="solid">
        <fgColor rgb="FFEFEFEF"/>
        <bgColor rgb="FFEFEFEF"/>
      </patternFill>
    </fill>
    <fill>
      <patternFill patternType="solid">
        <fgColor rgb="FF9BD3B8"/>
        <bgColor rgb="FF9BD3B8"/>
      </patternFill>
    </fill>
    <fill>
      <patternFill patternType="solid">
        <fgColor theme="4"/>
        <bgColor theme="4"/>
      </patternFill>
    </fill>
    <fill>
      <patternFill patternType="solid">
        <fgColor rgb="FFFFDF8B"/>
        <bgColor rgb="FFFFDF8B"/>
      </patternFill>
    </fill>
    <fill>
      <patternFill patternType="solid">
        <fgColor rgb="FFF4CCCC"/>
        <bgColor rgb="FFF4CCCC"/>
      </patternFill>
    </fill>
    <fill>
      <patternFill patternType="solid">
        <fgColor rgb="FFF9CB9C"/>
        <bgColor rgb="FFF9CB9C"/>
      </patternFill>
    </fill>
    <fill>
      <patternFill patternType="solid">
        <fgColor rgb="FFEAD1DC"/>
        <bgColor rgb="FFEAD1DC"/>
      </patternFill>
    </fill>
    <fill>
      <patternFill patternType="solid">
        <fgColor rgb="FF4A86E8"/>
        <bgColor rgb="FF4A86E8"/>
      </patternFill>
    </fill>
    <fill>
      <patternFill patternType="solid">
        <fgColor rgb="FFD9EAD3"/>
        <bgColor rgb="FFD9EAD3"/>
      </patternFill>
    </fill>
    <fill>
      <patternFill patternType="solid">
        <fgColor theme="0"/>
        <bgColor theme="0"/>
      </patternFill>
    </fill>
    <fill>
      <patternFill patternType="solid">
        <fgColor theme="6"/>
        <bgColor theme="6"/>
      </patternFill>
    </fill>
    <fill>
      <patternFill patternType="solid">
        <fgColor rgb="FF93C47D"/>
        <bgColor rgb="FF93C47D"/>
      </patternFill>
    </fill>
    <fill>
      <patternFill patternType="solid">
        <fgColor rgb="FFA4C2F4"/>
        <bgColor rgb="FFA4C2F4"/>
      </patternFill>
    </fill>
    <fill>
      <patternFill patternType="solid">
        <fgColor rgb="FFFF9900"/>
        <bgColor rgb="FFFF9900"/>
      </patternFill>
    </fill>
    <fill>
      <patternFill patternType="solid">
        <fgColor rgb="FFF6B26B"/>
        <bgColor rgb="FFF6B26B"/>
      </patternFill>
    </fill>
    <fill>
      <patternFill patternType="solid">
        <fgColor rgb="FFFCE5CD"/>
        <bgColor rgb="FFFCE5CD"/>
      </patternFill>
    </fill>
    <fill>
      <patternFill patternType="solid">
        <fgColor rgb="FF3AC481"/>
        <bgColor rgb="FF3AC481"/>
      </patternFill>
    </fill>
    <fill>
      <patternFill patternType="solid">
        <fgColor rgb="FFC27BA0"/>
        <bgColor rgb="FFC27BA0"/>
      </patternFill>
    </fill>
    <fill>
      <patternFill patternType="solid">
        <fgColor rgb="FF4285F4"/>
        <bgColor rgb="FF4285F4"/>
      </patternFill>
    </fill>
    <fill>
      <patternFill patternType="solid">
        <fgColor rgb="FFA2C4C9"/>
        <bgColor rgb="FFA2C4C9"/>
      </patternFill>
    </fill>
    <fill>
      <patternFill patternType="solid">
        <fgColor rgb="FF45818E"/>
        <bgColor rgb="FF45818E"/>
      </patternFill>
    </fill>
    <fill>
      <patternFill patternType="solid">
        <fgColor rgb="FFD5A6BD"/>
        <bgColor rgb="FFD5A6BD"/>
      </patternFill>
    </fill>
    <fill>
      <patternFill patternType="solid">
        <fgColor rgb="FF674EA7"/>
        <bgColor rgb="FF674EA7"/>
      </patternFill>
    </fill>
  </fills>
  <borders count="2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top style="thin">
        <color rgb="FF000000"/>
      </top>
      <bottom style="thin">
        <color rgb="FF000000"/>
      </bottom>
    </border>
    <border>
      <left/>
      <right/>
      <top/>
      <bottom/>
    </border>
    <border>
      <left/>
      <top/>
      <bottom/>
    </border>
    <border>
      <right/>
      <top/>
      <bottom/>
    </border>
    <border>
      <left style="thin">
        <color rgb="FF000000"/>
      </left>
      <right style="thin">
        <color rgb="FF000000"/>
      </right>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bottom/>
    </border>
    <border>
      <left/>
      <right style="thin">
        <color rgb="FF000000"/>
      </right>
      <top/>
      <bottom/>
    </border>
    <border>
      <left/>
      <right style="thin">
        <color rgb="FF000000"/>
      </right>
      <top/>
      <bottom style="thin">
        <color rgb="FF000000"/>
      </bottom>
    </border>
    <border>
      <left style="thin">
        <color rgb="FF000000"/>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44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0" fillId="0" fontId="2" numFmtId="164" xfId="0" applyAlignment="1" applyFont="1" applyNumberFormat="1">
      <alignment horizontal="center" shrinkToFit="0" vertical="center" wrapText="1"/>
    </xf>
    <xf borderId="0" fillId="0" fontId="3" numFmtId="0" xfId="0" applyAlignment="1" applyFont="1">
      <alignment horizontal="center" shrinkToFit="0" vertical="center" wrapText="1"/>
    </xf>
    <xf borderId="0" fillId="0" fontId="4" numFmtId="0" xfId="0" applyAlignment="1" applyFont="1">
      <alignment horizontal="center" shrinkToFit="0" vertical="center" wrapText="1"/>
    </xf>
    <xf borderId="1" fillId="0" fontId="3" numFmtId="0" xfId="0" applyAlignment="1" applyBorder="1" applyFont="1">
      <alignment horizontal="center" shrinkToFit="0" vertical="center" wrapText="1"/>
    </xf>
    <xf borderId="1" fillId="0" fontId="1" numFmtId="164" xfId="0" applyAlignment="1" applyBorder="1" applyFont="1" applyNumberFormat="1">
      <alignment horizontal="center" readingOrder="0" shrinkToFit="0" vertical="center" wrapText="1"/>
    </xf>
    <xf borderId="0" fillId="0" fontId="2" numFmtId="0" xfId="0" applyAlignment="1" applyFont="1">
      <alignment horizontal="center" readingOrder="0" shrinkToFit="0" vertical="center" wrapText="1"/>
    </xf>
    <xf borderId="0" fillId="0" fontId="1" numFmtId="0" xfId="0" applyAlignment="1" applyFont="1">
      <alignment horizontal="center" readingOrder="0" shrinkToFit="0" vertical="center" wrapText="1"/>
    </xf>
    <xf borderId="1" fillId="0" fontId="1" numFmtId="164" xfId="0" applyAlignment="1" applyBorder="1" applyFont="1" applyNumberFormat="1">
      <alignment horizontal="center" shrinkToFit="0" vertical="center" wrapText="1"/>
    </xf>
    <xf borderId="2" fillId="2" fontId="5" numFmtId="0" xfId="0" applyAlignment="1" applyBorder="1" applyFill="1" applyFont="1">
      <alignment horizontal="center" shrinkToFit="0" vertical="center" wrapText="1"/>
    </xf>
    <xf borderId="3" fillId="0" fontId="6" numFmtId="0" xfId="0" applyBorder="1" applyFont="1"/>
    <xf borderId="1" fillId="3" fontId="3" numFmtId="0" xfId="0" applyAlignment="1" applyBorder="1" applyFill="1" applyFont="1">
      <alignment horizontal="center" shrinkToFit="0" vertical="center" wrapText="1"/>
    </xf>
    <xf borderId="1" fillId="3" fontId="3" numFmtId="164" xfId="0" applyAlignment="1" applyBorder="1" applyFont="1" applyNumberFormat="1">
      <alignment horizontal="center" shrinkToFit="0" vertical="center" wrapText="1"/>
    </xf>
    <xf borderId="4" fillId="4" fontId="1" numFmtId="0" xfId="0" applyAlignment="1" applyBorder="1" applyFill="1" applyFont="1">
      <alignment horizontal="center" shrinkToFit="0" vertical="center" wrapText="1"/>
    </xf>
    <xf borderId="1" fillId="5" fontId="3" numFmtId="0" xfId="0" applyAlignment="1" applyBorder="1" applyFill="1" applyFont="1">
      <alignment horizontal="center" shrinkToFit="0" vertical="center" wrapText="1"/>
    </xf>
    <xf borderId="1" fillId="5" fontId="3" numFmtId="164" xfId="0" applyAlignment="1" applyBorder="1" applyFont="1" applyNumberFormat="1">
      <alignment horizontal="center" shrinkToFit="0" vertical="center" wrapText="1"/>
    </xf>
    <xf borderId="5" fillId="0" fontId="6" numFmtId="0" xfId="0" applyBorder="1" applyFont="1"/>
    <xf borderId="1" fillId="6" fontId="2" numFmtId="165" xfId="0" applyAlignment="1" applyBorder="1" applyFill="1" applyFont="1" applyNumberFormat="1">
      <alignment horizontal="center" shrinkToFit="0" vertical="center" wrapText="1"/>
    </xf>
    <xf borderId="1" fillId="6" fontId="3" numFmtId="164" xfId="0" applyAlignment="1" applyBorder="1" applyFont="1" applyNumberFormat="1">
      <alignment horizontal="center" shrinkToFit="0" vertical="center" wrapText="1"/>
    </xf>
    <xf borderId="1" fillId="7" fontId="2" numFmtId="0" xfId="0" applyAlignment="1" applyBorder="1" applyFill="1" applyFont="1">
      <alignment horizontal="center" shrinkToFit="0" vertical="center" wrapText="1"/>
    </xf>
    <xf borderId="1" fillId="7" fontId="3" numFmtId="164" xfId="0" applyAlignment="1" applyBorder="1" applyFont="1" applyNumberFormat="1">
      <alignment horizontal="center" shrinkToFit="0" vertical="center" wrapText="1"/>
    </xf>
    <xf borderId="1" fillId="8" fontId="3" numFmtId="0" xfId="0" applyAlignment="1" applyBorder="1" applyFill="1" applyFont="1">
      <alignment horizontal="center" shrinkToFit="0" vertical="center" wrapText="1"/>
    </xf>
    <xf borderId="1" fillId="8" fontId="3" numFmtId="164" xfId="0" applyAlignment="1" applyBorder="1" applyFont="1" applyNumberFormat="1">
      <alignment horizontal="center" shrinkToFit="0" vertical="center" wrapText="1"/>
    </xf>
    <xf borderId="1" fillId="4" fontId="2" numFmtId="0" xfId="0" applyAlignment="1" applyBorder="1" applyFont="1">
      <alignment horizontal="center" shrinkToFit="0" vertical="center" wrapText="1"/>
    </xf>
    <xf borderId="1" fillId="4" fontId="3" numFmtId="164" xfId="0" applyAlignment="1" applyBorder="1" applyFont="1" applyNumberFormat="1">
      <alignment horizontal="center" shrinkToFit="0" vertical="center" wrapText="1"/>
    </xf>
    <xf borderId="1" fillId="9" fontId="2" numFmtId="0" xfId="0" applyAlignment="1" applyBorder="1" applyFill="1" applyFont="1">
      <alignment horizontal="center" shrinkToFit="0" vertical="center" wrapText="1"/>
    </xf>
    <xf borderId="1" fillId="9" fontId="3" numFmtId="164" xfId="0" applyAlignment="1" applyBorder="1" applyFont="1" applyNumberFormat="1">
      <alignment horizontal="center" shrinkToFit="0" vertical="center" wrapText="1"/>
    </xf>
    <xf borderId="1" fillId="10" fontId="2" numFmtId="0" xfId="0" applyAlignment="1" applyBorder="1" applyFill="1" applyFont="1">
      <alignment horizontal="center" shrinkToFit="0" vertical="center" wrapText="1"/>
    </xf>
    <xf borderId="1" fillId="10" fontId="3" numFmtId="164" xfId="0" applyAlignment="1" applyBorder="1" applyFont="1" applyNumberFormat="1">
      <alignment horizontal="center" shrinkToFit="0" vertical="center" wrapText="1"/>
    </xf>
    <xf borderId="1" fillId="2" fontId="7" numFmtId="165" xfId="0" applyAlignment="1" applyBorder="1" applyFont="1" applyNumberFormat="1">
      <alignment horizontal="center" shrinkToFit="0" vertical="center" wrapText="1"/>
    </xf>
    <xf borderId="1" fillId="2" fontId="7" numFmtId="164" xfId="0" applyAlignment="1" applyBorder="1" applyFont="1" applyNumberFormat="1">
      <alignment horizontal="center" shrinkToFit="0" vertical="center" wrapText="1"/>
    </xf>
    <xf borderId="6" fillId="0" fontId="6" numFmtId="0" xfId="0" applyBorder="1" applyFont="1"/>
    <xf borderId="0" fillId="0" fontId="1" numFmtId="164" xfId="0" applyAlignment="1" applyFont="1" applyNumberFormat="1">
      <alignment horizontal="center" shrinkToFit="0" vertical="center" wrapText="1"/>
    </xf>
    <xf borderId="1" fillId="2" fontId="8" numFmtId="165" xfId="0" applyAlignment="1" applyBorder="1" applyFont="1" applyNumberFormat="1">
      <alignment horizontal="center" shrinkToFit="0" vertical="center" wrapText="1"/>
    </xf>
    <xf borderId="1" fillId="2" fontId="8" numFmtId="164" xfId="0" applyAlignment="1" applyBorder="1" applyFont="1" applyNumberFormat="1">
      <alignment horizontal="center" shrinkToFit="0" vertical="center" wrapText="1"/>
    </xf>
    <xf borderId="2" fillId="0" fontId="1" numFmtId="0" xfId="0" applyAlignment="1" applyBorder="1" applyFont="1">
      <alignment horizontal="center" shrinkToFit="0" vertical="center" wrapText="1"/>
    </xf>
    <xf borderId="1" fillId="2" fontId="5" numFmtId="165" xfId="0" applyAlignment="1" applyBorder="1" applyFont="1" applyNumberFormat="1">
      <alignment horizontal="center" shrinkToFit="0" vertical="center" wrapText="1"/>
    </xf>
    <xf borderId="1" fillId="4" fontId="5" numFmtId="164" xfId="0" applyAlignment="1" applyBorder="1" applyFont="1" applyNumberFormat="1">
      <alignment horizontal="center" shrinkToFit="0" vertical="center" wrapText="1"/>
    </xf>
    <xf borderId="7" fillId="0" fontId="2" numFmtId="0" xfId="0" applyAlignment="1" applyBorder="1" applyFont="1">
      <alignment horizontal="center" shrinkToFit="0" vertical="center" wrapText="1"/>
    </xf>
    <xf borderId="8" fillId="0" fontId="6" numFmtId="0" xfId="0" applyBorder="1" applyFont="1"/>
    <xf borderId="9" fillId="0" fontId="6" numFmtId="0" xfId="0" applyBorder="1" applyFont="1"/>
    <xf borderId="10" fillId="0" fontId="6" numFmtId="0" xfId="0" applyBorder="1" applyFont="1"/>
    <xf borderId="11" fillId="0" fontId="6" numFmtId="0" xfId="0" applyBorder="1" applyFont="1"/>
    <xf borderId="12" fillId="0" fontId="6" numFmtId="0" xfId="0" applyBorder="1" applyFont="1"/>
    <xf borderId="2" fillId="11" fontId="9" numFmtId="0" xfId="0" applyAlignment="1" applyBorder="1" applyFill="1" applyFont="1">
      <alignment horizontal="center" shrinkToFit="0" vertical="center" wrapText="1"/>
    </xf>
    <xf borderId="13" fillId="0" fontId="6" numFmtId="0" xfId="0" applyBorder="1" applyFont="1"/>
    <xf borderId="1" fillId="12" fontId="3" numFmtId="0" xfId="0" applyAlignment="1" applyBorder="1" applyFill="1" applyFont="1">
      <alignment horizontal="center" readingOrder="0" shrinkToFit="0" vertical="center" wrapText="1"/>
    </xf>
    <xf borderId="1" fillId="12" fontId="3" numFmtId="164" xfId="0" applyAlignment="1" applyBorder="1" applyFont="1" applyNumberFormat="1">
      <alignment horizontal="center" shrinkToFit="0" vertical="center" wrapText="1"/>
    </xf>
    <xf borderId="1" fillId="12" fontId="3" numFmtId="0" xfId="0" applyAlignment="1" applyBorder="1" applyFont="1">
      <alignment horizontal="center" shrinkToFit="0" vertical="center" wrapText="1"/>
    </xf>
    <xf borderId="1" fillId="11" fontId="1" numFmtId="0" xfId="0" applyAlignment="1" applyBorder="1" applyFont="1">
      <alignment horizontal="center" readingOrder="0" shrinkToFit="0" vertical="center" wrapText="1"/>
    </xf>
    <xf borderId="1" fillId="11" fontId="1" numFmtId="164" xfId="0" applyAlignment="1" applyBorder="1" applyFont="1" applyNumberFormat="1">
      <alignment horizontal="center" readingOrder="0" shrinkToFit="0" vertical="center" wrapText="1"/>
    </xf>
    <xf borderId="1" fillId="11" fontId="1" numFmtId="165" xfId="0" applyAlignment="1" applyBorder="1" applyFont="1" applyNumberFormat="1">
      <alignment horizontal="center" shrinkToFit="0" vertical="center" wrapText="1"/>
    </xf>
    <xf borderId="1" fillId="11" fontId="10" numFmtId="0" xfId="0" applyAlignment="1" applyBorder="1" applyFont="1">
      <alignment horizontal="center" readingOrder="0" shrinkToFit="0" vertical="center" wrapText="1"/>
    </xf>
    <xf borderId="1" fillId="11" fontId="1" numFmtId="0" xfId="0" applyAlignment="1" applyBorder="1" applyFont="1">
      <alignment horizontal="center" shrinkToFit="0" vertical="center" wrapText="1"/>
    </xf>
    <xf borderId="0" fillId="0" fontId="11" numFmtId="0" xfId="0" applyAlignment="1" applyFont="1">
      <alignment readingOrder="0"/>
    </xf>
    <xf borderId="1" fillId="11" fontId="4" numFmtId="0" xfId="0" applyAlignment="1" applyBorder="1" applyFont="1">
      <alignment horizontal="center" readingOrder="0" shrinkToFit="0" vertical="center" wrapText="1"/>
    </xf>
    <xf borderId="0" fillId="0" fontId="1" numFmtId="165" xfId="0" applyAlignment="1" applyFont="1" applyNumberFormat="1">
      <alignment horizontal="center" shrinkToFit="0" vertical="center" wrapText="1"/>
    </xf>
    <xf borderId="0" fillId="0" fontId="12" numFmtId="0" xfId="0" applyFont="1"/>
    <xf borderId="1" fillId="11" fontId="4" numFmtId="165" xfId="0" applyAlignment="1" applyBorder="1" applyFont="1" applyNumberFormat="1">
      <alignment horizontal="center" readingOrder="0" shrinkToFit="0" vertical="center" wrapText="1"/>
    </xf>
    <xf borderId="1" fillId="11" fontId="1" numFmtId="165" xfId="0" applyAlignment="1" applyBorder="1" applyFont="1" applyNumberFormat="1">
      <alignment horizontal="center" readingOrder="0" shrinkToFit="0" vertical="center" wrapText="1"/>
    </xf>
    <xf borderId="1" fillId="11" fontId="13" numFmtId="165" xfId="0" applyAlignment="1" applyBorder="1" applyFont="1" applyNumberFormat="1">
      <alignment horizontal="center" readingOrder="0" shrinkToFit="0" vertical="center" wrapText="1"/>
    </xf>
    <xf borderId="2" fillId="11" fontId="2" numFmtId="0" xfId="0" applyAlignment="1" applyBorder="1" applyFont="1">
      <alignment horizontal="center" readingOrder="0" shrinkToFit="0" vertical="center" wrapText="1"/>
    </xf>
    <xf borderId="1" fillId="11" fontId="3" numFmtId="165" xfId="0" applyAlignment="1" applyBorder="1" applyFont="1" applyNumberFormat="1">
      <alignment horizontal="center" shrinkToFit="0" vertical="center" wrapText="1"/>
    </xf>
    <xf borderId="1" fillId="4" fontId="1" numFmtId="0" xfId="0" applyAlignment="1" applyBorder="1" applyFont="1">
      <alignment horizontal="center" shrinkToFit="0" vertical="center" wrapText="1"/>
    </xf>
    <xf borderId="0" fillId="0" fontId="12" numFmtId="0" xfId="0" applyAlignment="1" applyFont="1">
      <alignment readingOrder="0"/>
    </xf>
    <xf borderId="1" fillId="12" fontId="2" numFmtId="0" xfId="0" applyAlignment="1" applyBorder="1" applyFont="1">
      <alignment horizontal="center" shrinkToFit="0" vertical="center" wrapText="1"/>
    </xf>
    <xf borderId="1" fillId="11" fontId="4" numFmtId="164" xfId="0" applyAlignment="1" applyBorder="1" applyFont="1" applyNumberFormat="1">
      <alignment horizontal="center" readingOrder="0" shrinkToFit="0" vertical="center" wrapText="1"/>
    </xf>
    <xf borderId="1" fillId="11" fontId="1" numFmtId="165" xfId="0" applyAlignment="1" applyBorder="1" applyFont="1" applyNumberFormat="1">
      <alignment horizontal="center" shrinkToFit="0" wrapText="1"/>
    </xf>
    <xf borderId="1" fillId="11" fontId="1" numFmtId="164" xfId="0" applyAlignment="1" applyBorder="1" applyFont="1" applyNumberFormat="1">
      <alignment horizontal="center" shrinkToFit="0" wrapText="1"/>
    </xf>
    <xf borderId="1" fillId="11" fontId="1" numFmtId="0" xfId="0" applyAlignment="1" applyBorder="1" applyFont="1">
      <alignment horizontal="center" readingOrder="0" shrinkToFit="0" wrapText="1"/>
    </xf>
    <xf borderId="1" fillId="11" fontId="14" numFmtId="0" xfId="0" applyAlignment="1" applyBorder="1" applyFont="1">
      <alignment horizontal="center" shrinkToFit="0" wrapText="1"/>
    </xf>
    <xf borderId="1" fillId="11" fontId="4" numFmtId="0" xfId="0" applyAlignment="1" applyBorder="1" applyFont="1">
      <alignment horizontal="center" readingOrder="0" shrinkToFit="0" vertical="center" wrapText="1"/>
    </xf>
    <xf borderId="1" fillId="4" fontId="15" numFmtId="0" xfId="0" applyAlignment="1" applyBorder="1" applyFont="1">
      <alignment horizontal="center" readingOrder="0" shrinkToFit="0" vertical="center" wrapText="1"/>
    </xf>
    <xf borderId="2" fillId="11" fontId="2" numFmtId="0" xfId="0" applyAlignment="1" applyBorder="1" applyFont="1">
      <alignment horizontal="center" shrinkToFit="0" vertical="center" wrapText="1"/>
    </xf>
    <xf borderId="2" fillId="11" fontId="16" numFmtId="0" xfId="0" applyAlignment="1" applyBorder="1" applyFont="1">
      <alignment horizontal="center" shrinkToFit="0" vertical="center" wrapText="1"/>
    </xf>
    <xf borderId="1" fillId="11" fontId="9" numFmtId="165" xfId="0" applyAlignment="1" applyBorder="1" applyFont="1" applyNumberFormat="1">
      <alignment horizontal="center" shrinkToFit="0" vertical="center" wrapText="1"/>
    </xf>
    <xf borderId="2" fillId="5" fontId="9" numFmtId="0" xfId="0" applyAlignment="1" applyBorder="1" applyFont="1">
      <alignment horizontal="center" shrinkToFit="0" vertical="center" wrapText="1"/>
    </xf>
    <xf borderId="1" fillId="5" fontId="4" numFmtId="0" xfId="0" applyAlignment="1" applyBorder="1" applyFont="1">
      <alignment horizontal="center" readingOrder="0"/>
    </xf>
    <xf borderId="1" fillId="5" fontId="1" numFmtId="164" xfId="0" applyAlignment="1" applyBorder="1" applyFont="1" applyNumberFormat="1">
      <alignment horizontal="center" readingOrder="0" shrinkToFit="0" vertical="center" wrapText="1"/>
    </xf>
    <xf borderId="1" fillId="5" fontId="1" numFmtId="0" xfId="0" applyAlignment="1" applyBorder="1" applyFont="1">
      <alignment horizontal="center" readingOrder="0" shrinkToFit="0" vertical="center" wrapText="1"/>
    </xf>
    <xf borderId="1" fillId="5" fontId="1" numFmtId="165" xfId="0" applyAlignment="1" applyBorder="1" applyFont="1" applyNumberFormat="1">
      <alignment horizontal="center" shrinkToFit="0" vertical="center" wrapText="1"/>
    </xf>
    <xf borderId="1" fillId="5" fontId="17" numFmtId="0" xfId="0" applyAlignment="1" applyBorder="1" applyFont="1">
      <alignment horizontal="center" readingOrder="0" shrinkToFit="0" vertical="center" wrapText="1"/>
    </xf>
    <xf borderId="1" fillId="13" fontId="1" numFmtId="164" xfId="0" applyAlignment="1" applyBorder="1" applyFill="1" applyFont="1" applyNumberFormat="1">
      <alignment horizontal="center" readingOrder="0" shrinkToFit="0" vertical="center" wrapText="1"/>
    </xf>
    <xf borderId="1" fillId="13" fontId="1" numFmtId="0" xfId="0" applyAlignment="1" applyBorder="1" applyFont="1">
      <alignment horizontal="center" readingOrder="0" shrinkToFit="0" vertical="center" wrapText="1"/>
    </xf>
    <xf borderId="1" fillId="13" fontId="1" numFmtId="165" xfId="0" applyAlignment="1" applyBorder="1" applyFont="1" applyNumberFormat="1">
      <alignment horizontal="center" shrinkToFit="0" vertical="center" wrapText="1"/>
    </xf>
    <xf borderId="1" fillId="13" fontId="18" numFmtId="0" xfId="0" applyAlignment="1" applyBorder="1" applyFont="1">
      <alignment horizontal="center" readingOrder="0" shrinkToFit="0" vertical="center" wrapText="1"/>
    </xf>
    <xf borderId="1" fillId="5" fontId="19" numFmtId="0" xfId="0" applyAlignment="1" applyBorder="1" applyFont="1">
      <alignment horizontal="center" readingOrder="0" shrinkToFit="0" vertical="center" wrapText="1"/>
    </xf>
    <xf borderId="1" fillId="5" fontId="20" numFmtId="165" xfId="0" applyAlignment="1" applyBorder="1" applyFont="1" applyNumberFormat="1">
      <alignment horizontal="center" readingOrder="0" shrinkToFit="0" vertical="center" wrapText="1"/>
    </xf>
    <xf borderId="1" fillId="5" fontId="1" numFmtId="0" xfId="0" applyAlignment="1" applyBorder="1" applyFont="1">
      <alignment horizontal="center" shrinkToFit="0" vertical="center" wrapText="1"/>
    </xf>
    <xf borderId="1" fillId="5" fontId="1" numFmtId="164" xfId="0" applyAlignment="1" applyBorder="1" applyFont="1" applyNumberFormat="1">
      <alignment horizontal="center" shrinkToFit="0" vertical="center" wrapText="1"/>
    </xf>
    <xf borderId="2" fillId="5" fontId="3" numFmtId="165" xfId="0" applyAlignment="1" applyBorder="1" applyFont="1" applyNumberFormat="1">
      <alignment horizontal="center" shrinkToFit="0" vertical="center" wrapText="1"/>
    </xf>
    <xf borderId="1" fillId="5" fontId="3" numFmtId="165" xfId="0" applyAlignment="1" applyBorder="1" applyFont="1" applyNumberFormat="1">
      <alignment horizontal="center" shrinkToFit="0" vertical="center" wrapText="1"/>
    </xf>
    <xf borderId="1" fillId="5" fontId="4" numFmtId="0" xfId="0" applyAlignment="1" applyBorder="1" applyFont="1">
      <alignment horizontal="center" shrinkToFit="0" vertical="center" wrapText="1"/>
    </xf>
    <xf borderId="1" fillId="5" fontId="1" numFmtId="164" xfId="0" applyAlignment="1" applyBorder="1" applyFont="1" applyNumberFormat="1">
      <alignment horizontal="center" shrinkToFit="0" vertical="center" wrapText="1"/>
    </xf>
    <xf borderId="2" fillId="5" fontId="2" numFmtId="165" xfId="0" applyAlignment="1" applyBorder="1" applyFont="1" applyNumberFormat="1">
      <alignment horizontal="center" shrinkToFit="0" vertical="center" wrapText="1"/>
    </xf>
    <xf borderId="1" fillId="5" fontId="3" numFmtId="164" xfId="0" applyAlignment="1" applyBorder="1" applyFont="1" applyNumberFormat="1">
      <alignment horizontal="center" shrinkToFit="0" vertical="center" wrapText="1"/>
    </xf>
    <xf borderId="14" fillId="4" fontId="1" numFmtId="0" xfId="0" applyAlignment="1" applyBorder="1" applyFont="1">
      <alignment horizontal="center" shrinkToFit="0" vertical="center" wrapText="1"/>
    </xf>
    <xf borderId="1" fillId="5" fontId="4" numFmtId="164" xfId="0" applyAlignment="1" applyBorder="1" applyFont="1" applyNumberFormat="1">
      <alignment horizontal="center" readingOrder="0"/>
    </xf>
    <xf borderId="1" fillId="5" fontId="21" numFmtId="0" xfId="0" applyAlignment="1" applyBorder="1" applyFont="1">
      <alignment horizontal="center" shrinkToFit="0" vertical="center" wrapText="1"/>
    </xf>
    <xf borderId="1" fillId="5" fontId="22" numFmtId="0" xfId="0" applyAlignment="1" applyBorder="1" applyFont="1">
      <alignment horizontal="center" readingOrder="0" shrinkToFit="0" vertical="center" wrapText="1"/>
    </xf>
    <xf borderId="1" fillId="5" fontId="4" numFmtId="0" xfId="0" applyAlignment="1" applyBorder="1" applyFont="1">
      <alignment horizontal="center" readingOrder="0" shrinkToFit="0" wrapText="0"/>
    </xf>
    <xf borderId="1" fillId="5" fontId="2" numFmtId="164" xfId="0" applyAlignment="1" applyBorder="1" applyFont="1" applyNumberFormat="1">
      <alignment horizontal="center" shrinkToFit="0" vertical="center" wrapText="1"/>
    </xf>
    <xf borderId="1" fillId="5" fontId="2" numFmtId="165" xfId="0" applyAlignment="1" applyBorder="1" applyFont="1" applyNumberFormat="1">
      <alignment horizontal="center" shrinkToFit="0" vertical="center" wrapText="1"/>
    </xf>
    <xf borderId="2" fillId="5" fontId="16" numFmtId="165" xfId="0" applyAlignment="1" applyBorder="1" applyFont="1" applyNumberFormat="1">
      <alignment horizontal="center" shrinkToFit="0" vertical="center" wrapText="1"/>
    </xf>
    <xf borderId="1" fillId="5" fontId="9" numFmtId="165" xfId="0" applyAlignment="1" applyBorder="1" applyFont="1" applyNumberFormat="1">
      <alignment horizontal="center" shrinkToFit="0" vertical="center" wrapText="1"/>
    </xf>
    <xf borderId="2" fillId="6" fontId="16" numFmtId="165" xfId="0" applyAlignment="1" applyBorder="1" applyFont="1" applyNumberFormat="1">
      <alignment horizontal="center" shrinkToFit="0" vertical="center" wrapText="1"/>
    </xf>
    <xf borderId="1" fillId="12" fontId="2" numFmtId="0" xfId="0" applyAlignment="1" applyBorder="1" applyFont="1">
      <alignment horizontal="center" readingOrder="0" shrinkToFit="0" vertical="center" wrapText="1"/>
    </xf>
    <xf borderId="1" fillId="6" fontId="4" numFmtId="165" xfId="0" applyAlignment="1" applyBorder="1" applyFont="1" applyNumberFormat="1">
      <alignment horizontal="center" shrinkToFit="0" vertical="center" wrapText="1"/>
    </xf>
    <xf borderId="1" fillId="6" fontId="1" numFmtId="164" xfId="0" applyAlignment="1" applyBorder="1" applyFont="1" applyNumberFormat="1">
      <alignment horizontal="center" readingOrder="0" shrinkToFit="0" vertical="center" wrapText="1"/>
    </xf>
    <xf borderId="1" fillId="6" fontId="1" numFmtId="0" xfId="0" applyAlignment="1" applyBorder="1" applyFont="1">
      <alignment horizontal="center" readingOrder="0" shrinkToFit="0" vertical="center" wrapText="1"/>
    </xf>
    <xf borderId="1" fillId="6" fontId="1" numFmtId="165" xfId="0" applyAlignment="1" applyBorder="1" applyFont="1" applyNumberFormat="1">
      <alignment horizontal="center" shrinkToFit="0" vertical="center" wrapText="1"/>
    </xf>
    <xf borderId="1" fillId="6" fontId="23" numFmtId="165" xfId="0" applyAlignment="1" applyBorder="1" applyFont="1" applyNumberFormat="1">
      <alignment horizontal="center" readingOrder="0" shrinkToFit="0" vertical="center" wrapText="1"/>
    </xf>
    <xf borderId="1" fillId="6" fontId="4" numFmtId="165" xfId="0" applyAlignment="1" applyBorder="1" applyFont="1" applyNumberFormat="1">
      <alignment horizontal="center" readingOrder="0" shrinkToFit="0" vertical="center" wrapText="1"/>
    </xf>
    <xf borderId="1" fillId="6" fontId="4" numFmtId="164" xfId="0" applyAlignment="1" applyBorder="1" applyFont="1" applyNumberFormat="1">
      <alignment horizontal="center" readingOrder="0"/>
    </xf>
    <xf borderId="1" fillId="6" fontId="4" numFmtId="165" xfId="0" applyAlignment="1" applyBorder="1" applyFont="1" applyNumberFormat="1">
      <alignment horizontal="center" readingOrder="0"/>
    </xf>
    <xf borderId="1" fillId="6" fontId="4" numFmtId="164" xfId="0" applyAlignment="1" applyBorder="1" applyFont="1" applyNumberFormat="1">
      <alignment horizontal="center" readingOrder="0" shrinkToFit="0" vertical="center" wrapText="1"/>
    </xf>
    <xf borderId="1" fillId="6" fontId="24" numFmtId="0" xfId="0" applyAlignment="1" applyBorder="1" applyFont="1">
      <alignment horizontal="center" readingOrder="0" shrinkToFit="0" vertical="center" wrapText="1"/>
    </xf>
    <xf borderId="1" fillId="6" fontId="25" numFmtId="164" xfId="0" applyAlignment="1" applyBorder="1" applyFont="1" applyNumberFormat="1">
      <alignment horizontal="center" readingOrder="0" shrinkToFit="0" vertical="center" wrapText="1"/>
    </xf>
    <xf borderId="2" fillId="6" fontId="2" numFmtId="165" xfId="0" applyAlignment="1" applyBorder="1" applyFont="1" applyNumberFormat="1">
      <alignment horizontal="center" readingOrder="0" shrinkToFit="0" vertical="center" wrapText="1"/>
    </xf>
    <xf borderId="1" fillId="6" fontId="3" numFmtId="165" xfId="0" applyAlignment="1" applyBorder="1" applyFont="1" applyNumberFormat="1">
      <alignment horizontal="center" shrinkToFit="0" vertical="center" wrapText="1"/>
    </xf>
    <xf borderId="1" fillId="6" fontId="1" numFmtId="165" xfId="0" applyAlignment="1" applyBorder="1" applyFont="1" applyNumberFormat="1">
      <alignment horizontal="center" readingOrder="0" shrinkToFit="0" vertical="center" wrapText="1"/>
    </xf>
    <xf borderId="1" fillId="6" fontId="1" numFmtId="164" xfId="0" applyAlignment="1" applyBorder="1" applyFont="1" applyNumberFormat="1">
      <alignment horizontal="center" shrinkToFit="0" vertical="center" wrapText="1"/>
    </xf>
    <xf borderId="1" fillId="6" fontId="2" numFmtId="164" xfId="0" applyAlignment="1" applyBorder="1" applyFont="1" applyNumberFormat="1">
      <alignment horizontal="center" shrinkToFit="0" vertical="center" wrapText="1"/>
    </xf>
    <xf borderId="1" fillId="6" fontId="1" numFmtId="4" xfId="0" applyAlignment="1" applyBorder="1" applyFont="1" applyNumberFormat="1">
      <alignment horizontal="center" readingOrder="0" shrinkToFit="0" vertical="center" wrapText="1"/>
    </xf>
    <xf borderId="1" fillId="6" fontId="4" numFmtId="4" xfId="0" applyAlignment="1" applyBorder="1" applyFont="1" applyNumberFormat="1">
      <alignment horizontal="center" readingOrder="0" shrinkToFit="0" vertical="center" wrapText="1"/>
    </xf>
    <xf borderId="0" fillId="0" fontId="12" numFmtId="0" xfId="0" applyAlignment="1" applyFont="1">
      <alignment horizontal="center" readingOrder="0" shrinkToFit="0" textRotation="90" vertical="center" wrapText="1"/>
    </xf>
    <xf borderId="1" fillId="6" fontId="9" numFmtId="165" xfId="0" applyAlignment="1" applyBorder="1" applyFont="1" applyNumberFormat="1">
      <alignment horizontal="center" shrinkToFit="0" vertical="center" wrapText="1"/>
    </xf>
    <xf borderId="2" fillId="4" fontId="9" numFmtId="0" xfId="0" applyAlignment="1" applyBorder="1" applyFont="1">
      <alignment horizontal="center" shrinkToFit="0" vertical="center" wrapText="1"/>
    </xf>
    <xf borderId="1" fillId="7" fontId="1" numFmtId="0" xfId="0" applyAlignment="1" applyBorder="1" applyFont="1">
      <alignment horizontal="center" readingOrder="0" shrinkToFit="0" vertical="center" wrapText="1"/>
    </xf>
    <xf borderId="1" fillId="7" fontId="1" numFmtId="164" xfId="0" applyAlignment="1" applyBorder="1" applyFont="1" applyNumberFormat="1">
      <alignment horizontal="center" readingOrder="0" shrinkToFit="0" vertical="center" wrapText="1"/>
    </xf>
    <xf borderId="1" fillId="7" fontId="1" numFmtId="164" xfId="0" applyAlignment="1" applyBorder="1" applyFont="1" applyNumberFormat="1">
      <alignment horizontal="center" readingOrder="0" shrinkToFit="0" vertical="center" wrapText="1"/>
    </xf>
    <xf borderId="1" fillId="7" fontId="26" numFmtId="0" xfId="0" applyAlignment="1" applyBorder="1" applyFont="1">
      <alignment horizontal="center" readingOrder="0" shrinkToFit="0" vertical="center" wrapText="1"/>
    </xf>
    <xf borderId="1" fillId="7" fontId="1" numFmtId="164" xfId="0" applyAlignment="1" applyBorder="1" applyFont="1" applyNumberFormat="1">
      <alignment horizontal="center" shrinkToFit="0" vertical="center" wrapText="1"/>
    </xf>
    <xf borderId="1" fillId="7" fontId="27" numFmtId="0" xfId="0" applyAlignment="1" applyBorder="1" applyFont="1">
      <alignment horizontal="center" readingOrder="0" shrinkToFit="0" vertical="center" wrapText="1"/>
    </xf>
    <xf borderId="0" fillId="0" fontId="1" numFmtId="4" xfId="0" applyAlignment="1" applyFont="1" applyNumberFormat="1">
      <alignment horizontal="center" readingOrder="0" shrinkToFit="0" vertical="center" wrapText="1"/>
    </xf>
    <xf borderId="1" fillId="7" fontId="1" numFmtId="164" xfId="0" applyAlignment="1" applyBorder="1" applyFont="1" applyNumberFormat="1">
      <alignment horizontal="center" shrinkToFit="0" vertical="center" wrapText="1"/>
    </xf>
    <xf borderId="1" fillId="7" fontId="1" numFmtId="0" xfId="0" applyAlignment="1" applyBorder="1" applyFont="1">
      <alignment horizontal="center" readingOrder="0" shrinkToFit="0" vertical="center" wrapText="1"/>
    </xf>
    <xf borderId="1" fillId="7" fontId="28" numFmtId="0" xfId="0" applyAlignment="1" applyBorder="1" applyFont="1">
      <alignment horizontal="center" readingOrder="0" shrinkToFit="0" vertical="center" wrapText="1"/>
    </xf>
    <xf borderId="2" fillId="7" fontId="9" numFmtId="0" xfId="0" applyAlignment="1" applyBorder="1" applyFont="1">
      <alignment horizontal="center" shrinkToFit="0" vertical="center" wrapText="1"/>
    </xf>
    <xf borderId="1" fillId="7" fontId="9" numFmtId="164" xfId="0" applyAlignment="1" applyBorder="1" applyFont="1" applyNumberFormat="1">
      <alignment horizontal="center" shrinkToFit="0" vertical="center" wrapText="1"/>
    </xf>
    <xf borderId="2" fillId="8" fontId="16" numFmtId="165" xfId="0" applyAlignment="1" applyBorder="1" applyFont="1" applyNumberFormat="1">
      <alignment horizontal="center" shrinkToFit="0" vertical="center" wrapText="1"/>
    </xf>
    <xf borderId="1" fillId="8" fontId="4" numFmtId="165" xfId="0" applyAlignment="1" applyBorder="1" applyFont="1" applyNumberFormat="1">
      <alignment horizontal="center" shrinkToFit="0" vertical="center" wrapText="1"/>
    </xf>
    <xf borderId="1" fillId="8" fontId="1" numFmtId="164" xfId="0" applyAlignment="1" applyBorder="1" applyFont="1" applyNumberFormat="1">
      <alignment horizontal="center" shrinkToFit="0" vertical="center" wrapText="1"/>
    </xf>
    <xf borderId="1" fillId="8" fontId="1" numFmtId="0" xfId="0" applyAlignment="1" applyBorder="1" applyFont="1">
      <alignment horizontal="center" readingOrder="0" shrinkToFit="0" vertical="center" wrapText="1"/>
    </xf>
    <xf borderId="1" fillId="8" fontId="1" numFmtId="165" xfId="0" applyAlignment="1" applyBorder="1" applyFont="1" applyNumberFormat="1">
      <alignment horizontal="center" shrinkToFit="0" vertical="center" wrapText="1"/>
    </xf>
    <xf borderId="1" fillId="8" fontId="4" numFmtId="165" xfId="0" applyAlignment="1" applyBorder="1" applyFont="1" applyNumberFormat="1">
      <alignment horizontal="center" readingOrder="0" shrinkToFit="0" vertical="center" wrapText="1"/>
    </xf>
    <xf borderId="1" fillId="8" fontId="29" numFmtId="165" xfId="0" applyAlignment="1" applyBorder="1" applyFont="1" applyNumberFormat="1">
      <alignment horizontal="center" readingOrder="0" shrinkToFit="0" vertical="center" wrapText="1"/>
    </xf>
    <xf borderId="1" fillId="8" fontId="9" numFmtId="165" xfId="0" applyAlignment="1" applyBorder="1" applyFont="1" applyNumberFormat="1">
      <alignment horizontal="center" shrinkToFit="0" vertical="center" wrapText="1"/>
    </xf>
    <xf borderId="2" fillId="4" fontId="16" numFmtId="165" xfId="0" applyAlignment="1" applyBorder="1" applyFont="1" applyNumberFormat="1">
      <alignment horizontal="center" shrinkToFit="0" vertical="center" wrapText="1"/>
    </xf>
    <xf borderId="1" fillId="4" fontId="4" numFmtId="165" xfId="0" applyAlignment="1" applyBorder="1" applyFont="1" applyNumberFormat="1">
      <alignment horizontal="center" readingOrder="0" shrinkToFit="0" vertical="center" wrapText="1"/>
    </xf>
    <xf borderId="1" fillId="4" fontId="1" numFmtId="164" xfId="0" applyAlignment="1" applyBorder="1" applyFont="1" applyNumberFormat="1">
      <alignment horizontal="center" readingOrder="0" shrinkToFit="0" vertical="center" wrapText="1"/>
    </xf>
    <xf borderId="1" fillId="4" fontId="1" numFmtId="165" xfId="0" applyAlignment="1" applyBorder="1" applyFont="1" applyNumberFormat="1">
      <alignment horizontal="center" readingOrder="0" shrinkToFit="0" vertical="center" wrapText="1"/>
    </xf>
    <xf borderId="1" fillId="4" fontId="1" numFmtId="165" xfId="0" applyAlignment="1" applyBorder="1" applyFont="1" applyNumberFormat="1">
      <alignment horizontal="center" shrinkToFit="0" vertical="center" wrapText="1"/>
    </xf>
    <xf borderId="1" fillId="4" fontId="30" numFmtId="165" xfId="0" applyAlignment="1" applyBorder="1" applyFont="1" applyNumberFormat="1">
      <alignment horizontal="center" readingOrder="0" shrinkToFit="0" vertical="center" wrapText="1"/>
    </xf>
    <xf borderId="1" fillId="4" fontId="1" numFmtId="0" xfId="0" applyAlignment="1" applyBorder="1" applyFont="1">
      <alignment horizontal="center" readingOrder="0" shrinkToFit="0" vertical="center" wrapText="1"/>
    </xf>
    <xf borderId="1" fillId="4" fontId="31" numFmtId="165" xfId="0" applyAlignment="1" applyBorder="1" applyFont="1" applyNumberFormat="1">
      <alignment horizontal="center" readingOrder="0" shrinkToFit="0" vertical="center" wrapText="1"/>
    </xf>
    <xf borderId="1" fillId="4" fontId="1" numFmtId="164" xfId="0" applyAlignment="1" applyBorder="1" applyFont="1" applyNumberFormat="1">
      <alignment horizontal="center" shrinkToFit="0" vertical="center" wrapText="1"/>
    </xf>
    <xf borderId="1" fillId="4" fontId="4" numFmtId="165" xfId="0" applyAlignment="1" applyBorder="1" applyFont="1" applyNumberFormat="1">
      <alignment horizontal="center" shrinkToFit="0" vertical="center" wrapText="1"/>
    </xf>
    <xf borderId="1" fillId="4" fontId="9" numFmtId="165" xfId="0" applyAlignment="1" applyBorder="1" applyFont="1" applyNumberFormat="1">
      <alignment horizontal="center" shrinkToFit="0" vertical="center" wrapText="1"/>
    </xf>
    <xf borderId="2" fillId="9" fontId="9" numFmtId="165" xfId="0" applyAlignment="1" applyBorder="1" applyFont="1" applyNumberFormat="1">
      <alignment horizontal="center" shrinkToFit="0" vertical="center" wrapText="1"/>
    </xf>
    <xf borderId="1" fillId="12" fontId="3" numFmtId="165" xfId="0" applyAlignment="1" applyBorder="1" applyFont="1" applyNumberFormat="1">
      <alignment horizontal="center" shrinkToFit="0" vertical="center" wrapText="1"/>
    </xf>
    <xf borderId="1" fillId="14" fontId="3" numFmtId="165" xfId="0" applyAlignment="1" applyBorder="1" applyFill="1" applyFont="1" applyNumberFormat="1">
      <alignment horizontal="center" shrinkToFit="0" wrapText="1"/>
    </xf>
    <xf borderId="1" fillId="14" fontId="3" numFmtId="164" xfId="0" applyAlignment="1" applyBorder="1" applyFont="1" applyNumberFormat="1">
      <alignment horizontal="center" readingOrder="0" shrinkToFit="0" wrapText="1"/>
    </xf>
    <xf borderId="1" fillId="14" fontId="32" numFmtId="165" xfId="0" applyAlignment="1" applyBorder="1" applyFont="1" applyNumberFormat="1">
      <alignment horizontal="center" shrinkToFit="0" wrapText="1"/>
    </xf>
    <xf borderId="1" fillId="9" fontId="2" numFmtId="165" xfId="0" applyAlignment="1" applyBorder="1" applyFont="1" applyNumberFormat="1">
      <alignment horizontal="center" readingOrder="0" shrinkToFit="0" vertical="center" wrapText="1"/>
    </xf>
    <xf borderId="1" fillId="9" fontId="2" numFmtId="164" xfId="0" applyAlignment="1" applyBorder="1" applyFont="1" applyNumberFormat="1">
      <alignment horizontal="center" readingOrder="0" shrinkToFit="0" vertical="center" wrapText="1"/>
    </xf>
    <xf borderId="1" fillId="9" fontId="33" numFmtId="165" xfId="0" applyAlignment="1" applyBorder="1" applyFont="1" applyNumberFormat="1">
      <alignment horizontal="center" readingOrder="0" shrinkToFit="0" vertical="center" wrapText="1"/>
    </xf>
    <xf borderId="1" fillId="9" fontId="3" numFmtId="165" xfId="0" applyAlignment="1" applyBorder="1" applyFont="1" applyNumberFormat="1">
      <alignment horizontal="center" shrinkToFit="0" vertical="center" wrapText="1"/>
    </xf>
    <xf borderId="2" fillId="9" fontId="16" numFmtId="165" xfId="0" applyAlignment="1" applyBorder="1" applyFont="1" applyNumberFormat="1">
      <alignment horizontal="center" shrinkToFit="0" vertical="center" wrapText="1"/>
    </xf>
    <xf borderId="1" fillId="9" fontId="9" numFmtId="165" xfId="0" applyAlignment="1" applyBorder="1" applyFont="1" applyNumberFormat="1">
      <alignment horizontal="center" shrinkToFit="0" vertical="center" wrapText="1"/>
    </xf>
    <xf borderId="2" fillId="10" fontId="16" numFmtId="165" xfId="0" applyAlignment="1" applyBorder="1" applyFont="1" applyNumberFormat="1">
      <alignment horizontal="center" shrinkToFit="0" vertical="center" wrapText="1"/>
    </xf>
    <xf borderId="2" fillId="10" fontId="2" numFmtId="165" xfId="0" applyAlignment="1" applyBorder="1" applyFont="1" applyNumberFormat="1">
      <alignment horizontal="center" shrinkToFit="0" vertical="center" wrapText="1"/>
    </xf>
    <xf borderId="1" fillId="10" fontId="2" numFmtId="164" xfId="0" applyAlignment="1" applyBorder="1" applyFont="1" applyNumberFormat="1">
      <alignment horizontal="center" shrinkToFit="0" vertical="center" wrapText="1"/>
    </xf>
    <xf borderId="1" fillId="10" fontId="9" numFmtId="165" xfId="0" applyAlignment="1" applyBorder="1" applyFont="1" applyNumberFormat="1">
      <alignment horizontal="center" shrinkToFit="0" vertical="center" wrapText="1"/>
    </xf>
    <xf borderId="0" fillId="0" fontId="4" numFmtId="164" xfId="0" applyAlignment="1" applyFont="1" applyNumberFormat="1">
      <alignment horizontal="center" shrinkToFit="0" vertical="center" wrapText="1"/>
    </xf>
    <xf borderId="0" fillId="0" fontId="12" numFmtId="0" xfId="0" applyAlignment="1" applyFont="1">
      <alignment horizontal="right" readingOrder="0"/>
    </xf>
    <xf borderId="0" fillId="0" fontId="12" numFmtId="0" xfId="0" applyAlignment="1" applyFont="1">
      <alignment horizontal="center"/>
    </xf>
    <xf borderId="2" fillId="15" fontId="9" numFmtId="0" xfId="0" applyAlignment="1" applyBorder="1" applyFill="1" applyFont="1">
      <alignment horizontal="center" shrinkToFit="0" vertical="center" wrapText="1"/>
    </xf>
    <xf borderId="1" fillId="16" fontId="4" numFmtId="0" xfId="0" applyAlignment="1" applyBorder="1" applyFill="1" applyFont="1">
      <alignment horizontal="center" shrinkToFit="0" vertical="center" wrapText="1"/>
    </xf>
    <xf borderId="1" fillId="16" fontId="1" numFmtId="165" xfId="0" applyAlignment="1" applyBorder="1" applyFont="1" applyNumberFormat="1">
      <alignment horizontal="center" shrinkToFit="0" wrapText="1"/>
    </xf>
    <xf borderId="1" fillId="16" fontId="1" numFmtId="0" xfId="0" applyAlignment="1" applyBorder="1" applyFont="1">
      <alignment horizontal="center" readingOrder="0" shrinkToFit="0" vertical="center" wrapText="1"/>
    </xf>
    <xf borderId="1" fillId="16" fontId="4" numFmtId="164" xfId="0" applyAlignment="1" applyBorder="1" applyFont="1" applyNumberFormat="1">
      <alignment horizontal="center" readingOrder="0" shrinkToFit="0" vertical="center" wrapText="1"/>
    </xf>
    <xf borderId="1" fillId="16" fontId="1" numFmtId="164" xfId="0" applyAlignment="1" applyBorder="1" applyFont="1" applyNumberFormat="1">
      <alignment horizontal="center" readingOrder="0" shrinkToFit="0" vertical="center" wrapText="1"/>
    </xf>
    <xf borderId="1" fillId="16" fontId="34" numFmtId="165" xfId="0" applyAlignment="1" applyBorder="1" applyFont="1" applyNumberFormat="1">
      <alignment horizontal="center" readingOrder="0" shrinkToFit="0" vertical="center" wrapText="1"/>
    </xf>
    <xf borderId="1" fillId="16" fontId="1" numFmtId="0" xfId="0" applyAlignment="1" applyBorder="1" applyFont="1">
      <alignment horizontal="center" shrinkToFit="0" vertical="center" wrapText="1"/>
    </xf>
    <xf borderId="0" fillId="0" fontId="35" numFmtId="0" xfId="0" applyAlignment="1" applyFont="1">
      <alignment readingOrder="0"/>
    </xf>
    <xf borderId="1" fillId="16" fontId="4" numFmtId="164" xfId="0" applyAlignment="1" applyBorder="1" applyFont="1" applyNumberFormat="1">
      <alignment horizontal="center" shrinkToFit="0" vertical="center" wrapText="1"/>
    </xf>
    <xf borderId="1" fillId="16" fontId="4" numFmtId="0" xfId="0" applyAlignment="1" applyBorder="1" applyFont="1">
      <alignment horizontal="center" readingOrder="0" shrinkToFit="0" vertical="center" wrapText="1"/>
    </xf>
    <xf borderId="1" fillId="16" fontId="4" numFmtId="165" xfId="0" applyAlignment="1" applyBorder="1" applyFont="1" applyNumberFormat="1">
      <alignment horizontal="center" readingOrder="0" shrinkToFit="0" vertical="center" wrapText="1"/>
    </xf>
    <xf borderId="15" fillId="4" fontId="36" numFmtId="0" xfId="0" applyAlignment="1" applyBorder="1" applyFont="1">
      <alignment horizontal="center" shrinkToFit="0" vertical="center" wrapText="1"/>
    </xf>
    <xf borderId="16" fillId="0" fontId="6" numFmtId="0" xfId="0" applyBorder="1" applyFont="1"/>
    <xf borderId="1" fillId="16" fontId="4" numFmtId="165" xfId="0" applyAlignment="1" applyBorder="1" applyFont="1" applyNumberFormat="1">
      <alignment horizontal="center" shrinkToFit="0" vertical="center" wrapText="1"/>
    </xf>
    <xf borderId="0" fillId="0" fontId="37" numFmtId="0" xfId="0" applyAlignment="1" applyFont="1">
      <alignment horizontal="center" readingOrder="0" shrinkToFit="0" vertical="center" wrapText="1"/>
    </xf>
    <xf borderId="1" fillId="16" fontId="38" numFmtId="0" xfId="0" applyAlignment="1" applyBorder="1" applyFont="1">
      <alignment horizontal="center" readingOrder="0" shrinkToFit="0" vertical="center" wrapText="1"/>
    </xf>
    <xf borderId="0" fillId="4" fontId="39" numFmtId="0" xfId="0" applyAlignment="1" applyFont="1">
      <alignment horizontal="center" readingOrder="0" shrinkToFit="0" vertical="center" wrapText="1"/>
    </xf>
    <xf borderId="0" fillId="4" fontId="40" numFmtId="0" xfId="0" applyAlignment="1" applyFont="1">
      <alignment horizontal="center" readingOrder="0" shrinkToFit="0" vertical="center" wrapText="1"/>
    </xf>
    <xf borderId="0" fillId="0" fontId="11" numFmtId="164" xfId="0" applyFont="1" applyNumberFormat="1"/>
    <xf borderId="0" fillId="0" fontId="12" numFmtId="164" xfId="0" applyAlignment="1" applyFont="1" applyNumberFormat="1">
      <alignment readingOrder="0"/>
    </xf>
    <xf borderId="1" fillId="0" fontId="36" numFmtId="0" xfId="0" applyAlignment="1" applyBorder="1" applyFont="1">
      <alignment horizontal="center" shrinkToFit="0" vertical="center" wrapText="1"/>
    </xf>
    <xf borderId="1" fillId="16" fontId="1" numFmtId="4" xfId="0" applyAlignment="1" applyBorder="1" applyFont="1" applyNumberFormat="1">
      <alignment horizontal="center" readingOrder="0" shrinkToFit="0" vertical="center" wrapText="1"/>
    </xf>
    <xf borderId="1" fillId="0" fontId="12" numFmtId="0" xfId="0" applyAlignment="1" applyBorder="1" applyFont="1">
      <alignment horizontal="center" vertical="center"/>
    </xf>
    <xf borderId="1" fillId="0" fontId="12" numFmtId="164" xfId="0" applyAlignment="1" applyBorder="1" applyFont="1" applyNumberFormat="1">
      <alignment horizontal="center" readingOrder="0" vertical="center"/>
    </xf>
    <xf borderId="1" fillId="0" fontId="12" numFmtId="164" xfId="0" applyAlignment="1" applyBorder="1" applyFont="1" applyNumberFormat="1">
      <alignment horizontal="center" vertical="center"/>
    </xf>
    <xf borderId="1" fillId="16" fontId="1" numFmtId="10" xfId="0" applyAlignment="1" applyBorder="1" applyFont="1" applyNumberFormat="1">
      <alignment horizontal="center" readingOrder="0" shrinkToFit="0" vertical="center" wrapText="1"/>
    </xf>
    <xf borderId="15" fillId="4" fontId="36" numFmtId="0" xfId="0" applyAlignment="1" applyBorder="1" applyFont="1">
      <alignment horizontal="center" vertical="center"/>
    </xf>
    <xf borderId="0" fillId="0" fontId="12" numFmtId="10" xfId="0" applyFont="1" applyNumberFormat="1"/>
    <xf borderId="0" fillId="0" fontId="12" numFmtId="164" xfId="0" applyFont="1" applyNumberFormat="1"/>
    <xf borderId="2" fillId="0" fontId="41" numFmtId="0" xfId="0" applyAlignment="1" applyBorder="1" applyFont="1">
      <alignment horizontal="center" readingOrder="0" shrinkToFit="0" vertical="center" wrapText="1"/>
    </xf>
    <xf borderId="1" fillId="0" fontId="12" numFmtId="0" xfId="0" applyAlignment="1" applyBorder="1" applyFont="1">
      <alignment horizontal="center"/>
    </xf>
    <xf borderId="1" fillId="0" fontId="36" numFmtId="0" xfId="0" applyAlignment="1" applyBorder="1" applyFont="1">
      <alignment horizontal="center"/>
    </xf>
    <xf borderId="1" fillId="0" fontId="36" numFmtId="0" xfId="0" applyAlignment="1" applyBorder="1" applyFont="1">
      <alignment horizontal="center" readingOrder="0"/>
    </xf>
    <xf borderId="1" fillId="0" fontId="12" numFmtId="0" xfId="0" applyAlignment="1" applyBorder="1" applyFont="1">
      <alignment horizontal="center" readingOrder="0"/>
    </xf>
    <xf borderId="2" fillId="0" fontId="3" numFmtId="0" xfId="0" applyAlignment="1" applyBorder="1" applyFont="1">
      <alignment horizontal="left" shrinkToFit="0" vertical="center" wrapText="1"/>
    </xf>
    <xf borderId="2" fillId="0" fontId="42" numFmtId="0" xfId="0" applyAlignment="1" applyBorder="1" applyFont="1">
      <alignment readingOrder="0"/>
    </xf>
    <xf borderId="2" fillId="0" fontId="43" numFmtId="0" xfId="0" applyAlignment="1" applyBorder="1" applyFont="1">
      <alignment readingOrder="0"/>
    </xf>
    <xf borderId="0" fillId="12" fontId="12" numFmtId="0" xfId="0" applyAlignment="1" applyFont="1">
      <alignment horizontal="right" readingOrder="0"/>
    </xf>
    <xf borderId="0" fillId="0" fontId="1" numFmtId="0" xfId="0" applyAlignment="1" applyFont="1">
      <alignment horizontal="center" vertical="center"/>
    </xf>
    <xf borderId="0" fillId="12" fontId="1" numFmtId="0" xfId="0" applyAlignment="1" applyFont="1">
      <alignment horizontal="center" vertical="center"/>
    </xf>
    <xf borderId="0" fillId="0" fontId="4" numFmtId="0" xfId="0" applyAlignment="1" applyFont="1">
      <alignment horizontal="center" vertical="center"/>
    </xf>
    <xf borderId="0" fillId="12" fontId="4" numFmtId="0" xfId="0" applyAlignment="1" applyFont="1">
      <alignment horizontal="center" shrinkToFit="0" vertical="center" wrapText="1"/>
    </xf>
    <xf borderId="2" fillId="17" fontId="4" numFmtId="0" xfId="0" applyAlignment="1" applyBorder="1" applyFill="1" applyFont="1">
      <alignment horizontal="center" shrinkToFit="0" vertical="center" wrapText="1"/>
    </xf>
    <xf borderId="0" fillId="12" fontId="16" numFmtId="0" xfId="0" applyAlignment="1" applyFont="1">
      <alignment horizontal="center" readingOrder="0" shrinkToFit="0" vertical="center" wrapText="1"/>
    </xf>
    <xf borderId="2" fillId="17" fontId="16" numFmtId="0" xfId="0" applyAlignment="1" applyBorder="1" applyFont="1">
      <alignment horizontal="center" readingOrder="0" shrinkToFit="0" vertical="center" wrapText="1"/>
    </xf>
    <xf borderId="0" fillId="12" fontId="12" numFmtId="0" xfId="0" applyFont="1"/>
    <xf borderId="0" fillId="12" fontId="2" numFmtId="0" xfId="0" applyAlignment="1" applyFont="1">
      <alignment horizontal="center" shrinkToFit="0" vertical="center" wrapText="1"/>
    </xf>
    <xf borderId="1" fillId="17" fontId="2" numFmtId="0" xfId="0" applyAlignment="1" applyBorder="1" applyFont="1">
      <alignment horizontal="center" shrinkToFit="0" vertical="center" wrapText="1"/>
    </xf>
    <xf borderId="1" fillId="18" fontId="2" numFmtId="0" xfId="0" applyAlignment="1" applyBorder="1" applyFill="1" applyFont="1">
      <alignment horizontal="center" shrinkToFit="0" vertical="center" wrapText="1"/>
    </xf>
    <xf borderId="0" fillId="12" fontId="1" numFmtId="0" xfId="0" applyAlignment="1" applyFont="1">
      <alignment horizontal="center" shrinkToFit="0" vertical="center" wrapText="1"/>
    </xf>
    <xf borderId="1" fillId="16" fontId="2" numFmtId="0" xfId="0" applyAlignment="1" applyBorder="1" applyFont="1">
      <alignment horizontal="center" shrinkToFit="0" vertical="center" wrapText="1"/>
    </xf>
    <xf borderId="1" fillId="16" fontId="4" numFmtId="164" xfId="0" applyAlignment="1" applyBorder="1" applyFont="1" applyNumberFormat="1">
      <alignment horizontal="center" readingOrder="0" shrinkToFit="0" vertical="center" wrapText="1"/>
    </xf>
    <xf borderId="1" fillId="0" fontId="1" numFmtId="164" xfId="0" applyAlignment="1" applyBorder="1" applyFont="1" applyNumberFormat="1">
      <alignment horizontal="center" vertical="center"/>
    </xf>
    <xf borderId="0" fillId="12" fontId="4" numFmtId="0" xfId="0" applyAlignment="1" applyFont="1">
      <alignment horizontal="center" readingOrder="0" shrinkToFit="0" vertical="center" wrapText="1"/>
    </xf>
    <xf borderId="0" fillId="12" fontId="1" numFmtId="164" xfId="0" applyAlignment="1" applyFont="1" applyNumberFormat="1">
      <alignment horizontal="center" vertical="center"/>
    </xf>
    <xf borderId="0" fillId="12" fontId="2" numFmtId="0" xfId="0" applyAlignment="1" applyFont="1">
      <alignment horizontal="center" readingOrder="0" shrinkToFit="0" vertical="center" wrapText="1"/>
    </xf>
    <xf borderId="1" fillId="16" fontId="2" numFmtId="0" xfId="0" applyAlignment="1" applyBorder="1" applyFont="1">
      <alignment horizontal="center" readingOrder="0" shrinkToFit="0" vertical="center" wrapText="1"/>
    </xf>
    <xf borderId="0" fillId="0" fontId="12" numFmtId="0" xfId="0" applyAlignment="1" applyFont="1">
      <alignment horizontal="center" vertical="center"/>
    </xf>
    <xf borderId="0" fillId="0" fontId="44" numFmtId="0" xfId="0" applyAlignment="1" applyFont="1">
      <alignment horizontal="center" shrinkToFit="0" vertical="center" wrapText="1"/>
    </xf>
    <xf borderId="0" fillId="12" fontId="44" numFmtId="0" xfId="0" applyAlignment="1" applyFont="1">
      <alignment horizontal="center" shrinkToFit="0" vertical="center" wrapText="1"/>
    </xf>
    <xf borderId="0" fillId="0" fontId="45" numFmtId="0" xfId="0" applyAlignment="1" applyFont="1">
      <alignment horizontal="center" vertical="center"/>
    </xf>
    <xf borderId="0" fillId="12" fontId="12" numFmtId="0" xfId="0" applyAlignment="1" applyFont="1">
      <alignment horizontal="center" vertical="center"/>
    </xf>
    <xf borderId="0" fillId="12" fontId="45" numFmtId="0" xfId="0" applyAlignment="1" applyFont="1">
      <alignment horizontal="center" vertical="center"/>
    </xf>
    <xf borderId="0" fillId="12" fontId="3" numFmtId="0" xfId="0" applyAlignment="1" applyFont="1">
      <alignment horizontal="center" vertical="center"/>
    </xf>
    <xf borderId="4" fillId="19" fontId="3" numFmtId="0" xfId="0" applyAlignment="1" applyBorder="1" applyFill="1" applyFont="1">
      <alignment horizontal="center" vertical="center"/>
    </xf>
    <xf borderId="2" fillId="19" fontId="3" numFmtId="0" xfId="0" applyAlignment="1" applyBorder="1" applyFont="1">
      <alignment horizontal="center" vertical="center"/>
    </xf>
    <xf borderId="1" fillId="19" fontId="3" numFmtId="0" xfId="0" applyAlignment="1" applyBorder="1" applyFont="1">
      <alignment horizontal="center" vertical="center"/>
    </xf>
    <xf borderId="1" fillId="19" fontId="2" numFmtId="0" xfId="0" applyAlignment="1" applyBorder="1" applyFont="1">
      <alignment horizontal="center" vertical="center"/>
    </xf>
    <xf borderId="0" fillId="12" fontId="4" numFmtId="165" xfId="0" applyAlignment="1" applyFont="1" applyNumberFormat="1">
      <alignment horizontal="center" vertical="center"/>
    </xf>
    <xf borderId="1" fillId="16" fontId="4" numFmtId="165" xfId="0" applyAlignment="1" applyBorder="1" applyFont="1" applyNumberFormat="1">
      <alignment horizontal="center" vertical="center"/>
    </xf>
    <xf borderId="0" fillId="0" fontId="3" numFmtId="0" xfId="0" applyAlignment="1" applyFont="1">
      <alignment horizontal="right" readingOrder="0" vertical="center"/>
    </xf>
    <xf borderId="0" fillId="0" fontId="3" numFmtId="0" xfId="0" applyAlignment="1" applyFont="1">
      <alignment horizontal="center" readingOrder="0" vertical="center"/>
    </xf>
    <xf borderId="14" fillId="4" fontId="1" numFmtId="0" xfId="0" applyAlignment="1" applyBorder="1" applyFont="1">
      <alignment horizontal="center" readingOrder="0" shrinkToFit="0" vertical="center" wrapText="1"/>
    </xf>
    <xf borderId="0" fillId="0" fontId="1" numFmtId="0" xfId="0" applyAlignment="1" applyFont="1">
      <alignment horizontal="center" readingOrder="0" vertical="center"/>
    </xf>
    <xf borderId="2" fillId="4" fontId="16" numFmtId="0" xfId="0" applyAlignment="1" applyBorder="1" applyFont="1">
      <alignment horizontal="center" readingOrder="0" shrinkToFit="0" vertical="center" wrapText="1"/>
    </xf>
    <xf borderId="0" fillId="12" fontId="46" numFmtId="0" xfId="0" applyAlignment="1" applyFont="1">
      <alignment horizontal="center" readingOrder="0" vertical="center"/>
    </xf>
    <xf borderId="0" fillId="0" fontId="47" numFmtId="0" xfId="0" applyAlignment="1" applyFont="1">
      <alignment horizontal="center" readingOrder="0" vertical="center"/>
    </xf>
    <xf borderId="2" fillId="20" fontId="16" numFmtId="0" xfId="0" applyAlignment="1" applyBorder="1" applyFill="1" applyFont="1">
      <alignment horizontal="center" readingOrder="0" shrinkToFit="0" vertical="center" wrapText="1"/>
    </xf>
    <xf borderId="1" fillId="20" fontId="2" numFmtId="0" xfId="0" applyAlignment="1" applyBorder="1" applyFont="1">
      <alignment horizontal="center" shrinkToFit="0" vertical="center" wrapText="1"/>
    </xf>
    <xf borderId="1" fillId="20" fontId="2" numFmtId="0" xfId="0" applyAlignment="1" applyBorder="1" applyFont="1">
      <alignment horizontal="center" readingOrder="0" shrinkToFit="0" vertical="center" wrapText="1"/>
    </xf>
    <xf borderId="2" fillId="19" fontId="3" numFmtId="0" xfId="0" applyAlignment="1" applyBorder="1" applyFont="1">
      <alignment horizontal="center" readingOrder="0" vertical="center"/>
    </xf>
    <xf borderId="0" fillId="12" fontId="4" numFmtId="165" xfId="0" applyAlignment="1" applyFont="1" applyNumberFormat="1">
      <alignment horizontal="center" readingOrder="0" vertical="center"/>
    </xf>
    <xf borderId="1" fillId="16" fontId="4" numFmtId="165" xfId="0" applyAlignment="1" applyBorder="1" applyFont="1" applyNumberFormat="1">
      <alignment horizontal="center" readingOrder="0" vertical="center"/>
    </xf>
    <xf borderId="2" fillId="21" fontId="4" numFmtId="0" xfId="0" applyAlignment="1" applyBorder="1" applyFill="1" applyFont="1">
      <alignment horizontal="center" shrinkToFit="0" vertical="center" wrapText="1"/>
    </xf>
    <xf borderId="2" fillId="21" fontId="16" numFmtId="0" xfId="0" applyAlignment="1" applyBorder="1" applyFont="1">
      <alignment horizontal="center" readingOrder="0" shrinkToFit="0" vertical="center" wrapText="1"/>
    </xf>
    <xf borderId="1" fillId="21" fontId="2" numFmtId="0" xfId="0" applyAlignment="1" applyBorder="1" applyFont="1">
      <alignment horizontal="center" shrinkToFit="0" vertical="center" wrapText="1"/>
    </xf>
    <xf borderId="1" fillId="21" fontId="2" numFmtId="0" xfId="0" applyAlignment="1" applyBorder="1" applyFont="1">
      <alignment horizontal="center" readingOrder="0" shrinkToFit="0" vertical="center" wrapText="1"/>
    </xf>
    <xf borderId="16" fillId="4" fontId="1" numFmtId="0" xfId="0" applyAlignment="1" applyBorder="1" applyFont="1">
      <alignment horizontal="center" shrinkToFit="0" vertical="center" wrapText="1"/>
    </xf>
    <xf borderId="2" fillId="6" fontId="16" numFmtId="0" xfId="0" applyAlignment="1" applyBorder="1" applyFont="1">
      <alignment horizontal="center" readingOrder="0" shrinkToFit="0" vertical="center" wrapText="1"/>
    </xf>
    <xf borderId="1" fillId="6" fontId="2" numFmtId="0" xfId="0" applyAlignment="1" applyBorder="1" applyFont="1">
      <alignment horizontal="center" shrinkToFit="0" vertical="center" wrapText="1"/>
    </xf>
    <xf borderId="1" fillId="6" fontId="2" numFmtId="0" xfId="0" applyAlignment="1" applyBorder="1" applyFont="1">
      <alignment horizontal="center" readingOrder="0" shrinkToFit="0" vertical="center" wrapText="1"/>
    </xf>
    <xf borderId="4" fillId="6" fontId="3" numFmtId="0" xfId="0" applyAlignment="1" applyBorder="1" applyFont="1">
      <alignment horizontal="center" vertical="center"/>
    </xf>
    <xf borderId="0" fillId="12" fontId="4" numFmtId="0" xfId="0" applyAlignment="1" applyFont="1">
      <alignment horizontal="center" vertical="center"/>
    </xf>
    <xf borderId="1" fillId="11" fontId="48" numFmtId="0" xfId="0" applyAlignment="1" applyBorder="1" applyFont="1">
      <alignment horizontal="center" readingOrder="0" shrinkToFit="0" vertical="bottom" wrapText="1"/>
    </xf>
    <xf borderId="1" fillId="0" fontId="49" numFmtId="0" xfId="0" applyAlignment="1" applyBorder="1" applyFont="1">
      <alignment vertical="bottom"/>
    </xf>
    <xf borderId="4" fillId="11" fontId="3" numFmtId="0" xfId="0" applyAlignment="1" applyBorder="1" applyFont="1">
      <alignment horizontal="center" vertical="center"/>
    </xf>
    <xf borderId="4" fillId="11" fontId="3" numFmtId="0" xfId="0" applyAlignment="1" applyBorder="1" applyFont="1">
      <alignment horizontal="center" readingOrder="0" vertical="center"/>
    </xf>
    <xf borderId="1" fillId="0" fontId="50" numFmtId="0" xfId="0" applyAlignment="1" applyBorder="1" applyFont="1">
      <alignment vertical="bottom"/>
    </xf>
    <xf borderId="1" fillId="0" fontId="51" numFmtId="2" xfId="0" applyAlignment="1" applyBorder="1" applyFont="1" applyNumberFormat="1">
      <alignment horizontal="right" readingOrder="0" vertical="bottom"/>
    </xf>
    <xf borderId="1" fillId="0" fontId="51" numFmtId="9" xfId="0" applyAlignment="1" applyBorder="1" applyFont="1" applyNumberFormat="1">
      <alignment horizontal="right" readingOrder="0" vertical="bottom"/>
    </xf>
    <xf borderId="1" fillId="0" fontId="51" numFmtId="9" xfId="0" applyAlignment="1" applyBorder="1" applyFont="1" applyNumberFormat="1">
      <alignment horizontal="right" vertical="bottom"/>
    </xf>
    <xf borderId="1" fillId="0" fontId="50" numFmtId="0" xfId="0" applyAlignment="1" applyBorder="1" applyFont="1">
      <alignment readingOrder="0" vertical="bottom"/>
    </xf>
    <xf borderId="1" fillId="0" fontId="51" numFmtId="3" xfId="0" applyAlignment="1" applyBorder="1" applyFont="1" applyNumberFormat="1">
      <alignment horizontal="right" readingOrder="0" vertical="bottom"/>
    </xf>
    <xf borderId="2" fillId="3" fontId="16" numFmtId="0" xfId="0" applyAlignment="1" applyBorder="1" applyFont="1">
      <alignment horizontal="center" readingOrder="0" shrinkToFit="0" vertical="center" wrapText="1"/>
    </xf>
    <xf borderId="1" fillId="3" fontId="2" numFmtId="0" xfId="0" applyAlignment="1" applyBorder="1" applyFont="1">
      <alignment horizontal="center" shrinkToFit="0" vertical="center" wrapText="1"/>
    </xf>
    <xf borderId="1" fillId="3" fontId="2" numFmtId="0" xfId="0" applyAlignment="1" applyBorder="1" applyFont="1">
      <alignment horizontal="center" readingOrder="0" shrinkToFit="0" vertical="center" wrapText="1"/>
    </xf>
    <xf borderId="1" fillId="16" fontId="4" numFmtId="4" xfId="0" applyAlignment="1" applyBorder="1" applyFont="1" applyNumberFormat="1">
      <alignment horizontal="center" readingOrder="0" shrinkToFit="0" vertical="center" wrapText="1"/>
    </xf>
    <xf borderId="1" fillId="16" fontId="1" numFmtId="4" xfId="0" applyAlignment="1" applyBorder="1" applyFont="1" applyNumberFormat="1">
      <alignment horizontal="center" vertical="center"/>
    </xf>
    <xf borderId="1" fillId="16" fontId="4" numFmtId="4" xfId="0" applyAlignment="1" applyBorder="1" applyFont="1" applyNumberFormat="1">
      <alignment horizontal="center" vertical="center"/>
    </xf>
    <xf borderId="1" fillId="16" fontId="4" numFmtId="164" xfId="0" applyAlignment="1" applyBorder="1" applyFont="1" applyNumberFormat="1">
      <alignment horizontal="center" vertical="center"/>
    </xf>
    <xf borderId="0" fillId="0" fontId="9" numFmtId="0" xfId="0" applyAlignment="1" applyFont="1">
      <alignment horizontal="center" readingOrder="0" shrinkToFit="0" wrapText="1"/>
    </xf>
    <xf borderId="0" fillId="0" fontId="3" numFmtId="0" xfId="0" applyAlignment="1" applyFont="1">
      <alignment horizontal="center" shrinkToFit="0" wrapText="1"/>
    </xf>
    <xf borderId="0" fillId="0" fontId="3" numFmtId="0" xfId="0" applyAlignment="1" applyFont="1">
      <alignment horizontal="center" readingOrder="0" shrinkToFit="0" wrapText="1"/>
    </xf>
    <xf borderId="0" fillId="0" fontId="1" numFmtId="0" xfId="0" applyAlignment="1" applyFont="1">
      <alignment horizontal="center" shrinkToFit="0" wrapText="1"/>
    </xf>
    <xf borderId="0" fillId="0" fontId="1" numFmtId="164" xfId="0" applyAlignment="1" applyFont="1" applyNumberFormat="1">
      <alignment horizontal="center" shrinkToFit="0" wrapText="1"/>
    </xf>
    <xf borderId="0" fillId="0" fontId="1" numFmtId="164" xfId="0" applyAlignment="1" applyFont="1" applyNumberFormat="1">
      <alignment horizontal="center"/>
    </xf>
    <xf borderId="2" fillId="0" fontId="1" numFmtId="0" xfId="0" applyAlignment="1" applyBorder="1" applyFont="1">
      <alignment horizontal="left" shrinkToFit="0" vertical="center" wrapText="1"/>
    </xf>
    <xf borderId="2" fillId="0" fontId="1" numFmtId="0" xfId="0" applyAlignment="1" applyBorder="1" applyFont="1">
      <alignment horizontal="center" readingOrder="0" shrinkToFit="0" vertical="center" wrapText="1"/>
    </xf>
    <xf borderId="2" fillId="0" fontId="52" numFmtId="0" xfId="0" applyAlignment="1" applyBorder="1" applyFont="1">
      <alignment horizontal="center" readingOrder="0" shrinkToFit="0" vertical="center" wrapText="1"/>
    </xf>
    <xf borderId="2" fillId="0" fontId="2" numFmtId="0" xfId="0" applyAlignment="1" applyBorder="1" applyFont="1">
      <alignment horizontal="center" shrinkToFit="0" vertical="center" wrapText="1"/>
    </xf>
    <xf borderId="1" fillId="4" fontId="3" numFmtId="0" xfId="0" applyAlignment="1" applyBorder="1" applyFont="1">
      <alignment horizontal="center" shrinkToFit="0" vertical="center" wrapText="1"/>
    </xf>
    <xf borderId="1" fillId="22" fontId="2" numFmtId="165" xfId="0" applyAlignment="1" applyBorder="1" applyFill="1" applyFont="1" applyNumberFormat="1">
      <alignment horizontal="center" shrinkToFit="0" vertical="center" wrapText="1"/>
    </xf>
    <xf borderId="1" fillId="22" fontId="4" numFmtId="165" xfId="0" applyAlignment="1" applyBorder="1" applyFont="1" applyNumberFormat="1">
      <alignment horizontal="center" readingOrder="0" shrinkToFit="0" vertical="center" wrapText="1"/>
    </xf>
    <xf borderId="4" fillId="4" fontId="3" numFmtId="0" xfId="0" applyAlignment="1" applyBorder="1" applyFont="1">
      <alignment horizontal="center" shrinkToFit="0" vertical="center" wrapText="1"/>
    </xf>
    <xf borderId="1" fillId="22" fontId="4" numFmtId="165" xfId="0" applyAlignment="1" applyBorder="1" applyFont="1" applyNumberFormat="1">
      <alignment horizontal="center" shrinkToFit="0" vertical="center" wrapText="1"/>
    </xf>
    <xf borderId="1" fillId="18" fontId="1" numFmtId="165" xfId="0" applyAlignment="1" applyBorder="1" applyFont="1" applyNumberFormat="1">
      <alignment horizontal="center" shrinkToFit="0" vertical="center" wrapText="1"/>
    </xf>
    <xf borderId="4" fillId="4" fontId="53" numFmtId="0" xfId="0" applyAlignment="1" applyBorder="1" applyFont="1">
      <alignment horizontal="center" shrinkToFit="0" vertical="center" wrapText="1"/>
    </xf>
    <xf borderId="1" fillId="7" fontId="4" numFmtId="165" xfId="0" applyAlignment="1" applyBorder="1" applyFont="1" applyNumberFormat="1">
      <alignment horizontal="center" shrinkToFit="0" vertical="center" wrapText="1"/>
    </xf>
    <xf borderId="17" fillId="0" fontId="6" numFmtId="0" xfId="0" applyBorder="1" applyFont="1"/>
    <xf borderId="4" fillId="21" fontId="2" numFmtId="0" xfId="0" applyAlignment="1" applyBorder="1" applyFont="1">
      <alignment horizontal="center" shrinkToFit="0" vertical="center" wrapText="1"/>
    </xf>
    <xf borderId="4" fillId="22" fontId="2" numFmtId="165" xfId="0" applyAlignment="1" applyBorder="1" applyFont="1" applyNumberFormat="1">
      <alignment horizontal="center" shrinkToFit="0" vertical="center" wrapText="1"/>
    </xf>
    <xf borderId="1" fillId="18" fontId="4" numFmtId="165" xfId="0" applyAlignment="1" applyBorder="1" applyFont="1" applyNumberFormat="1">
      <alignment horizontal="center" shrinkToFit="0" vertical="center" wrapText="1"/>
    </xf>
    <xf borderId="0" fillId="0" fontId="54" numFmtId="0" xfId="0" applyAlignment="1" applyFont="1">
      <alignment horizontal="center" shrinkToFit="0" vertical="center" wrapText="1"/>
    </xf>
    <xf borderId="14" fillId="4" fontId="3" numFmtId="0" xfId="0" applyAlignment="1" applyBorder="1" applyFont="1">
      <alignment horizontal="center" vertical="center"/>
    </xf>
    <xf borderId="14" fillId="23" fontId="3" numFmtId="9" xfId="0" applyAlignment="1" applyBorder="1" applyFill="1" applyFont="1" applyNumberFormat="1">
      <alignment horizontal="center" vertical="center"/>
    </xf>
    <xf borderId="2" fillId="5" fontId="1" numFmtId="0" xfId="0" applyAlignment="1" applyBorder="1" applyFont="1">
      <alignment horizontal="center" vertical="center"/>
    </xf>
    <xf borderId="2" fillId="24" fontId="1" numFmtId="0" xfId="0" applyAlignment="1" applyBorder="1" applyFill="1" applyFont="1">
      <alignment horizontal="center" vertical="center"/>
    </xf>
    <xf borderId="2" fillId="13" fontId="1" numFmtId="0" xfId="0" applyAlignment="1" applyBorder="1" applyFont="1">
      <alignment horizontal="center" vertical="center"/>
    </xf>
    <xf borderId="1" fillId="5" fontId="4" numFmtId="0" xfId="0" applyAlignment="1" applyBorder="1" applyFont="1">
      <alignment horizontal="center" vertical="center"/>
    </xf>
    <xf borderId="1" fillId="5" fontId="1" numFmtId="0" xfId="0" applyAlignment="1" applyBorder="1" applyFont="1">
      <alignment horizontal="center" vertical="center"/>
    </xf>
    <xf borderId="1" fillId="24" fontId="1" numFmtId="0" xfId="0" applyAlignment="1" applyBorder="1" applyFont="1">
      <alignment horizontal="center" vertical="center"/>
    </xf>
    <xf borderId="1" fillId="13"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4" fontId="1" numFmtId="165" xfId="0" applyAlignment="1" applyBorder="1" applyFont="1" applyNumberFormat="1">
      <alignment horizontal="center" vertical="center"/>
    </xf>
    <xf borderId="1" fillId="25" fontId="1" numFmtId="165" xfId="0" applyAlignment="1" applyBorder="1" applyFill="1" applyFont="1" applyNumberFormat="1">
      <alignment horizontal="center" readingOrder="0" vertical="center"/>
    </xf>
    <xf borderId="1" fillId="26" fontId="1" numFmtId="165" xfId="0" applyAlignment="1" applyBorder="1" applyFill="1" applyFont="1" applyNumberFormat="1">
      <alignment horizontal="center" vertical="center"/>
    </xf>
    <xf borderId="1" fillId="0" fontId="1" numFmtId="165" xfId="0" applyAlignment="1" applyBorder="1" applyFont="1" applyNumberFormat="1">
      <alignment horizontal="center" vertical="center"/>
    </xf>
    <xf borderId="1" fillId="27" fontId="7" numFmtId="0" xfId="0" applyAlignment="1" applyBorder="1" applyFill="1" applyFont="1">
      <alignment horizontal="center" shrinkToFit="0" vertical="center" wrapText="1"/>
    </xf>
    <xf borderId="2" fillId="27" fontId="8" numFmtId="0" xfId="0" applyAlignment="1" applyBorder="1" applyFont="1">
      <alignment horizontal="center" vertical="center"/>
    </xf>
    <xf borderId="1" fillId="18" fontId="8" numFmtId="0" xfId="0" applyAlignment="1" applyBorder="1" applyFont="1">
      <alignment horizontal="center" readingOrder="0" shrinkToFit="0" vertical="center" wrapText="1"/>
    </xf>
    <xf borderId="1" fillId="18" fontId="8" numFmtId="164" xfId="0" applyAlignment="1" applyBorder="1" applyFont="1" applyNumberFormat="1">
      <alignment horizontal="center" vertical="center"/>
    </xf>
    <xf borderId="1" fillId="26" fontId="8" numFmtId="164" xfId="0" applyAlignment="1" applyBorder="1" applyFont="1" applyNumberFormat="1">
      <alignment horizontal="center" vertical="center"/>
    </xf>
    <xf borderId="1" fillId="18" fontId="8" numFmtId="164" xfId="0" applyAlignment="1" applyBorder="1" applyFont="1" applyNumberFormat="1">
      <alignment horizontal="center" readingOrder="0" vertical="center"/>
    </xf>
    <xf borderId="1" fillId="2" fontId="8" numFmtId="0" xfId="0" applyAlignment="1" applyBorder="1" applyFont="1">
      <alignment horizontal="center" shrinkToFit="0" vertical="center" wrapText="1"/>
    </xf>
    <xf borderId="1" fillId="2" fontId="8" numFmtId="165" xfId="0" applyAlignment="1" applyBorder="1" applyFont="1" applyNumberFormat="1">
      <alignment horizontal="center" vertical="center"/>
    </xf>
    <xf borderId="1" fillId="26" fontId="8" numFmtId="165" xfId="0" applyAlignment="1" applyBorder="1" applyFont="1" applyNumberFormat="1">
      <alignment horizontal="center" vertical="center"/>
    </xf>
    <xf borderId="1" fillId="28" fontId="1" numFmtId="0" xfId="0" applyAlignment="1" applyBorder="1" applyFill="1" applyFont="1">
      <alignment horizontal="center" shrinkToFit="0" vertical="center" wrapText="1"/>
    </xf>
    <xf borderId="1" fillId="28" fontId="1" numFmtId="165" xfId="0" applyAlignment="1" applyBorder="1" applyFont="1" applyNumberFormat="1">
      <alignment horizontal="center" shrinkToFit="0" vertical="center" wrapText="1"/>
    </xf>
    <xf borderId="1" fillId="0" fontId="1" numFmtId="0" xfId="0" applyAlignment="1" applyBorder="1" applyFont="1">
      <alignment horizontal="center" readingOrder="0" shrinkToFit="0" vertical="center" wrapText="1"/>
    </xf>
    <xf borderId="1" fillId="0" fontId="1" numFmtId="165" xfId="0" applyAlignment="1" applyBorder="1" applyFont="1" applyNumberFormat="1">
      <alignment horizontal="center" readingOrder="0" vertical="center"/>
    </xf>
    <xf borderId="1" fillId="25" fontId="1" numFmtId="165" xfId="0" applyAlignment="1" applyBorder="1" applyFont="1" applyNumberFormat="1">
      <alignment horizontal="center" vertical="center"/>
    </xf>
    <xf borderId="1" fillId="0" fontId="1" numFmtId="165" xfId="0" applyAlignment="1" applyBorder="1" applyFont="1" applyNumberFormat="1">
      <alignment horizontal="center"/>
    </xf>
    <xf borderId="1" fillId="4" fontId="1" numFmtId="0" xfId="0" applyAlignment="1" applyBorder="1" applyFont="1">
      <alignment horizontal="center" shrinkToFit="0" wrapText="1"/>
    </xf>
    <xf borderId="1" fillId="4" fontId="1" numFmtId="165" xfId="0" applyAlignment="1" applyBorder="1" applyFont="1" applyNumberFormat="1">
      <alignment horizontal="center"/>
    </xf>
    <xf borderId="1" fillId="4" fontId="1" numFmtId="165" xfId="0" applyAlignment="1" applyBorder="1" applyFont="1" applyNumberFormat="1">
      <alignment horizontal="center" readingOrder="0"/>
    </xf>
    <xf borderId="0" fillId="0" fontId="1" numFmtId="165" xfId="0" applyAlignment="1" applyFont="1" applyNumberFormat="1">
      <alignment horizontal="center" vertical="center"/>
    </xf>
    <xf borderId="1" fillId="29" fontId="3" numFmtId="0" xfId="0" applyAlignment="1" applyBorder="1" applyFill="1" applyFont="1">
      <alignment horizontal="center" shrinkToFit="0" vertical="center" wrapText="1"/>
    </xf>
    <xf borderId="1" fillId="29" fontId="3" numFmtId="164" xfId="0" applyAlignment="1" applyBorder="1" applyFont="1" applyNumberFormat="1">
      <alignment horizontal="center" shrinkToFit="0" vertical="center" wrapText="1"/>
    </xf>
    <xf borderId="0" fillId="30" fontId="3" numFmtId="0" xfId="0" applyAlignment="1" applyFill="1" applyFont="1">
      <alignment horizontal="center"/>
    </xf>
    <xf borderId="18" fillId="30" fontId="3" numFmtId="0" xfId="0" applyAlignment="1" applyBorder="1" applyFont="1">
      <alignment horizontal="center"/>
    </xf>
    <xf borderId="19" fillId="0" fontId="6" numFmtId="0" xfId="0" applyBorder="1" applyFont="1"/>
    <xf borderId="20" fillId="0" fontId="6" numFmtId="0" xfId="0" applyBorder="1" applyFont="1"/>
    <xf borderId="21" fillId="12" fontId="3" numFmtId="0" xfId="0" applyAlignment="1" applyBorder="1" applyFont="1">
      <alignment horizontal="center"/>
    </xf>
    <xf borderId="22" fillId="12" fontId="3" numFmtId="0" xfId="0" applyAlignment="1" applyBorder="1" applyFont="1">
      <alignment horizontal="center"/>
    </xf>
    <xf borderId="0" fillId="0" fontId="55" numFmtId="0" xfId="0" applyAlignment="1" applyFont="1">
      <alignment readingOrder="0"/>
    </xf>
    <xf borderId="0" fillId="0" fontId="56" numFmtId="0" xfId="0" applyFont="1"/>
    <xf borderId="23" fillId="31" fontId="1" numFmtId="164" xfId="0" applyAlignment="1" applyBorder="1" applyFill="1" applyFont="1" applyNumberFormat="1">
      <alignment horizontal="center"/>
    </xf>
    <xf borderId="23" fillId="31" fontId="1" numFmtId="164" xfId="0" applyAlignment="1" applyBorder="1" applyFont="1" applyNumberFormat="1">
      <alignment horizontal="center" readingOrder="0"/>
    </xf>
    <xf borderId="23" fillId="31" fontId="1" numFmtId="0" xfId="0" applyAlignment="1" applyBorder="1" applyFont="1">
      <alignment horizontal="center" readingOrder="0"/>
    </xf>
    <xf borderId="23" fillId="31" fontId="57" numFmtId="0" xfId="0" applyAlignment="1" applyBorder="1" applyFont="1">
      <alignment horizontal="center" readingOrder="0" shrinkToFit="0" wrapText="1"/>
    </xf>
    <xf borderId="0" fillId="0" fontId="11" numFmtId="4" xfId="0" applyAlignment="1" applyFont="1" applyNumberFormat="1">
      <alignment readingOrder="0"/>
    </xf>
    <xf borderId="0" fillId="0" fontId="11" numFmtId="4" xfId="0" applyFont="1" applyNumberFormat="1"/>
    <xf borderId="23" fillId="31" fontId="25" numFmtId="164" xfId="0" applyAlignment="1" applyBorder="1" applyFont="1" applyNumberFormat="1">
      <alignment horizontal="center" readingOrder="0"/>
    </xf>
    <xf borderId="1" fillId="31" fontId="4" numFmtId="164" xfId="0" applyAlignment="1" applyBorder="1" applyFont="1" applyNumberFormat="1">
      <alignment horizontal="center" readingOrder="0"/>
    </xf>
    <xf borderId="20" fillId="31" fontId="1" numFmtId="164" xfId="0" applyAlignment="1" applyBorder="1" applyFont="1" applyNumberFormat="1">
      <alignment horizontal="center" readingOrder="0"/>
    </xf>
    <xf borderId="23" fillId="31" fontId="58" numFmtId="0" xfId="0" applyAlignment="1" applyBorder="1" applyFont="1">
      <alignment horizontal="center" readingOrder="0" shrinkToFit="0" wrapText="1"/>
    </xf>
    <xf borderId="23" fillId="31" fontId="59" numFmtId="0" xfId="0" applyAlignment="1" applyBorder="1" applyFont="1">
      <alignment horizontal="center" readingOrder="0" shrinkToFit="0" wrapText="1"/>
    </xf>
    <xf borderId="23" fillId="31" fontId="60" numFmtId="0" xfId="0" applyAlignment="1" applyBorder="1" applyFont="1">
      <alignment horizontal="center" readingOrder="0" shrinkToFit="0" wrapText="1"/>
    </xf>
    <xf borderId="23" fillId="30" fontId="3" numFmtId="164" xfId="0" applyAlignment="1" applyBorder="1" applyFont="1" applyNumberFormat="1">
      <alignment horizontal="center"/>
    </xf>
    <xf borderId="23" fillId="4" fontId="1" numFmtId="0" xfId="0" applyAlignment="1" applyBorder="1" applyFont="1">
      <alignment horizontal="center"/>
    </xf>
    <xf borderId="2" fillId="32" fontId="3" numFmtId="0" xfId="0" applyAlignment="1" applyBorder="1" applyFill="1" applyFont="1">
      <alignment horizontal="center"/>
    </xf>
    <xf borderId="24" fillId="27" fontId="1" numFmtId="0" xfId="0" applyAlignment="1" applyBorder="1" applyFont="1">
      <alignment horizontal="center"/>
    </xf>
    <xf borderId="23" fillId="27" fontId="1" numFmtId="164" xfId="0" applyAlignment="1" applyBorder="1" applyFont="1" applyNumberFormat="1">
      <alignment horizontal="center" readingOrder="0"/>
    </xf>
    <xf borderId="23" fillId="27" fontId="1" numFmtId="0" xfId="0" applyAlignment="1" applyBorder="1" applyFont="1">
      <alignment horizontal="center" readingOrder="0"/>
    </xf>
    <xf borderId="23" fillId="27" fontId="1" numFmtId="164" xfId="0" applyAlignment="1" applyBorder="1" applyFont="1" applyNumberFormat="1">
      <alignment horizontal="center"/>
    </xf>
    <xf borderId="23" fillId="27" fontId="61" numFmtId="0" xfId="0" applyAlignment="1" applyBorder="1" applyFont="1">
      <alignment horizontal="center" readingOrder="0" shrinkToFit="0" wrapText="1"/>
    </xf>
    <xf borderId="23" fillId="32" fontId="3" numFmtId="164" xfId="0" applyAlignment="1" applyBorder="1" applyFont="1" applyNumberFormat="1">
      <alignment horizontal="center"/>
    </xf>
    <xf borderId="11" fillId="0" fontId="56" numFmtId="0" xfId="0" applyBorder="1" applyFont="1"/>
    <xf borderId="18" fillId="33" fontId="3" numFmtId="0" xfId="0" applyAlignment="1" applyBorder="1" applyFill="1" applyFont="1">
      <alignment horizontal="center"/>
    </xf>
    <xf borderId="24" fillId="12" fontId="3" numFmtId="0" xfId="0" applyAlignment="1" applyBorder="1" applyFont="1">
      <alignment horizontal="center"/>
    </xf>
    <xf borderId="23" fillId="12" fontId="3" numFmtId="0" xfId="0" applyAlignment="1" applyBorder="1" applyFont="1">
      <alignment horizontal="center"/>
    </xf>
    <xf borderId="24" fillId="22" fontId="1" numFmtId="0" xfId="0" applyAlignment="1" applyBorder="1" applyFont="1">
      <alignment horizontal="center"/>
    </xf>
    <xf borderId="23" fillId="22" fontId="1" numFmtId="164" xfId="0" applyAlignment="1" applyBorder="1" applyFont="1" applyNumberFormat="1">
      <alignment horizontal="center" readingOrder="0"/>
    </xf>
    <xf borderId="23" fillId="22" fontId="1" numFmtId="0" xfId="0" applyAlignment="1" applyBorder="1" applyFont="1">
      <alignment horizontal="center" readingOrder="0"/>
    </xf>
    <xf borderId="23" fillId="22" fontId="1" numFmtId="164" xfId="0" applyAlignment="1" applyBorder="1" applyFont="1" applyNumberFormat="1">
      <alignment horizontal="center"/>
    </xf>
    <xf borderId="23" fillId="22" fontId="62" numFmtId="0" xfId="0" applyAlignment="1" applyBorder="1" applyFont="1">
      <alignment horizontal="center" readingOrder="0" shrinkToFit="0" wrapText="1"/>
    </xf>
    <xf borderId="23" fillId="33" fontId="3" numFmtId="164" xfId="0" applyAlignment="1" applyBorder="1" applyFont="1" applyNumberFormat="1">
      <alignment horizontal="center"/>
    </xf>
    <xf borderId="18" fillId="34" fontId="3" numFmtId="0" xfId="0" applyAlignment="1" applyBorder="1" applyFill="1" applyFont="1">
      <alignment horizontal="center"/>
    </xf>
    <xf borderId="18" fillId="17" fontId="3" numFmtId="0" xfId="0" applyAlignment="1" applyBorder="1" applyFont="1">
      <alignment horizontal="center"/>
    </xf>
    <xf borderId="1" fillId="24" fontId="11" numFmtId="0" xfId="0" applyAlignment="1" applyBorder="1" applyFont="1">
      <alignment readingOrder="0"/>
    </xf>
    <xf borderId="20" fillId="24" fontId="1" numFmtId="164" xfId="0" applyAlignment="1" applyBorder="1" applyFont="1" applyNumberFormat="1">
      <alignment horizontal="center" readingOrder="0"/>
    </xf>
    <xf borderId="23" fillId="24" fontId="1" numFmtId="0" xfId="0" applyAlignment="1" applyBorder="1" applyFont="1">
      <alignment horizontal="center" readingOrder="0"/>
    </xf>
    <xf borderId="23" fillId="24" fontId="1" numFmtId="164" xfId="0" applyAlignment="1" applyBorder="1" applyFont="1" applyNumberFormat="1">
      <alignment horizontal="center"/>
    </xf>
    <xf borderId="23" fillId="24" fontId="63" numFmtId="0" xfId="0" applyAlignment="1" applyBorder="1" applyFont="1">
      <alignment horizontal="center" readingOrder="0" shrinkToFit="0" wrapText="1"/>
    </xf>
    <xf borderId="20" fillId="24" fontId="1" numFmtId="165" xfId="0" applyAlignment="1" applyBorder="1" applyFont="1" applyNumberFormat="1">
      <alignment horizontal="center" readingOrder="0" shrinkToFit="0" wrapText="1"/>
    </xf>
    <xf borderId="23" fillId="24" fontId="64" numFmtId="0" xfId="0" applyAlignment="1" applyBorder="1" applyFont="1">
      <alignment horizontal="center" readingOrder="0" shrinkToFit="0" wrapText="1"/>
    </xf>
    <xf borderId="1" fillId="24" fontId="11" numFmtId="165" xfId="0" applyAlignment="1" applyBorder="1" applyFont="1" applyNumberFormat="1">
      <alignment readingOrder="0"/>
    </xf>
    <xf borderId="25" fillId="17" fontId="3" numFmtId="164" xfId="0" applyAlignment="1" applyBorder="1" applyFont="1" applyNumberFormat="1">
      <alignment horizontal="center"/>
    </xf>
    <xf borderId="18" fillId="17" fontId="3" numFmtId="0" xfId="0" applyAlignment="1" applyBorder="1" applyFont="1">
      <alignment horizontal="center" readingOrder="0"/>
    </xf>
    <xf borderId="24" fillId="24" fontId="1" numFmtId="165" xfId="0" applyAlignment="1" applyBorder="1" applyFont="1" applyNumberFormat="1">
      <alignment horizontal="center" readingOrder="0" shrinkToFit="0" wrapText="1"/>
    </xf>
    <xf borderId="20" fillId="24" fontId="1" numFmtId="0" xfId="0" applyAlignment="1" applyBorder="1" applyFont="1">
      <alignment horizontal="center" readingOrder="0"/>
    </xf>
    <xf borderId="20" fillId="24" fontId="12" numFmtId="0" xfId="0" applyAlignment="1" applyBorder="1" applyFont="1">
      <alignment horizontal="center" readingOrder="0" shrinkToFit="0" wrapText="1"/>
    </xf>
    <xf borderId="23" fillId="24" fontId="1" numFmtId="164" xfId="0" applyAlignment="1" applyBorder="1" applyFont="1" applyNumberFormat="1">
      <alignment horizontal="center" readingOrder="0"/>
    </xf>
    <xf borderId="23" fillId="24" fontId="65" numFmtId="0" xfId="0" applyAlignment="1" applyBorder="1" applyFont="1">
      <alignment horizontal="center" readingOrder="0" shrinkToFit="0" wrapText="1"/>
    </xf>
    <xf borderId="24" fillId="24" fontId="1" numFmtId="0" xfId="0" applyAlignment="1" applyBorder="1" applyFont="1">
      <alignment horizontal="center" readingOrder="0"/>
    </xf>
    <xf borderId="23" fillId="24" fontId="66" numFmtId="0" xfId="0" applyAlignment="1" applyBorder="1" applyFont="1">
      <alignment horizontal="center" shrinkToFit="0" wrapText="1"/>
    </xf>
    <xf borderId="24" fillId="24" fontId="1" numFmtId="0" xfId="0" applyAlignment="1" applyBorder="1" applyFont="1">
      <alignment horizontal="center"/>
    </xf>
    <xf borderId="23" fillId="24" fontId="1" numFmtId="0" xfId="0" applyAlignment="1" applyBorder="1" applyFont="1">
      <alignment horizontal="center"/>
    </xf>
    <xf borderId="23" fillId="34" fontId="3" numFmtId="164" xfId="0" applyAlignment="1" applyBorder="1" applyFont="1" applyNumberFormat="1">
      <alignment horizontal="center"/>
    </xf>
    <xf borderId="0" fillId="0" fontId="67" numFmtId="0" xfId="0" applyAlignment="1" applyFont="1">
      <alignment readingOrder="0"/>
    </xf>
    <xf borderId="2" fillId="32" fontId="3" numFmtId="0" xfId="0" applyAlignment="1" applyBorder="1" applyFont="1">
      <alignment horizontal="center" readingOrder="0"/>
    </xf>
    <xf borderId="24" fillId="27" fontId="1" numFmtId="0" xfId="0" applyAlignment="1" applyBorder="1" applyFont="1">
      <alignment horizontal="center" readingOrder="0"/>
    </xf>
    <xf borderId="23" fillId="27" fontId="68" numFmtId="0" xfId="0" applyAlignment="1" applyBorder="1" applyFont="1">
      <alignment horizontal="center" readingOrder="0" shrinkToFit="0" wrapText="1"/>
    </xf>
    <xf borderId="2" fillId="35" fontId="3" numFmtId="0" xfId="0" applyAlignment="1" applyBorder="1" applyFill="1" applyFont="1">
      <alignment horizontal="center" readingOrder="0"/>
    </xf>
    <xf borderId="24" fillId="36" fontId="1" numFmtId="0" xfId="0" applyAlignment="1" applyBorder="1" applyFill="1" applyFont="1">
      <alignment horizontal="center" readingOrder="0"/>
    </xf>
    <xf borderId="23" fillId="36" fontId="1" numFmtId="164" xfId="0" applyAlignment="1" applyBorder="1" applyFont="1" applyNumberFormat="1">
      <alignment horizontal="center" readingOrder="0"/>
    </xf>
    <xf borderId="23" fillId="36" fontId="1" numFmtId="0" xfId="0" applyAlignment="1" applyBorder="1" applyFont="1">
      <alignment horizontal="center" readingOrder="0"/>
    </xf>
    <xf borderId="23" fillId="36" fontId="1" numFmtId="164" xfId="0" applyAlignment="1" applyBorder="1" applyFont="1" applyNumberFormat="1">
      <alignment horizontal="center"/>
    </xf>
    <xf borderId="23" fillId="36" fontId="69" numFmtId="0" xfId="0" applyAlignment="1" applyBorder="1" applyFont="1">
      <alignment horizontal="center" readingOrder="0" shrinkToFit="0" wrapText="1"/>
    </xf>
    <xf borderId="23" fillId="36" fontId="70" numFmtId="0" xfId="0" applyAlignment="1" applyBorder="1" applyFont="1">
      <alignment horizontal="center" readingOrder="0" shrinkToFit="0" wrapText="1"/>
    </xf>
    <xf borderId="23" fillId="35" fontId="3" numFmtId="164" xfId="0" applyAlignment="1" applyBorder="1" applyFont="1" applyNumberFormat="1">
      <alignment horizontal="center"/>
    </xf>
    <xf borderId="2" fillId="22" fontId="3" numFmtId="0" xfId="0" applyAlignment="1" applyBorder="1" applyFont="1">
      <alignment horizontal="center" readingOrder="0"/>
    </xf>
    <xf borderId="24" fillId="37" fontId="1" numFmtId="0" xfId="0" applyAlignment="1" applyBorder="1" applyFill="1" applyFont="1">
      <alignment horizontal="center" readingOrder="0"/>
    </xf>
    <xf borderId="23" fillId="37" fontId="1" numFmtId="164" xfId="0" applyAlignment="1" applyBorder="1" applyFont="1" applyNumberFormat="1">
      <alignment horizontal="center" readingOrder="0"/>
    </xf>
    <xf borderId="23" fillId="37" fontId="1" numFmtId="0" xfId="0" applyAlignment="1" applyBorder="1" applyFont="1">
      <alignment horizontal="center" readingOrder="0"/>
    </xf>
    <xf borderId="23" fillId="37" fontId="1" numFmtId="164" xfId="0" applyAlignment="1" applyBorder="1" applyFont="1" applyNumberFormat="1">
      <alignment horizontal="center"/>
    </xf>
    <xf borderId="23" fillId="37" fontId="71" numFmtId="0" xfId="0" applyAlignment="1" applyBorder="1" applyFont="1">
      <alignment horizontal="center" readingOrder="0" shrinkToFit="0" wrapText="1"/>
    </xf>
    <xf borderId="23" fillId="37" fontId="72" numFmtId="0" xfId="0" applyAlignment="1" applyBorder="1" applyFont="1">
      <alignment horizontal="center" readingOrder="0" shrinkToFit="0" wrapText="1"/>
    </xf>
    <xf borderId="23" fillId="22" fontId="3" numFmtId="164" xfId="0" applyAlignment="1" applyBorder="1" applyFont="1" applyNumberFormat="1">
      <alignment horizontal="center"/>
    </xf>
    <xf borderId="23" fillId="37" fontId="73" numFmtId="0" xfId="0" applyAlignment="1" applyBorder="1" applyFont="1">
      <alignment horizontal="center" readingOrder="0" shrinkToFit="0" wrapText="1"/>
    </xf>
    <xf borderId="0" fillId="37" fontId="11" numFmtId="0" xfId="0" applyFont="1"/>
    <xf borderId="2" fillId="38" fontId="3" numFmtId="0" xfId="0" applyAlignment="1" applyBorder="1" applyFill="1" applyFont="1">
      <alignment horizontal="center" readingOrder="0"/>
    </xf>
    <xf borderId="0" fillId="3" fontId="74" numFmtId="0" xfId="0" applyAlignment="1" applyFont="1">
      <alignment shrinkToFit="0" vertical="bottom" wrapText="1"/>
    </xf>
    <xf borderId="24" fillId="11" fontId="1" numFmtId="0" xfId="0" applyAlignment="1" applyBorder="1" applyFont="1">
      <alignment horizontal="center" readingOrder="0"/>
    </xf>
    <xf borderId="23" fillId="11" fontId="1" numFmtId="164" xfId="0" applyAlignment="1" applyBorder="1" applyFont="1" applyNumberFormat="1">
      <alignment horizontal="center" readingOrder="0"/>
    </xf>
    <xf borderId="23" fillId="11" fontId="1" numFmtId="0" xfId="0" applyAlignment="1" applyBorder="1" applyFont="1">
      <alignment horizontal="center" readingOrder="0"/>
    </xf>
    <xf borderId="23" fillId="11" fontId="1" numFmtId="164" xfId="0" applyAlignment="1" applyBorder="1" applyFont="1" applyNumberFormat="1">
      <alignment horizontal="center"/>
    </xf>
    <xf borderId="23" fillId="11" fontId="75" numFmtId="0" xfId="0" applyAlignment="1" applyBorder="1" applyFont="1">
      <alignment horizontal="center" readingOrder="0" shrinkToFit="0" wrapText="1"/>
    </xf>
    <xf borderId="0" fillId="0" fontId="11" numFmtId="0" xfId="0" applyAlignment="1" applyFont="1">
      <alignment horizontal="center" readingOrder="0" shrinkToFit="0" wrapText="1"/>
    </xf>
    <xf borderId="0" fillId="0" fontId="76" numFmtId="0" xfId="0" applyAlignment="1" applyFont="1">
      <alignment vertical="bottom"/>
    </xf>
    <xf borderId="0" fillId="8" fontId="77" numFmtId="164" xfId="0" applyFont="1" applyNumberFormat="1"/>
    <xf borderId="23" fillId="11" fontId="78" numFmtId="0" xfId="0" applyAlignment="1" applyBorder="1" applyFont="1">
      <alignment horizontal="center" readingOrder="0" shrinkToFit="0" wrapText="1"/>
    </xf>
    <xf borderId="2" fillId="3" fontId="3" numFmtId="0" xfId="0" applyAlignment="1" applyBorder="1" applyFont="1">
      <alignment horizontal="center" readingOrder="0"/>
    </xf>
    <xf borderId="23" fillId="3" fontId="3" numFmtId="164" xfId="0" applyAlignment="1" applyBorder="1" applyFont="1" applyNumberFormat="1">
      <alignment horizontal="center"/>
    </xf>
    <xf borderId="0" fillId="8" fontId="77" numFmtId="164" xfId="0" applyFont="1" applyNumberFormat="1"/>
    <xf borderId="0" fillId="0" fontId="11" numFmtId="164" xfId="0" applyFont="1" applyNumberFormat="1"/>
    <xf borderId="23" fillId="11" fontId="12" numFmtId="0" xfId="0" applyAlignment="1" applyBorder="1" applyFont="1">
      <alignment horizontal="center" readingOrder="0" shrinkToFit="0" wrapText="1"/>
    </xf>
  </cellXfs>
  <cellStyles count="1">
    <cellStyle xfId="0" name="Normal" builtinId="0"/>
  </cellStyles>
  <dxfs count="1">
    <dxf>
      <font>
        <color rgb="FFFF7474"/>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a:solidFill>
                  <a:srgbClr val="757575"/>
                </a:solidFill>
                <a:latin typeface="+mn-lt"/>
              </a:defRPr>
            </a:pPr>
            <a:r>
              <a:rPr b="0" i="0">
                <a:solidFill>
                  <a:srgbClr val="757575"/>
                </a:solidFill>
                <a:latin typeface="+mn-lt"/>
              </a:rPr>
              <a:t>Curva de destinos</a:t>
            </a:r>
          </a:p>
        </c:rich>
      </c:tx>
      <c:overlay val="0"/>
    </c:title>
    <c:plotArea>
      <c:layout/>
      <c:lineChart>
        <c:ser>
          <c:idx val="0"/>
          <c:order val="0"/>
          <c:tx>
            <c:v>Destino 1</c:v>
          </c:tx>
          <c:spPr>
            <a:ln cmpd="sng">
              <a:solidFill>
                <a:srgbClr val="4285F4"/>
              </a:solidFill>
            </a:ln>
          </c:spPr>
          <c:marker>
            <c:symbol val="none"/>
          </c:marker>
          <c:cat>
            <c:strRef>
              <c:f>'6.3 Curva de estacionalidad des'!$C$4:$N$4</c:f>
            </c:strRef>
          </c:cat>
          <c:val>
            <c:numRef>
              <c:f>'6.3 Curva de estacionalidad des'!$C$5:$N$5</c:f>
              <c:numCache/>
            </c:numRef>
          </c:val>
          <c:smooth val="0"/>
        </c:ser>
        <c:ser>
          <c:idx val="1"/>
          <c:order val="1"/>
          <c:tx>
            <c:v>Destino 2</c:v>
          </c:tx>
          <c:spPr>
            <a:ln cmpd="sng">
              <a:solidFill>
                <a:srgbClr val="EA4335"/>
              </a:solidFill>
            </a:ln>
          </c:spPr>
          <c:marker>
            <c:symbol val="none"/>
          </c:marker>
          <c:cat>
            <c:strRef>
              <c:f>'6.3 Curva de estacionalidad des'!$C$4:$N$4</c:f>
            </c:strRef>
          </c:cat>
          <c:val>
            <c:numRef>
              <c:f>'6.3 Curva de estacionalidad des'!$C$6:$N$6</c:f>
              <c:numCache/>
            </c:numRef>
          </c:val>
          <c:smooth val="0"/>
        </c:ser>
        <c:ser>
          <c:idx val="2"/>
          <c:order val="2"/>
          <c:tx>
            <c:strRef>
              <c:f>'6.3 Curva de estacionalidad des'!$B$6</c:f>
            </c:strRef>
          </c:tx>
          <c:spPr>
            <a:ln cmpd="sng">
              <a:solidFill>
                <a:srgbClr val="FBBC04"/>
              </a:solidFill>
            </a:ln>
          </c:spPr>
          <c:marker>
            <c:symbol val="none"/>
          </c:marker>
          <c:cat>
            <c:strRef>
              <c:f>'6.3 Curva de estacionalidad des'!$C$4:$N$4</c:f>
            </c:strRef>
          </c:cat>
          <c:val>
            <c:numRef>
              <c:f>'6.3 Curva de estacionalidad des'!$C$6:$N$6</c:f>
              <c:numCache/>
            </c:numRef>
          </c:val>
          <c:smooth val="0"/>
        </c:ser>
        <c:axId val="1945014320"/>
        <c:axId val="421569658"/>
      </c:lineChart>
      <c:catAx>
        <c:axId val="194501432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a:solidFill>
                  <a:srgbClr val="000000"/>
                </a:solidFill>
                <a:latin typeface="+mn-lt"/>
              </a:defRPr>
            </a:pPr>
          </a:p>
        </c:txPr>
        <c:crossAx val="421569658"/>
      </c:catAx>
      <c:valAx>
        <c:axId val="42156965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a:solidFill>
                  <a:srgbClr val="000000"/>
                </a:solidFill>
                <a:latin typeface="+mn-lt"/>
              </a:defRPr>
            </a:pPr>
          </a:p>
        </c:txPr>
        <c:crossAx val="1945014320"/>
      </c:valAx>
    </c:plotArea>
    <c:legend>
      <c:legendPos val="r"/>
      <c:overlay val="0"/>
      <c:txPr>
        <a:bodyPr/>
        <a:lstStyle/>
        <a:p>
          <a:pPr lvl="0">
            <a:defRPr b="0" i="0">
              <a:solidFill>
                <a:srgbClr val="1A1A1A"/>
              </a:solidFill>
              <a:latin typeface="+mn-lt"/>
            </a:defRPr>
          </a:pPr>
        </a:p>
      </c:txPr>
    </c:legend>
    <c:plotVisOnly val="1"/>
  </c:chart>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438150</xdr:colOff>
      <xdr:row>7</xdr:row>
      <xdr:rowOff>114300</xdr:rowOff>
    </xdr:from>
    <xdr:ext cx="5715000" cy="3533775"/>
    <xdr:graphicFrame>
      <xdr:nvGraphicFramePr>
        <xdr:cNvPr id="1853269588"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657225</xdr:colOff>
      <xdr:row>30</xdr:row>
      <xdr:rowOff>76200</xdr:rowOff>
    </xdr:from>
    <xdr:ext cx="5448300" cy="24193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mercadolibre.com.ar/secador-de-hotel-hotelero-pared-1600w-bprof-air-power-2500/up/MLAU3880604113" TargetMode="External"/><Relationship Id="rId190" Type="http://schemas.openxmlformats.org/officeDocument/2006/relationships/vmlDrawing" Target="../drawings/vmlDrawing1.vml"/><Relationship Id="rId42" Type="http://schemas.openxmlformats.org/officeDocument/2006/relationships/hyperlink" Target="https://www.mercadolibre.com.ar/dispenser-triple-liquido-jabon-para-bano-cocina-visor-pared/up/MLAU3907460693?pdp_filters=item_id%3AMLA3216862034&amp;from=gshop&amp;matt_tool=25256910&amp;matt_word=&amp;matt_source=google&amp;matt_campaign_id=23390548553&amp;matt_ad_group_id=189479849463&amp;matt_match_type=&amp;matt_network=g&amp;matt_device=c&amp;matt_creative=789984777784&amp;matt_keyword=&amp;matt_ad_position=&amp;matt_ad_type=pla&amp;matt_merchant_id=5694513414&amp;matt_product_id=MLAU3907460693&amp;matt_product_partition_id=2390507432878&amp;matt_target_id=pla-2390507432878&amp;cq_src=google_ads&amp;cq_cmp=23390548553&amp;cq_net=g&amp;cq_plt=gp&amp;cq_med=pla&amp;gad_source=1&amp;gad_campaignid=23390548553&amp;gbraid=0AAAAAD01zQZIUOKrHCC-KGzZRcMSnCBRM&amp;gclid=CjwKCAjw9NjRBhATEiwA_p2J8V0LXxBKSV1pmrOb3WYUuj53LHDFIIOA0-yLRWhaZF5wrjuMQ6t2IBoC3EgQAvD_BwE" TargetMode="External"/><Relationship Id="rId41" Type="http://schemas.openxmlformats.org/officeDocument/2006/relationships/hyperlink" Target="https://houseofgringa.com.ar/productos/canasto-duna-mini/?variant=333400690&amp;pf=mc&amp;gad_source=1&amp;gad_campaignid=22794314399&amp;gbraid=0AAAAA9SI1q8DizHky_9HlyHvc5dxax53b&amp;gclid=CjwKCAjw0dPRBhAPEiwAE5vTTh88-rIbxjt3Eetb2ZqiZGhhFH1-oeNhVAbNq4H9s16Htpa9YFkkLBoCqrkQAvD_BwE" TargetMode="External"/><Relationship Id="rId44" Type="http://schemas.openxmlformats.org/officeDocument/2006/relationships/hyperlink" Target="https://www.mercadolibre.com.ar/porta-rollo-soporte-papel-higienico-con-adhesivo-sin-perforacion-portarrollo-acero-inoxidable-2-posiciones-levys-bazar-color-plateado-accesorio-bano/p/MLA47405665?pdp_filters=item_id%3AMLA2143435272&amp;from=gshop&amp;matt_tool=99120742&amp;matt_word=&amp;matt_source=google&amp;matt_campaign_id=23390548556&amp;matt_ad_group_id=189479849503&amp;matt_match_type=&amp;matt_network=g&amp;matt_device=c&amp;matt_creative=789984777985&amp;matt_keyword=&amp;matt_ad_position=&amp;matt_ad_type=pla&amp;matt_merchant_id=735078350&amp;matt_product_id=MLA47405665-product&amp;matt_product_partition_id=2390507433038&amp;matt_target_id=pla-2390507433038&amp;cq_src=google_ads&amp;cq_cmp=23390548556&amp;cq_net=g&amp;cq_plt=gp&amp;cq_med=pla&amp;gad_source=1&amp;gad_campaignid=23390548556&amp;gbraid=0AAAAAD01zQZrtsKDsZMbUrqI8UYuE2HDz&amp;gclid=CjwKCAjw9NjRBhATEiwA_p2J8TQKDvbDcoh_BaMjiCZx6KAIwpPh_y4vDEuhhgshTKNV0_jg5zeDARoC4pcQAvD_BwE" TargetMode="External"/><Relationship Id="rId43" Type="http://schemas.openxmlformats.org/officeDocument/2006/relationships/hyperlink" Target="https://www.tiendaslandmark.com.ar/product/set-dispenser-y-vaso-sasha-white-bec0002?gad_source=1&amp;gad_campaignid=23860445946&amp;gbraid=0AAAABDtSaqx4SQobRLG3_j_7RrK07gYJ9&amp;gclid=CjwKCAjw9NjRBhATEiwA_p2J8b7x8GN1mMKl1mH8m2sbq6pNTg0AMu5QOgPRYmsUIr_UQ9RPS14QpRoCI3sQAvD_BwE" TargetMode="External"/><Relationship Id="rId46" Type="http://schemas.openxmlformats.org/officeDocument/2006/relationships/hyperlink" Target="https://articulo.mercadolibre.com.ar/MLA-3219295110-recibidor-oficina-mostrador-recepcion-consultorio-instalar-_JM?searchVariation=193474128470" TargetMode="External"/><Relationship Id="rId45" Type="http://schemas.openxmlformats.org/officeDocument/2006/relationships/hyperlink" Target="https://somosrex.com/set-de-escobilla-y-cesto-de-basura-negro-mate-3l.html?utm_source=rexpipol&amp;utm_medium=gperformancemaxpipol&amp;utm_campaign=performancemaxaopmax&amp;gad_source=1&amp;gad_campaignid=21702714145&amp;gbraid=0AAAAAD1uH0eZ0Fe836xSN3DRa87fbKH0O&amp;gclid=CjwKCAjwxb7RBhA5EiwAQ-AAdHFK-XTYylt2MiS14_vXtHhK9b01LjBd1q3PWVVFFArC4X89O-2gcxoCCRsQAvD_BwE" TargetMode="External"/><Relationship Id="rId107" Type="http://schemas.openxmlformats.org/officeDocument/2006/relationships/hyperlink" Target="https://www.mercadolibre.com.ar/tapa-llave--luz-armada-sica-i--caja-soporte-blanco-x-1-pack/up/MLAU3220329142?picker=true&amp;quantity=1" TargetMode="External"/><Relationship Id="rId106" Type="http://schemas.openxmlformats.org/officeDocument/2006/relationships/hyperlink" Target="https://www.mercadolibre.com.ar/plafon-led-sobreponer-negro-redondo-24w-blackdecker/up/MLAU3113167840" TargetMode="External"/><Relationship Id="rId105" Type="http://schemas.openxmlformats.org/officeDocument/2006/relationships/hyperlink" Target="https://www.gastroquil.com/productos/fabricadora-de-hielo-turboblender-fh-c40-40kg/" TargetMode="External"/><Relationship Id="rId104" Type="http://schemas.openxmlformats.org/officeDocument/2006/relationships/hyperlink" Target="https://www.gastroquil.com/productos/carro-de-servicio-gastronomico-gastroquil-3-estantes-80-x-40/" TargetMode="External"/><Relationship Id="rId109" Type="http://schemas.openxmlformats.org/officeDocument/2006/relationships/hyperlink" Target="https://www.mercadolibre.com.ar/mesa-bar-mesa-industrial-restaurantes-pizzerias-70x70-cm-marron-claro-y-negro/p/MLA66950398?pdp_filters=item_id:MLA1714410973&amp;matt_tool=17330985&amp;matt_internal_campaign_id=354664398&amp;matt_word=&amp;matt_source=google&amp;matt_campaign_id=22943760643&amp;matt_ad_group_id=191334192897&amp;matt_match_type=&amp;matt_network=g&amp;matt_device=c&amp;matt_creative=798166582504&amp;matt_keyword=&amp;matt_ad_position=&amp;matt_ad_type=pla&amp;matt_merchant_id=5706257605&amp;matt_product_id=MLA1714410973&amp;matt_product_partition_id=2434884666648&amp;matt_target_id=aud-2430760955230:pla-2434884666648&amp;cq_src=google_ads&amp;cq_cmp=22943760643&amp;cq_net=g&amp;cq_plt=gp&amp;cq_med=pla&amp;gad_source=1&amp;gad_campaignid=22943760643&amp;gbraid=0AAAAAD01zQZ--QgLQc34gsuoI2-VIzRTN&amp;gclid=CjwKCAjwuanRBhBSEiwAY5y6V28DmzsrkuE0AU-E8YmX9zJc3X05N-B6w4PlmmJSPfZ1DCmKTmIc9BoCaXgQAvD_BwE" TargetMode="External"/><Relationship Id="rId108" Type="http://schemas.openxmlformats.org/officeDocument/2006/relationships/hyperlink" Target="https://dmaker.com/productos/cava-de-vinos-winefroz-para-119-botellas-luxury-edition-wmn143t-negra/?variant=1362567892&amp;pf=mc&amp;gad_source=1&amp;gad_campaignid=23547762884&amp;gbraid=0AAAAAoz6uPVjY0SIFfzWR3Sxg_WAJwruK&amp;gclid=CjwKCAjwuanRBhBSEiwAY5y6V4RY9ja1VV1iiJqdaFgVip8GGAXtvnCUMQvgpa8nuFg3uex3A5fFQBoC8KQQAvD_BwE" TargetMode="External"/><Relationship Id="rId48" Type="http://schemas.openxmlformats.org/officeDocument/2006/relationships/hyperlink" Target="https://www.mercadolibre.com.ar/silla-oficina-premium-escritorio-ergonomica-ejecutivo-pc-smart-tech-hy-807-mesh-color-negro/p/MLA35915863?pdp_filters=item_id:MLA1791703198&amp;matt_tool=53055365&amp;matt_internal_campaign_id=356413227&amp;matt_word=&amp;matt_source=google&amp;matt_campaign_id=23322223412&amp;matt_ad_group_id=194838764096&amp;matt_match_type=&amp;matt_network=g&amp;matt_device=c&amp;matt_creative=800756584492&amp;matt_keyword=&amp;matt_ad_position=&amp;matt_ad_type=pla&amp;matt_merchant_id=114215280&amp;matt_product_id=MLA1791703198&amp;matt_product_partition_id=2440723100054&amp;matt_target_id=aud-2430760955230:pla-2440723100054&amp;cq_src=google_ads&amp;cq_cmp=23322223412&amp;cq_net=g&amp;cq_plt=gp&amp;cq_med=pla&amp;gad_source=1&amp;gad_campaignid=23322223412&amp;gbraid=0AAAAAD01zQbiAoG58qmDTXh2eK57ZNqU8&amp;gclid=CjwKCAjwuanRBhBSEiwAY5y6V0RLjtpE714FM4KMPP3hRk4Wi_I6W0l_h8X7pIvbue6b1eTPgoXhVRoCjDQQAvD_BwE" TargetMode="External"/><Relationship Id="rId187" Type="http://schemas.openxmlformats.org/officeDocument/2006/relationships/hyperlink" Target="https://donweb.com/es-ar/mis-compras" TargetMode="External"/><Relationship Id="rId47" Type="http://schemas.openxmlformats.org/officeDocument/2006/relationships/hyperlink" Target="https://www.microhardazul.com.ar/productos/pc-todo-en-uno-pcbox-s681w/?variant=1266066125&amp;pf=mc" TargetMode="External"/><Relationship Id="rId186" Type="http://schemas.openxmlformats.org/officeDocument/2006/relationships/hyperlink" Target="https://boficial.neuquen.gov.ar/Leyes/ley_3541_AnexoI.pdf" TargetMode="External"/><Relationship Id="rId185" Type="http://schemas.openxmlformats.org/officeDocument/2006/relationships/hyperlink" Target="https://www.jusneuquen.gov.ar/rpc-tasas-retributivas/" TargetMode="External"/><Relationship Id="rId49" Type="http://schemas.openxmlformats.org/officeDocument/2006/relationships/hyperlink" Target="https://www.mercadolibre.com.ar/repetidor-wifi-extensor-senal-tplink-wa850re-300mbps-850re/up/MLAU214366583?pdp_filters=item_id:MLA764245260" TargetMode="External"/><Relationship Id="rId184" Type="http://schemas.openxmlformats.org/officeDocument/2006/relationships/hyperlink" Target="https://boficial.neuquen.gov.ar/PreguntasFrecuentes" TargetMode="External"/><Relationship Id="rId103" Type="http://schemas.openxmlformats.org/officeDocument/2006/relationships/hyperlink" Target="https://www.gastroquil.com/productos/exprimidor-manual-citricos-nativa-profesional-citrus/" TargetMode="External"/><Relationship Id="rId102" Type="http://schemas.openxmlformats.org/officeDocument/2006/relationships/hyperlink" Target="https://www.gastroquil.com/productos/cortadora-de-fiambre-moretti-duecento-20-pro-220/" TargetMode="External"/><Relationship Id="rId101" Type="http://schemas.openxmlformats.org/officeDocument/2006/relationships/hyperlink" Target="https://www.gastroquil.com/productos/tostadora-electrica-speedy-mod-1100-220v/" TargetMode="External"/><Relationship Id="rId189" Type="http://schemas.openxmlformats.org/officeDocument/2006/relationships/drawing" Target="../drawings/drawing1.xml"/><Relationship Id="rId100" Type="http://schemas.openxmlformats.org/officeDocument/2006/relationships/hyperlink" Target="https://www.mercadolibre.com.ar/pava-electrica-winco-con-corte-para-mate-w1702-acero-inoxidable-18l/p/MLA9017656" TargetMode="External"/><Relationship Id="rId188" Type="http://schemas.openxmlformats.org/officeDocument/2006/relationships/hyperlink" Target="https://www.iproup.com/empleo/62716-cuanto-gana-un-influencer-en-la-argentina-precio-de-story-video-y-reels" TargetMode="External"/><Relationship Id="rId31" Type="http://schemas.openxmlformats.org/officeDocument/2006/relationships/hyperlink" Target="https://tienda.viveromario.com.ar/productos/areca1/" TargetMode="External"/><Relationship Id="rId30" Type="http://schemas.openxmlformats.org/officeDocument/2006/relationships/hyperlink" Target="https://articulo.mercadolibre.com.ar/MLA-1288017941-maceta-rotomoldeada-plastica-decorativa-rustica-inca-40cm-_JM?searchVariation=176204304602&amp;gallery_type=horizontal&amp;sizeForPhoto=416&amp;pdp_filters=official_store%3A63248" TargetMode="External"/><Relationship Id="rId33" Type="http://schemas.openxmlformats.org/officeDocument/2006/relationships/hyperlink" Target="https://metroblanc.com.ar/producto/pantufla-hotel-de-toalla/?utm_term=&amp;utm_campaign=Compras+-+Shopping+Sales+Performance+28/6/23&amp;utm_source=adwords&amp;utm_medium=ppc&amp;hsa_acc=6513142586&amp;hsa_cam=20320539008&amp;hsa_grp=&amp;hsa_ad=&amp;hsa_src=x&amp;hsa_tgt=&amp;hsa_kw=&amp;hsa_mt=&amp;hsa_net=adwords&amp;hsa_ver=3&amp;gad_source=1&amp;gad_campaignid=20320543412&amp;gbraid=0AAAAAD6dP7HzzjQfRoqjjlCE_-YFzeoTb&amp;gclid=CjwKCAjw9NjRBhATEiwA_p2J8RvTnNpZm2eLGADl2aFaybN4FV9sOMZV0XxiLy2hWCwgdEJC3JxU1BoCRIkQAvD_BwE" TargetMode="External"/><Relationship Id="rId183" Type="http://schemas.openxmlformats.org/officeDocument/2006/relationships/hyperlink" Target="https://sitio.cpcen.org.ar/files/escala-de-honorarios-sugerida/RES_777_HONORARIOS_MINIMOS_03_2026_445ea4d4df.pdf" TargetMode="External"/><Relationship Id="rId32" Type="http://schemas.openxmlformats.org/officeDocument/2006/relationships/hyperlink" Target="https://www.mercadolibre.com.ar/maceta-de-diseno-ceramica-allegra-moderna-decoracion-n10-crema-allegra/p/MLA74056137" TargetMode="External"/><Relationship Id="rId182" Type="http://schemas.openxmlformats.org/officeDocument/2006/relationships/hyperlink" Target="https://servidos.ar/calculadora-marcas-patentes" TargetMode="External"/><Relationship Id="rId35" Type="http://schemas.openxmlformats.org/officeDocument/2006/relationships/hyperlink" Target="https://www.mercadolibre.com.ar/llaves-de-luz-armada-2-puntos-teclas-interruptores-jeluz/up/MLAU208261935" TargetMode="External"/><Relationship Id="rId181" Type="http://schemas.openxmlformats.org/officeDocument/2006/relationships/hyperlink" Target="https://cptn.org.ar/honorarios-minimos-sugeridos/" TargetMode="External"/><Relationship Id="rId34" Type="http://schemas.openxmlformats.org/officeDocument/2006/relationships/hyperlink" Target="https://metroblanc.com.ar/producto/pantufla-hotel-de-toalla/?utm_term=&amp;utm_campaign=Compras+-+Shopping+Sales+Performance+28/6/23&amp;utm_source=adwords&amp;utm_medium=ppc&amp;hsa_acc=6513142586&amp;hsa_cam=20320539008&amp;hsa_grp=&amp;hsa_ad=&amp;hsa_src=x&amp;hsa_tgt=&amp;hsa_kw=&amp;hsa_mt=&amp;hsa_net=adwords&amp;hsa_ver=3&amp;gad_source=1&amp;gad_campaignid=20320543412&amp;gbraid=0AAAAAD6dP7HzzjQfRoqjjlCE_-YFzeoTb&amp;gclid=CjwKCAjw9NjRBhATEiwA_p2J8RvTnNpZm2eLGADl2aFaybN4FV9sOMZV0XxiLy2hWCwgdEJC3JxU1BoCRIkQAvD_BwE" TargetMode="External"/><Relationship Id="rId180" Type="http://schemas.openxmlformats.org/officeDocument/2006/relationships/hyperlink" Target="https://cptn.org.ar/honorarios-minimos-sugeridos/" TargetMode="External"/><Relationship Id="rId37" Type="http://schemas.openxmlformats.org/officeDocument/2006/relationships/hyperlink" Target="https://www.mercadolibre.com.ar/llaves-de-luz-armada-2-puntos-teclas-interruptores-jeluz/up/MLAU208261935" TargetMode="External"/><Relationship Id="rId176" Type="http://schemas.openxmlformats.org/officeDocument/2006/relationships/hyperlink" Target="https://www.economianqn.gob.ar/contenido/file/12305" TargetMode="External"/><Relationship Id="rId36" Type="http://schemas.openxmlformats.org/officeDocument/2006/relationships/hyperlink" Target="https://www.mercadolibre.com.ar/bidet-para-bano-ceramica-sanitaria-europea-con-monocomando/up/MLAU3799755453" TargetMode="External"/><Relationship Id="rId175" Type="http://schemas.openxmlformats.org/officeDocument/2006/relationships/hyperlink" Target="https://cptn.org.ar/honorarios-minimos-sugeridos/" TargetMode="External"/><Relationship Id="rId39" Type="http://schemas.openxmlformats.org/officeDocument/2006/relationships/hyperlink" Target="https://lbh.com.ar/productos/set-toalla-toallon-piso-pie-de-ducha-marca-la-bastilla-linea-spa-modelo-hotel-670-gr-m2-x5lr5/" TargetMode="External"/><Relationship Id="rId174" Type="http://schemas.openxmlformats.org/officeDocument/2006/relationships/hyperlink" Target="https://www.mercadolibre.com.ar/farol-piso-jardin-60cm-exterior-led-e27-sendero-pack-x6/up/MLAU3206538749?pdp_filters=item_id%3AMLA2095878992&amp;from=gshop&amp;matt_tool=24807139&amp;matt_internal_campaign_id=355154847&amp;matt_word=&amp;matt_source=google&amp;matt_campaign_id=22943760643&amp;matt_ad_group_id=200604612424&amp;matt_match_type=&amp;matt_network=g&amp;matt_device=c&amp;matt_creative=798898759585&amp;matt_keyword=&amp;matt_ad_position=&amp;matt_ad_type=pla&amp;matt_merchant_id=238105235&amp;matt_product_id=MLAU3206538749&amp;matt_product_partition_id=2433460612482&amp;matt_target_id=aud-2430760955230:pla-2433460612482&amp;cq_src=google_ads&amp;cq_cmp=22943760643&amp;cq_net=g&amp;cq_plt=gp&amp;cq_med=pla&amp;gad_source=1&amp;gad_campaignid=22943760643&amp;gbraid=0AAAAAD01zQZS6D_kae50vmfog7rhbHgGr&amp;gclid=CjwKCAjwgO7RBhBKEiwAZNP85mz0DG1XTAECnT7YxeWx_sdggZC7WDyZDswmiYdh6ybGEP-oNgX9WhoC4JAQAvD_BwE" TargetMode="External"/><Relationship Id="rId38" Type="http://schemas.openxmlformats.org/officeDocument/2006/relationships/hyperlink" Target="https://www.mercadolibre.com.ar/plafon-panel-led-12w-embutir-candela-estructura-blanco-calido/p/MLA19972328" TargetMode="External"/><Relationship Id="rId173" Type="http://schemas.openxmlformats.org/officeDocument/2006/relationships/hyperlink" Target="https://www.mercadolibre.com.ar/kit-seguridad-dahua-cctv-dvr-8ch-fullhd-6-camaras-2mp-1080p/up/MLAU209229302" TargetMode="External"/><Relationship Id="rId179" Type="http://schemas.openxmlformats.org/officeDocument/2006/relationships/hyperlink" Target="https://cptn.org.ar/honorarios-minimos-sugeridos/" TargetMode="External"/><Relationship Id="rId178" Type="http://schemas.openxmlformats.org/officeDocument/2006/relationships/hyperlink" Target="https://cptn.org.ar/honorarios-minimos-sugeridos/" TargetMode="External"/><Relationship Id="rId177" Type="http://schemas.openxmlformats.org/officeDocument/2006/relationships/hyperlink" Target="https://www.cpaneuquen.org.ar/pdf/honorarios.pdf" TargetMode="External"/><Relationship Id="rId20" Type="http://schemas.openxmlformats.org/officeDocument/2006/relationships/hyperlink" Target="https://lbh.com.ar/productos/pack-x-2-fundas-de-almohadas-la-bastilla-linea-hotelera/" TargetMode="External"/><Relationship Id="rId22" Type="http://schemas.openxmlformats.org/officeDocument/2006/relationships/hyperlink" Target="https://www.mercadolibre.com.ar/aire-acondicionado-hisense-split-frio-calor-4472-frigorias/p/MLA36962630?pdp_filters=item_id%3AMLA2239341698&amp;from=gshop&amp;matt_tool=80761995&amp;matt_word=&amp;matt_source=google&amp;matt_campaign_id=23390548961&amp;matt_ad_group_id=189479918543&amp;matt_match_type=&amp;matt_network=g&amp;matt_device=c&amp;matt_creative=789984784519&amp;matt_keyword=&amp;matt_ad_position=&amp;matt_ad_type=pla&amp;matt_merchant_id=735078350&amp;matt_product_id=MLA36962630-product&amp;matt_product_partition_id=2455352449135&amp;matt_target_id=aud-1965625651133:pla-2455352449135&amp;cq_src=google_ads&amp;cq_cmp=23390548961&amp;cq_net=g&amp;cq_plt=gp&amp;cq_med=pla&amp;gad_source=1&amp;gad_campaignid=23390548961&amp;gbraid=0AAAAAD01zQbqdfgbP8P0ZzJfKpsUQFJie&amp;gclid=CjwKCAjw857RBhAgEiwAI-1yKEx5cQNgRMCGKjwRl3JN7xCh_V5dz8pe3eyRk-Sm5z8ANqDNISbfLBoCVekQAvD_BwE" TargetMode="External"/><Relationship Id="rId21" Type="http://schemas.openxmlformats.org/officeDocument/2006/relationships/hyperlink" Target="https://www.mercadolibre.com.ar/secador-de-hotel-hotelero-pared-1600w-bprof-air-power-2500/up/MLAU3880604113" TargetMode="External"/><Relationship Id="rId24" Type="http://schemas.openxmlformats.org/officeDocument/2006/relationships/hyperlink" Target="https://www.mercadolibre.com.ar/lampara-colgante-rattan-con-madera-cable-de-yute-rapsodia/up/MLAU4082919948" TargetMode="External"/><Relationship Id="rId23" Type="http://schemas.openxmlformats.org/officeDocument/2006/relationships/hyperlink" Target="https://www.mercadolibre.com.ar/sillon-2-cuerpos-tapizado-160-m-dadaa-chenille-premium-a-eleccion/p/MLA45287624?pdp_filters=item_id%3AMLA1563055327&amp;from=gshop&amp;matt_tool=45201162&amp;matt_word=&amp;matt_source=google&amp;matt_campaign_id=23390548541&amp;matt_ad_group_id=189479840543&amp;matt_match_type=&amp;matt_network=g&amp;matt_device=c&amp;matt_creative=789984777247&amp;matt_keyword=&amp;matt_ad_position=&amp;matt_ad_type=pla&amp;matt_merchant_id=735078350&amp;matt_product_id=MLA45287624-product&amp;matt_product_partition_id=2388009772746&amp;matt_target_id=pla-2388009772746&amp;cq_src=google_ads&amp;cq_cmp=23390548541&amp;cq_net=g&amp;cq_plt=gp&amp;cq_med=pla&amp;gad_source=1&amp;gad_campaignid=23390548541&amp;gbraid=0AAAAAD01zQY3SI-ewIOzBmtJ7G0m7J3KS&amp;gclid=CjwKCAjw0dPRBhAPEiwAE5vTTlOzy1jN5MHR9qXjYoIW3w3YH2Uuj1hs0DSCNnd5MqU8fcXPgMqgihoCQSYQAvD_BwE" TargetMode="External"/><Relationship Id="rId129" Type="http://schemas.openxmlformats.org/officeDocument/2006/relationships/hyperlink" Target="https://beauty-now.com.ar/productos/bowl-para-activos-de-vidrio/" TargetMode="External"/><Relationship Id="rId128" Type="http://schemas.openxmlformats.org/officeDocument/2006/relationships/hyperlink" Target="https://www.mercadolibre.com.ar/set-bowl--espatulas--skincare--limpieza-de-cutis/up/MLAU2928796436" TargetMode="External"/><Relationship Id="rId127" Type="http://schemas.openxmlformats.org/officeDocument/2006/relationships/hyperlink" Target="https://www.mercadolibre.com.ar/set-masajes-manta-pareo-sabanas-camilla-almohadas-toall/up/MLAU3907322258" TargetMode="External"/><Relationship Id="rId126" Type="http://schemas.openxmlformats.org/officeDocument/2006/relationships/hyperlink" Target="https://www.mercadolibre.com.ar/camilla-para-masajes-de-spa-80x180-fabrica/up/MLAU3634519132?matt_tool=38087446&amp;utm_source=google_shopping&amp;utm_medium=organic&amp;pdp_filters=item_id%3AMLA1593403155&amp;from=gshop" TargetMode="External"/><Relationship Id="rId26" Type="http://schemas.openxmlformats.org/officeDocument/2006/relationships/hyperlink" Target="https://www.mercadolibre.com.ar/pie-de-cama-king-manta-tusor-con-fundas-de-almohadon/up/MLAU3324714340?pdp_filters=seller_id%3A403328713" TargetMode="External"/><Relationship Id="rId121" Type="http://schemas.openxmlformats.org/officeDocument/2006/relationships/hyperlink" Target="https://www.mercadolibre.com.ar/lampara-colgante-lineal-de-techo-120cm-led-madera-cedro/up/MLAU341281847?pdp_filters=item_id%3AMLA1713299928&amp;from=gshop&amp;matt_tool=41779540&amp;matt_word=&amp;matt_source=google&amp;matt_campaign_id=23390548763&amp;matt_ad_group_id=189479891503&amp;matt_match_type=&amp;matt_network=g&amp;matt_device=c&amp;matt_creative=789984781591&amp;matt_keyword=&amp;matt_ad_position=&amp;matt_ad_type=pla&amp;matt_merchant_id=5354562760&amp;matt_product_id=MLAU341281847&amp;matt_product_partition_id=2387145049182&amp;matt_target_id=aud-2430760955230:pla-2387145049182&amp;cq_src=google_ads&amp;cq_cmp=23390548763&amp;cq_net=g&amp;cq_plt=gp&amp;cq_med=pla&amp;gad_source=1&amp;gad_campaignid=23390548763&amp;gbraid=0AAAAAD01zQYKwusXhsHtIuC4AO62rFfUr&amp;gclid=CjwKCAjw3ejRBhAdEiwADkqPn6j5872V1AOUecIFSFTLBkPG4KXR9-51RxCAXL9yfiZxurMGZi96DRoCtfYQAvD_BwE" TargetMode="External"/><Relationship Id="rId25" Type="http://schemas.openxmlformats.org/officeDocument/2006/relationships/hyperlink" Target="https://www.mercadolibre.com.ar/tapa-llave--luz-armada-sica-i--caja-soporte-blanco-x-1-pack/up/MLAU3220329142?picker=true&amp;quantity=1" TargetMode="External"/><Relationship Id="rId120" Type="http://schemas.openxmlformats.org/officeDocument/2006/relationships/hyperlink" Target="https://www.mercadolibre.com.ar/sistema-de-sonido-soundbarsub-telefunken-polaris-900-101d/p/MLA21322156" TargetMode="External"/><Relationship Id="rId28" Type="http://schemas.openxmlformats.org/officeDocument/2006/relationships/hyperlink" Target="https://www.mercadolibre.com.ar/kit-manguera-luz-neon-5-mts-fuente-ficha-exterior-interior-resiste-al-agua-luminoso-flexible-levys-bazar-blanco-calido/p/MLA51438271" TargetMode="External"/><Relationship Id="rId27" Type="http://schemas.openxmlformats.org/officeDocument/2006/relationships/hyperlink" Target="https://www.mercadolibre.com.ar/manta-tusor-algodon-100x190-con-fundas-de-almohadones/up/MLAU3284683660?pdp_filters=item_id%3AMLA1509138681" TargetMode="External"/><Relationship Id="rId125" Type="http://schemas.openxmlformats.org/officeDocument/2006/relationships/hyperlink" Target="https://www.mercadolibre.com.ar/hidromasaje-climatizado-jr-premium-redondo-4-personas-900l/up/MLAU3834062707" TargetMode="External"/><Relationship Id="rId29" Type="http://schemas.openxmlformats.org/officeDocument/2006/relationships/hyperlink" Target="https://www.mercadolibre.com.ar/10-lamparas-led-15w-120w-luz-calida-candela-clasica-6797/up/MLAU208216033" TargetMode="External"/><Relationship Id="rId124" Type="http://schemas.openxmlformats.org/officeDocument/2006/relationships/hyperlink" Target="https://www.mercadolibre.com.ar/matafuego-nuevo-abc-5kg--chapa-baliza-y-gancho--oblea/up/MLAU3062984653" TargetMode="External"/><Relationship Id="rId123" Type="http://schemas.openxmlformats.org/officeDocument/2006/relationships/hyperlink" Target="https://techsmart.ar/productos/Deco-S7-3pack/?variant=1293631634&amp;pf=mc&amp;gad_source=1&amp;gad_campaignid=22427107395&amp;gbraid=0AAAAArElj6qMEWvkWpyJgaz3bNciWjtV3&amp;gclid=CjwKCAjwuanRBhBSEiwAY5y6V9-UOdzi5jUdBgAkE4skRormGCCgWoQFRmmqAmpE5wUJxf7Tr0raXhoC2zwQAvD_BwE" TargetMode="External"/><Relationship Id="rId122" Type="http://schemas.openxmlformats.org/officeDocument/2006/relationships/hyperlink" Target="https://aguirrezabala.com.ar/products/bgh-silent-air-bsh65wcu-blanco?gad_source=1&amp;gad_campaignid=23830000239&amp;gbraid=0AAAABCpCTchEXM3rrZ2EPSOaE0_Ug0DqF&amp;gclid=CjwKCAjwuanRBhBSEiwAY5y6VzvwfuoWijNYCaLNODev9wIg7gRfXdgpC-JE_V14tyvRhKZh8n17OBoC4D0QAvD_BwE" TargetMode="External"/><Relationship Id="rId95" Type="http://schemas.openxmlformats.org/officeDocument/2006/relationships/hyperlink" Target="https://www.mercadolibre.com.ar/set-150-cubiertos-acero-inox-gastronomia-restaurant-oferta/up/MLAU3782093162?matt_tool=38087446&amp;utm_source=google_shopping&amp;utm_medium=organic&amp;pdp_filters=item_id%3AMLA1670721713&amp;from=gshop" TargetMode="External"/><Relationship Id="rId94" Type="http://schemas.openxmlformats.org/officeDocument/2006/relationships/hyperlink" Target="https://www.tiendaoxford.com.ar/productos/set-de-vajilla-18-piezas-brisa-unni-oxford/" TargetMode="External"/><Relationship Id="rId97" Type="http://schemas.openxmlformats.org/officeDocument/2006/relationships/hyperlink" Target="https://www.mercadolibre.com.ar/set-x-24-vasos-dubai-nadir-transparente/p/MLA23267744?product_trigger_id=MLA23207186&amp;picker=true" TargetMode="External"/><Relationship Id="rId96" Type="http://schemas.openxmlformats.org/officeDocument/2006/relationships/hyperlink" Target="https://listado.mercadolibre.com.ar/copas-por-12" TargetMode="External"/><Relationship Id="rId11" Type="http://schemas.openxmlformats.org/officeDocument/2006/relationships/hyperlink" Target="https://vondom.com.ar/collections/frigobares/products/frigobar-con-motor-compresor-negro-46-l" TargetMode="External"/><Relationship Id="rId99" Type="http://schemas.openxmlformats.org/officeDocument/2006/relationships/hyperlink" Target="https://articulo.mercadolibre.com.ar/MLA-2599580126-servilletas-de-tela-anti-manchas-35x35-cm-pack-x-200-_JM?searchVariation=187440812104" TargetMode="External"/><Relationship Id="rId10" Type="http://schemas.openxmlformats.org/officeDocument/2006/relationships/hyperlink" Target="https://www.mercadolibre.com.ar/ropero-vestidor-abierto-de-pino-120-mt/up/MLAU164433791" TargetMode="External"/><Relationship Id="rId98" Type="http://schemas.openxmlformats.org/officeDocument/2006/relationships/hyperlink" Target="https://articulo.mercadolibre.com.ar/MLA-678751436-repasador-guarda-francesa-ideal-gastronomia-x6-uni-100-alg-_JM?searchVariation=177138626079" TargetMode="External"/><Relationship Id="rId13" Type="http://schemas.openxmlformats.org/officeDocument/2006/relationships/hyperlink" Target="https://hidromasajesdeluxe.com.ar/jacuzzi-minimalista-180x120-deluxe-classic-eco-8-jets-blanco-rtid33BB5qdBmS/" TargetMode="External"/><Relationship Id="rId12" Type="http://schemas.openxmlformats.org/officeDocument/2006/relationships/hyperlink" Target="https://www.etiqueta-blanca.com/productos/alfombra-nordica-pelo-largo-city-blanco/?variant=1287135335&amp;pf=mc&amp;network=x&amp;campaign=23641558052&amp;group=&amp;creative=&amp;keyword=&amp;device=c&amp;matchtype=&amp;gad_source=1&amp;gad_campaignid=23646208465&amp;gbraid=0AAAAACKlB8PdEK40tf1KsPkmQ-NaG3JK8&amp;gclid=Cj0KCQjw0JnRBhDJARIsALobnXbum18zx6NgBDESAZMfDRjoRDmAA8No7O9CjOl-e-qJ01LU4gD13uQaAmVpEALw_wcB" TargetMode="External"/><Relationship Id="rId91" Type="http://schemas.openxmlformats.org/officeDocument/2006/relationships/hyperlink" Target="https://www.mercadolibre.com.ar/set-x5-coladores-con-asas-patagonia-home-para-cocina-facil/up/MLAU3914802621?pdp_filters=item_id:MLA1763055857" TargetMode="External"/><Relationship Id="rId90" Type="http://schemas.openxmlformats.org/officeDocument/2006/relationships/hyperlink" Target="https://www.mercadolibre.com.ar/batidor-manual-whiskspro-profesional-35-cm/p/MLA40610701" TargetMode="External"/><Relationship Id="rId93" Type="http://schemas.openxmlformats.org/officeDocument/2006/relationships/hyperlink" Target="https://www.mercadolibre.com.ar/escurridor-inoxidable-regulable-90cm-con-vasero-v1-pro-color-gris/p/MLA66312350?pdp_filters=item_id%3AMLA3020073510&amp;from=gshop&amp;matt_tool=99120742&amp;matt_word=&amp;matt_source=google&amp;matt_campaign_id=23390548556&amp;matt_ad_group_id=189479853823&amp;matt_match_type=&amp;matt_network=g&amp;matt_device=c&amp;matt_creative=789984778039&amp;matt_keyword=&amp;matt_ad_position=&amp;matt_ad_type=pla&amp;matt_merchant_id=735113679&amp;matt_product_id=MLA66312350-product&amp;matt_product_partition_id=2388858616448&amp;matt_target_id=aud-2430760955230:pla-2388858616448&amp;cq_src=google_ads&amp;cq_cmp=23390548556&amp;cq_net=g&amp;cq_plt=gp&amp;cq_med=pla&amp;gad_source=1&amp;gad_campaignid=23390548556&amp;gbraid=0AAAAAD01zQb9JGkop8gdygrFcthlrcbE_&amp;gclid=CjwKCAjw857RBhAgEiwAI-1yKChZDlaGxLXFKXZJvL75HlVL8EEI_RwiW9-cUGxMtjnDckbJzW-k4xoCbeEQAvD_BwE" TargetMode="External"/><Relationship Id="rId92" Type="http://schemas.openxmlformats.org/officeDocument/2006/relationships/hyperlink" Target="https://www.mercadolibre.com.ar/-bandeja-deposito-gastronomico-acero-inox-tapa-265-x-/p/MLA2043261774?pdp_filters=item_id:MLA3138651192" TargetMode="External"/><Relationship Id="rId118" Type="http://schemas.openxmlformats.org/officeDocument/2006/relationships/hyperlink" Target="https://www.mercadolibre.com.ar/mesa-de-reunion-coworking-para-mas-d-16-personas-ote-muebles/up/MLAU454172466?matt_tool=38087446&amp;utm_source=google_shopping&amp;utm_medium=organic&amp;pdp_filters=item_id%3AMLA1882420828&amp;from=gshop" TargetMode="External"/><Relationship Id="rId117" Type="http://schemas.openxmlformats.org/officeDocument/2006/relationships/hyperlink" Target="https://www.mercadolibre.com.ar/manta-polar-soft-big-teddy-150x200cm--ganga-home/up/MLAU3961929465" TargetMode="External"/><Relationship Id="rId116" Type="http://schemas.openxmlformats.org/officeDocument/2006/relationships/hyperlink" Target="https://www.sillasdf.com.ar/productos/set-milan/?_gl=1*1b1y642*_up*MQ..*_gs*MQ..&amp;gclid=CjwKCAjwuanRBhBSEiwAY5y6V_JwP0x9Ihw-yFMea7mdvBDJqIV0Y7jOk4-Gs5I1oLP5_MQ8OpsqqRoC3SgQAvD_BwE&amp;gbraid=0AAAAACz_5g6l83TPhqKtrToiKbzbNU22d" TargetMode="External"/><Relationship Id="rId115" Type="http://schemas.openxmlformats.org/officeDocument/2006/relationships/hyperlink" Target="https://www.mercadolibre.com.ar/matafuego-nuevo-abc-5kg--chapa-baliza-y-gancho--oblea/up/MLAU3062984653" TargetMode="External"/><Relationship Id="rId119" Type="http://schemas.openxmlformats.org/officeDocument/2006/relationships/hyperlink" Target="https://www.mercadolibre.com.ar/silla-oficina-escritorio-ergonomica-sillon-lumbar-ejecutivo-negro/p/MLA55267276?pdp_filters=item_id:MLA2341374910" TargetMode="External"/><Relationship Id="rId15" Type="http://schemas.openxmlformats.org/officeDocument/2006/relationships/hyperlink" Target="https://www.mariageshome.com.ar/productos/set-de-sabanas-100-algodon-egipcio-400-hilos-importadas-twin-size/?variant=1093853530" TargetMode="External"/><Relationship Id="rId110" Type="http://schemas.openxmlformats.org/officeDocument/2006/relationships/hyperlink" Target="https://thepinkchair.com.ar/product/silla-sq01-touch-cobre/" TargetMode="External"/><Relationship Id="rId14" Type="http://schemas.openxmlformats.org/officeDocument/2006/relationships/hyperlink" Target="https://rollermarket.com.ar/cortinas-a-medida/3747-cortina-a-medida.html?utm_term=&amp;utm_campaign=PMax+Roller+Market+-+Feed+%2B+terminos+ganadores+-+2026-05-27&amp;utm_source=adwords&amp;utm_medium=ppc&amp;hsa_acc=2750119346&amp;hsa_cam=23890145215&amp;hsa_grp=&amp;hsa_ad=&amp;hsa_src=x&amp;hsa_tgt=&amp;hsa_kw=&amp;hsa_mt=&amp;hsa_net=adwords&amp;hsa_ver=3&amp;gad_source=1&amp;gad_campaignid=23890165858&amp;gbraid=0AAAAACbpgpuddOhjM852-VjpY_9JU2xI0&amp;gclid=CjwKCAjw857RBhAgEiwAI-1yKHVWQ6KLf4XessEMeH4RspuUViQtOxPH0rcuLXHi-a5ZUwG94RAHQhoC2g4QAvD_BwE" TargetMode="External"/><Relationship Id="rId17" Type="http://schemas.openxmlformats.org/officeDocument/2006/relationships/hyperlink" Target="https://www.duvet.com.ar/productos/Almohada-DH-Hotel-Collection-Signature/" TargetMode="External"/><Relationship Id="rId16" Type="http://schemas.openxmlformats.org/officeDocument/2006/relationships/hyperlink" Target="https://www.mariageshome.com.ar/productos/set-de-sabanas-100-algodon-egipcio-400-hilos-importadas-king-size/" TargetMode="External"/><Relationship Id="rId19" Type="http://schemas.openxmlformats.org/officeDocument/2006/relationships/hyperlink" Target="https://www.mariageshome.com.ar/productos/duvet-edredon-de-pluma-ecologica-twin-hungarian-ecodown-importado-copia-sgz75/" TargetMode="External"/><Relationship Id="rId114" Type="http://schemas.openxmlformats.org/officeDocument/2006/relationships/hyperlink" Target="https://www.mercadolibre.com.ar/tapa-llave--luz-armada-sica-i--caja-soporte-blanco-x-1-pack/up/MLAU3220329142?picker=true&amp;quantity=1" TargetMode="External"/><Relationship Id="rId18" Type="http://schemas.openxmlformats.org/officeDocument/2006/relationships/hyperlink" Target="https://www.mariageshome.com.ar/productos/duvet-edredon-de-pluma-ecologica-king-hungarian-ecodown-importado-copia-jypit/" TargetMode="External"/><Relationship Id="rId113" Type="http://schemas.openxmlformats.org/officeDocument/2006/relationships/hyperlink" Target="https://www.mercadolibre.com.ar/lampara-colgante-lineal-de-techo-120cm-led-madera-cedro/up/MLAU341281847?pdp_filters=item_id%3AMLA1713299928&amp;from=gshop&amp;matt_tool=41779540&amp;matt_word=&amp;matt_source=google&amp;matt_campaign_id=23390548763&amp;matt_ad_group_id=189479891503&amp;matt_match_type=&amp;matt_network=g&amp;matt_device=c&amp;matt_creative=789984781591&amp;matt_keyword=&amp;matt_ad_position=&amp;matt_ad_type=pla&amp;matt_merchant_id=5354562760&amp;matt_product_id=MLAU341281847&amp;matt_product_partition_id=2387145049182&amp;matt_target_id=aud-2430760955230:pla-2387145049182&amp;cq_src=google_ads&amp;cq_cmp=23390548763&amp;cq_net=g&amp;cq_plt=gp&amp;cq_med=pla&amp;gad_source=1&amp;gad_campaignid=23390548763&amp;gbraid=0AAAAAD01zQYKwusXhsHtIuC4AO62rFfUr&amp;gclid=CjwKCAjw3ejRBhAdEiwADkqPn6j5872V1AOUecIFSFTLBkPG4KXR9-51RxCAXL9yfiZxurMGZi96DRoCtfYQAvD_BwE" TargetMode="External"/><Relationship Id="rId112" Type="http://schemas.openxmlformats.org/officeDocument/2006/relationships/hyperlink" Target="https://articulo.mercadolibre.com.ar/MLA-1143464075-mantel-cuadrado-150-x-150-mts-anti-manchas-restaurante-_JM?searchVariation=174685840184" TargetMode="External"/><Relationship Id="rId111" Type="http://schemas.openxmlformats.org/officeDocument/2006/relationships/hyperlink" Target="https://www.mercadolibre.com.ar/florero-conico-1-litros-ideal-velas-de-soja-o-centro-de-mesa/up/MLAU908198112?pdp_filters=seller_id%3A1658032265" TargetMode="External"/><Relationship Id="rId84" Type="http://schemas.openxmlformats.org/officeDocument/2006/relationships/hyperlink" Target="https://articulo.mercadolibre.com.ar/MLA-1446401101-set-cuchillos-chef-santoku-oficio-cocina-acero-kingsta-x6-_JM?matt_tool=99120742&amp;matt_word=&amp;matt_source=google&amp;matt_campaign_id=23390548556&amp;matt_ad_group_id=189479854783&amp;matt_match_type=&amp;matt_network=g&amp;matt_device=c&amp;matt_creative=789984778051&amp;matt_keyword=&amp;matt_ad_position=&amp;matt_ad_type=pla&amp;matt_merchant_id=330671405&amp;matt_product_id=MLA1446401101&amp;matt_product_partition_id=2388010495146&amp;matt_target_id=aud-2430760955230:pla-2388010495146&amp;cq_src=google_ads&amp;cq_cmp=23390548556&amp;cq_net=g&amp;cq_plt=gp&amp;cq_med=pla&amp;gad_source=1&amp;gad_campaignid=23390548556&amp;gbraid=0AAAAAD01zQb9JGkop8gdygrFcthlrcbE_&amp;gclid=CjwKCAjw857RBhAgEiwAI-1yKJxinKEGBYo8xQmKGWzQ6WH_UXE2L-N9eFwMlBVxz-Hl4a3LOnisoRoCDgQQAvD_BwE" TargetMode="External"/><Relationship Id="rId83" Type="http://schemas.openxmlformats.org/officeDocument/2006/relationships/hyperlink" Target="https://www.mercadolibre.com.ar/cuchillo-de-cocina-sakir-profesional-de-acero-damasco-con-mango-de-madera-para-chef/p/MLA60127107?pdp_filters=item_id:MLA2456347570" TargetMode="External"/><Relationship Id="rId86" Type="http://schemas.openxmlformats.org/officeDocument/2006/relationships/hyperlink" Target="https://www.mercadolibre.com.ar/bowl-ensaladera-acero-inoxidable-reposteria-x5/p/MLA58495995?pdp_filters=item_id:MLA1549789379" TargetMode="External"/><Relationship Id="rId85" Type="http://schemas.openxmlformats.org/officeDocument/2006/relationships/hyperlink" Target="https://www.mercadolibre.com.ar/tablas-de-cortar-en-acero-inoxidable-premium/up/MLAU3397583114?matt_tool=38087446&amp;utm_source=google_shopping&amp;utm_medium=organic&amp;pdp_filters=item_id%3AMLA1518331737&amp;from=gshop" TargetMode="External"/><Relationship Id="rId88" Type="http://schemas.openxmlformats.org/officeDocument/2006/relationships/hyperlink" Target="https://www.mercadolibre.com.ar/pinza-multiuso-parrillera-bnb-silicona-35cm-acero-inoxidable-plateado-negro/p/MLA57662033" TargetMode="External"/><Relationship Id="rId150" Type="http://schemas.openxmlformats.org/officeDocument/2006/relationships/hyperlink" Target="https://www.mercadolibre.com.ar/sillon-2-cuerpos-tapizado-160-m-dadaa-chenille-premium-a-eleccion/p/MLA45287624?pdp_filters=item_id%3AMLA1563055327&amp;from=gshop&amp;matt_tool=45201162&amp;matt_word=&amp;matt_source=google&amp;matt_campaign_id=23390548541&amp;matt_ad_group_id=189479840543&amp;matt_match_type=&amp;matt_network=g&amp;matt_device=c&amp;matt_creative=789984777247&amp;matt_keyword=&amp;matt_ad_position=&amp;matt_ad_type=pla&amp;matt_merchant_id=735078350&amp;matt_product_id=MLA45287624-product&amp;matt_product_partition_id=2388009772746&amp;matt_target_id=pla-2388009772746&amp;cq_src=google_ads&amp;cq_cmp=23390548541&amp;cq_net=g&amp;cq_plt=gp&amp;cq_med=pla&amp;gad_source=1&amp;gad_campaignid=23390548541&amp;gbraid=0AAAAAD01zQY3SI-ewIOzBmtJ7G0m7J3KS&amp;gclid=CjwKCAjw0dPRBhAPEiwAE5vTTlOzy1jN5MHR9qXjYoIW3w3YH2Uuj1hs0DSCNnd5MqU8fcXPgMqgihoCQSYQAvD_BwE" TargetMode="External"/><Relationship Id="rId87" Type="http://schemas.openxmlformats.org/officeDocument/2006/relationships/hyperlink" Target="https://www.mercadolibre.com.ar/espatulas-acero-inoxidable-cocina-trica--pack-x-2/up/MLAU3384051269?pdp_filters=item_id:MLA1517614743" TargetMode="External"/><Relationship Id="rId89" Type="http://schemas.openxmlformats.org/officeDocument/2006/relationships/hyperlink" Target="https://www.mercadolibre.com.ar/cucharon-gastronomico-reforzado-n16-aluminio-59-cm-almandoz/up/MLAU218089327?pdp_filters=item_id:MLA1146283702" TargetMode="External"/><Relationship Id="rId80" Type="http://schemas.openxmlformats.org/officeDocument/2006/relationships/hyperlink" Target="https://www.mercadolibre.com.ar/cacerola-aluminio-gastronomico-reforzado-n24-fiamaj-color-plateado/p/MLA54464759?pdp_filters=item_id%3AMLA2309782510&amp;from=gshop&amp;matt_tool=32095255&amp;matt_word=&amp;matt_source=google&amp;matt_campaign_id=23390548559&amp;matt_ad_group_id=189479852543&amp;matt_match_type=&amp;matt_network=g&amp;matt_device=c&amp;matt_creative=789984778222&amp;matt_keyword=&amp;matt_ad_position=&amp;matt_ad_type=pla&amp;matt_merchant_id=735078350&amp;matt_product_id=MLA54464759-product&amp;matt_product_partition_id=2389601385546&amp;matt_target_id=aud-2430760955230:pla-2389601385546&amp;cq_src=google_ads&amp;cq_cmp=23390548559&amp;cq_net=g&amp;cq_plt=gp&amp;cq_med=pla&amp;gad_source=1&amp;gad_campaignid=23390548559&amp;gbraid=0AAAAAD01zQb76B1_2CbQceUOASLqBNBRA&amp;gclid=CjwKCAjw857RBhAgEiwAI-1yKAe1CDFbBAHWvbsHZkpVPnG5KIjvLQt-s04sf4F_6aVwq9b_FxOjvxoCqyIQAvD_BwE" TargetMode="External"/><Relationship Id="rId82" Type="http://schemas.openxmlformats.org/officeDocument/2006/relationships/hyperlink" Target="https://tienda.elnuevoemporio.com.ar/tienda/asaderas/asadera-bandeja-fuente-enlozada-horno-parrilla-30x40x2-cm" TargetMode="External"/><Relationship Id="rId81" Type="http://schemas.openxmlformats.org/officeDocument/2006/relationships/hyperlink" Target="https://tienda.elnuevoemporio.com.ar/tienda/sartenes/sarten-profesional-de-chapa-hierro-28cm-con-mango-planchuela" TargetMode="External"/><Relationship Id="rId1" Type="http://schemas.openxmlformats.org/officeDocument/2006/relationships/comments" Target="../comments1.xml"/><Relationship Id="rId2" Type="http://schemas.openxmlformats.org/officeDocument/2006/relationships/hyperlink" Target="https://www.mercadolibre.com.ar/sommier-y-colchon-1-12-plaza100x190-bedtime-top-hotel-spa-gris/p/MLA61083247" TargetMode="External"/><Relationship Id="rId3" Type="http://schemas.openxmlformats.org/officeDocument/2006/relationships/hyperlink" Target="https://www.mercadolibre.com.ar/pillow-top-unificador-unir-colchones-200x190-hotel/up/MLAU449290682" TargetMode="External"/><Relationship Id="rId149" Type="http://schemas.openxmlformats.org/officeDocument/2006/relationships/hyperlink" Target="https://www.amazon.com/-/es/POOLCOMFT-hidromasaje-ajustable-antideslizante-accesorios/dp/B0FQ4QNJ61/ref=pd_sbs_d_sccl_1_7/140-8630331-0985036?pd_rd_w=h6CwC&amp;content-id=amzn1.sym.aa738fbd-ad05-4d11-aae2-04b598db6305&amp;pf_rd_p=aa738fbd-ad05-4d11-aae2-04b598db6305&amp;pf_rd_r=9N7EEBG12Y9PHW10KRPA&amp;pd_rd_wg=kztLY&amp;pd_rd_r=a33b6d74-4b81-4fd6-b0d6-7859e6498fed&amp;pd_rd_i=B0FQ4QNJ61&amp;th=1" TargetMode="External"/><Relationship Id="rId4" Type="http://schemas.openxmlformats.org/officeDocument/2006/relationships/hyperlink" Target="https://www.mariageshome.com.ar/productos/cubrecolchon-protector-ajustable-marca-espalma-twin-size-109dr/" TargetMode="External"/><Relationship Id="rId148" Type="http://schemas.openxmlformats.org/officeDocument/2006/relationships/hyperlink" Target="https://www.arredo.com.ar/dosificador-de-jabon-ceramica-neutro-824576504/p?idsku=21498&amp;utm_content=_&amp;gad_source=1&amp;gad_campaignid=23672689391&amp;gbraid=0AAAAADoCgLuiG0RyFIHeMa9CV_HRTrr4J&amp;gclid=CjwKCAjw9NjRBhATEiwA_p2J8ZjRonitWzPkVNC8VaeqddrBB3vnRVI_yAR2njhkEWIBmSzIq-5gBxoCY5oQAvD_BwE" TargetMode="External"/><Relationship Id="rId9" Type="http://schemas.openxmlformats.org/officeDocument/2006/relationships/hyperlink" Target="https://www.dantehogar.com.ar/productos/aplique-chalten/" TargetMode="External"/><Relationship Id="rId143" Type="http://schemas.openxmlformats.org/officeDocument/2006/relationships/hyperlink" Target="https://www.mercadolibre.com.ar/banco-para-vestuario-de-150m/up/MLAU3342579862?pdp_filters=seller_id%3A2538618621" TargetMode="External"/><Relationship Id="rId142" Type="http://schemas.openxmlformats.org/officeDocument/2006/relationships/hyperlink" Target="https://www.mercadolibre.com.ar/ropero-vestidor-de-pino-deck-80-abierto/up/MLAU339978193" TargetMode="External"/><Relationship Id="rId141" Type="http://schemas.openxmlformats.org/officeDocument/2006/relationships/hyperlink" Target="https://metroblanc.com.ar/producto/pantufla-hotel-de-toalla/?utm_term=&amp;utm_campaign=Compras+-+Shopping+Sales+Performance+28/6/23&amp;utm_source=adwords&amp;utm_medium=ppc&amp;hsa_acc=6513142586&amp;hsa_cam=20320539008&amp;hsa_grp=&amp;hsa_ad=&amp;hsa_src=x&amp;hsa_tgt=&amp;hsa_kw=&amp;hsa_mt=&amp;hsa_net=adwords&amp;hsa_ver=3&amp;gad_source=1&amp;gad_campaignid=20320543412&amp;gbraid=0AAAAAD6dP7HzzjQfRoqjjlCE_-YFzeoTb&amp;gclid=CjwKCAjw9NjRBhATEiwA_p2J8RvTnNpZm2eLGADl2aFaybN4FV9sOMZV0XxiLy2hWCwgdEJC3JxU1BoCRIkQAvD_BwE" TargetMode="External"/><Relationship Id="rId140" Type="http://schemas.openxmlformats.org/officeDocument/2006/relationships/hyperlink" Target="https://metroblanc.com.ar/producto/pantufla-hotel-de-toalla/?utm_term=&amp;utm_campaign=Compras+-+Shopping+Sales+Performance+28/6/23&amp;utm_source=adwords&amp;utm_medium=ppc&amp;hsa_acc=6513142586&amp;hsa_cam=20320539008&amp;hsa_grp=&amp;hsa_ad=&amp;hsa_src=x&amp;hsa_tgt=&amp;hsa_kw=&amp;hsa_mt=&amp;hsa_net=adwords&amp;hsa_ver=3&amp;gad_source=1&amp;gad_campaignid=20320543412&amp;gbraid=0AAAAAD6dP7HzzjQfRoqjjlCE_-YFzeoTb&amp;gclid=CjwKCAjw9NjRBhATEiwA_p2J8RvTnNpZm2eLGADl2aFaybN4FV9sOMZV0XxiLy2hWCwgdEJC3JxU1BoCRIkQAvD_BwE" TargetMode="External"/><Relationship Id="rId5" Type="http://schemas.openxmlformats.org/officeDocument/2006/relationships/hyperlink" Target="https://www.mariageshome.com.ar/productos/cubrecolchon-protector-ajustable-marca-espalma-king-size-1te0q/" TargetMode="External"/><Relationship Id="rId147" Type="http://schemas.openxmlformats.org/officeDocument/2006/relationships/hyperlink" Target="https://somosrex.com/set-de-escobilla-y-cesto-de-basura-negro-mate-3l.html?utm_source=rexpipol&amp;utm_medium=gperformancemaxpipol&amp;utm_campaign=performancemaxaopmax&amp;gad_source=1&amp;gad_campaignid=21702714145&amp;gbraid=0AAAAAD1uH0eZ0Fe836xSN3DRa87fbKH0O&amp;gclid=CjwKCAjwxb7RBhA5EiwAQ-AAdHFK-XTYylt2MiS14_vXtHhK9b01LjBd1q3PWVVFFArC4X89O-2gcxoCCRsQAvD_BwE" TargetMode="External"/><Relationship Id="rId6" Type="http://schemas.openxmlformats.org/officeDocument/2006/relationships/hyperlink" Target="https://www.selvadebohemia.com.ar/productos/cubre-sommier-elastizado/?variant=544559900&amp;pf=mc&amp;gad_source=1&amp;gad_campaignid=22173999056&amp;gbraid=0AAAAA-sGJmj-cPlDRiwaSc4jmpbyd-wyQ&amp;gclid=CjwKCAjwxb7RBhA5EiwAQ-AAdB9EwwQD_ObNCjwrKx3EfFKn91sUidrn0uV-XQ301bblBUavyDc9NhoCG1IQAvD_BwE" TargetMode="External"/><Relationship Id="rId146" Type="http://schemas.openxmlformats.org/officeDocument/2006/relationships/hyperlink" Target="https://www.mercadolibre.com.ar/porta-rollo-soporte-papel-higienico-con-adhesivo-sin-perforacion-portarrollo-acero-inoxidable-2-posiciones-levys-bazar-color-plateado-accesorio-bano/p/MLA47405665?pdp_filters=item_id%3AMLA2143435272&amp;from=gshop&amp;matt_tool=99120742&amp;matt_word=&amp;matt_source=google&amp;matt_campaign_id=23390548556&amp;matt_ad_group_id=189479849503&amp;matt_match_type=&amp;matt_network=g&amp;matt_device=c&amp;matt_creative=789984777985&amp;matt_keyword=&amp;matt_ad_position=&amp;matt_ad_type=pla&amp;matt_merchant_id=735078350&amp;matt_product_id=MLA47405665-product&amp;matt_product_partition_id=2390507433038&amp;matt_target_id=pla-2390507433038&amp;cq_src=google_ads&amp;cq_cmp=23390548556&amp;cq_net=g&amp;cq_plt=gp&amp;cq_med=pla&amp;gad_source=1&amp;gad_campaignid=23390548556&amp;gbraid=0AAAAAD01zQZrtsKDsZMbUrqI8UYuE2HDz&amp;gclid=CjwKCAjw9NjRBhATEiwA_p2J8TQKDvbDcoh_BaMjiCZx6KAIwpPh_y4vDEuhhgshTKNV0_jg5zeDARoC4pcQAvD_BwE" TargetMode="External"/><Relationship Id="rId7" Type="http://schemas.openxmlformats.org/officeDocument/2006/relationships/hyperlink" Target="https://www.mercadolibre.com.ar/barril-mesa-vintage-de-madera-premium-factoria-studio/up/MLAU181172002" TargetMode="External"/><Relationship Id="rId145" Type="http://schemas.openxmlformats.org/officeDocument/2006/relationships/hyperlink" Target="https://www.mercadolibre.com.ar/vanitory-colgante-50cm-nordico-bacha--griferia--espejo/up/MLAU3864870566" TargetMode="External"/><Relationship Id="rId8" Type="http://schemas.openxmlformats.org/officeDocument/2006/relationships/hyperlink" Target="https://www.mercadolibre.com.ar/mesa-de-luz-paparulo-muebles-auxiliares-melamina-60x40x30-cm-color-atakama-x2/p/MLA53360401?product_trigger_id=MLA53297574&amp;pdp_filters=item_id%3AMLA3280208240&amp;applied_product_filters=MLA55894029&amp;picker=true&amp;quantity=1" TargetMode="External"/><Relationship Id="rId144" Type="http://schemas.openxmlformats.org/officeDocument/2006/relationships/hyperlink" Target="https://www.blaisten.com.ar/sanitario-one-piece-moon/p" TargetMode="External"/><Relationship Id="rId73" Type="http://schemas.openxmlformats.org/officeDocument/2006/relationships/hyperlink" Target="https://www.gastroquil.com/productos/campana-de-cocina-tst-puelo-90-cm-de-pared/" TargetMode="External"/><Relationship Id="rId72" Type="http://schemas.openxmlformats.org/officeDocument/2006/relationships/hyperlink" Target="https://www.gastroquil.com/productos/estanteria-ajustable-sikla-180-x-53-x-180-5-estantes/" TargetMode="External"/><Relationship Id="rId75" Type="http://schemas.openxmlformats.org/officeDocument/2006/relationships/hyperlink" Target="https://www.gastroquil.com/productos/multiprocesadora-moretti-vc65-5-discos-copia/" TargetMode="External"/><Relationship Id="rId74" Type="http://schemas.openxmlformats.org/officeDocument/2006/relationships/hyperlink" Target="https://www.mercadolibre.com.ar/extractor-direccional-motor-exterior-campana-cocina-6-15-cm/up/MLAU261144535?pdp_filters=item_id:MLA1384014792" TargetMode="External"/><Relationship Id="rId77" Type="http://schemas.openxmlformats.org/officeDocument/2006/relationships/hyperlink" Target="https://www.mercadolibre.com.ar/microondas-empotrable-ariston-mp-776-ix-a-40l-grill-acero-inoxidable/p/MLA18230761" TargetMode="External"/><Relationship Id="rId76" Type="http://schemas.openxmlformats.org/officeDocument/2006/relationships/hyperlink" Target="https://www.gastroquil.com/productos/batidora-planetaria-moretti-dynamix-10/" TargetMode="External"/><Relationship Id="rId79" Type="http://schemas.openxmlformats.org/officeDocument/2006/relationships/hyperlink" Target="https://www.mercadolibre.com.ar/cacerola-aluminio-gastronomico-reforzado-n30-fiamaj/up/MLAU601204511?pdp_filters=item_id%3AMLA1889877756&amp;from=gshop&amp;matt_tool=99120742&amp;matt_word=&amp;matt_source=google&amp;matt_campaign_id=23390548556&amp;matt_ad_group_id=189479852383&amp;matt_match_type=&amp;matt_network=g&amp;matt_device=c&amp;matt_creative=789984778021&amp;matt_keyword=&amp;matt_ad_position=&amp;matt_ad_type=pla&amp;matt_merchant_id=5365165443&amp;matt_product_id=MLAU601204511&amp;matt_product_partition_id=2388009210146&amp;matt_target_id=aud-2430760955230:pla-2388009210146&amp;cq_src=google_ads&amp;cq_cmp=23390548556&amp;cq_net=g&amp;cq_plt=gp&amp;cq_med=pla&amp;gad_source=1&amp;gad_campaignid=23390548556&amp;gbraid=0AAAAAD01zQb9JGkop8gdygrFcthlrcbE_&amp;gclid=CjwKCAjw857RBhAgEiwAI-1yKMDnN8zcmXWR1ShmIYfcVb4d-HPwD8oEmr5JyH8qZCx8TtoPgK10cRoCvesQAvD_BwE" TargetMode="External"/><Relationship Id="rId78" Type="http://schemas.openxmlformats.org/officeDocument/2006/relationships/hyperlink" Target="https://www.mercadolibre.com.ar/balanza-moretti-lap-15kg-blanco/p/MLA10866348" TargetMode="External"/><Relationship Id="rId71" Type="http://schemas.openxmlformats.org/officeDocument/2006/relationships/hyperlink" Target="https://www.mercadolibre.com.ar/mesada-gastronomica-con-doble-bacha-190mts-acero-inoxidable/up/MLAU3724458302" TargetMode="External"/><Relationship Id="rId70" Type="http://schemas.openxmlformats.org/officeDocument/2006/relationships/hyperlink" Target="https://www.gastroquil.com/productos/mesada-gastronomica-fineschi-legitima-150-cm-con-estante-sin-zocalo/" TargetMode="External"/><Relationship Id="rId139" Type="http://schemas.openxmlformats.org/officeDocument/2006/relationships/hyperlink" Target="https://lbh.com.ar/productos/bata-de-toalla-marca-arcoiris-color-blanca/" TargetMode="External"/><Relationship Id="rId138" Type="http://schemas.openxmlformats.org/officeDocument/2006/relationships/hyperlink" Target="https://metroblanc.com.ar/producto/bata-de-bano-luxury-velour-blanca-100-algodon/" TargetMode="External"/><Relationship Id="rId137" Type="http://schemas.openxmlformats.org/officeDocument/2006/relationships/hyperlink" Target="https://metroblanc.com.ar/producto/bata-de-bano-luxury-velour-blanca-100-algodon/" TargetMode="External"/><Relationship Id="rId132" Type="http://schemas.openxmlformats.org/officeDocument/2006/relationships/hyperlink" Target="https://www.mercadolibre.com.ar/humidificador-ultrasonico-difusor-aromatizador-130ml-kjr-036-color-marron-claro/p/MLA68732193?pdp_filters=item_id:MLA3409761940&amp;matt_tool=36755341&amp;matt_internal_campaign_id=312307971&amp;matt_word=&amp;matt_source=google&amp;matt_campaign_id=22943760643&amp;matt_ad_group_id=185831388712&amp;matt_match_type=&amp;matt_network=g&amp;matt_device=c&amp;matt_creative=773627063903&amp;matt_keyword=&amp;matt_ad_position=&amp;matt_ad_type=pla&amp;matt_merchant_id=255134314&amp;matt_product_id=MLA3409761940&amp;matt_product_partition_id=2424390986595&amp;matt_target_id=pla-2424390986595&amp;cq_src=google_ads&amp;cq_cmp=22943760643&amp;cq_net=g&amp;cq_plt=gp&amp;cq_med=pla&amp;gad_source=1&amp;gad_campaignid=22943760643&amp;gbraid=0AAAAAD01zQZLT0cSxSA5eQ3GUMxA-rEOz&amp;gclid=CjwKCAjw9NjRBhATEiwA_p2J8ROM3WIgPrO2jDrWYDAwIlWUzETvmDfLTx2xJqCWjRKfkn7mYJDueBoCEgcQAvD_BwE" TargetMode="External"/><Relationship Id="rId131" Type="http://schemas.openxmlformats.org/officeDocument/2006/relationships/hyperlink" Target="https://www.jbl.com.ar/JBLGOESBLKAM.html?gad_source=1&amp;gad_campaignid=23657942614&amp;gbraid=0AAAAAofePV1a8OSbdZHIjE9edyYqHYAMF&amp;gclid=CjwKCAjw6MPRBhBTEiwAd-7Mr2h9zPkbwES_FEtJk-4fK1lV__UU7GNxqI6XRr70MedRD3UOvwVd5hoC220QAvD_BwE" TargetMode="External"/><Relationship Id="rId130" Type="http://schemas.openxmlformats.org/officeDocument/2006/relationships/hyperlink" Target="https://www.mercadolibre.com.ar/aire-acondicionado-hisense-split-frio-calor-4472-frigorias/p/MLA36962630?pdp_filters=item_id%3AMLA2239341698&amp;from=gshop&amp;matt_tool=80761995&amp;matt_word=&amp;matt_source=google&amp;matt_campaign_id=23390548961&amp;matt_ad_group_id=189479918543&amp;matt_match_type=&amp;matt_network=g&amp;matt_device=c&amp;matt_creative=789984784519&amp;matt_keyword=&amp;matt_ad_position=&amp;matt_ad_type=pla&amp;matt_merchant_id=735078350&amp;matt_product_id=MLA36962630-product&amp;matt_product_partition_id=2455352449135&amp;matt_target_id=aud-1965625651133:pla-2455352449135&amp;cq_src=google_ads&amp;cq_cmp=23390548961&amp;cq_net=g&amp;cq_plt=gp&amp;cq_med=pla&amp;gad_source=1&amp;gad_campaignid=23390548961&amp;gbraid=0AAAAAD01zQbqdfgbP8P0ZzJfKpsUQFJie&amp;gclid=CjwKCAjw857RBhAgEiwAI-1yKEx5cQNgRMCGKjwRl3JN7xCh_V5dz8pe3eyRk-Sm5z8ANqDNISbfLBoCVekQAvD_BwE" TargetMode="External"/><Relationship Id="rId136" Type="http://schemas.openxmlformats.org/officeDocument/2006/relationships/hyperlink" Target="https://metroblanc.com.ar/producto/bata-de-bano-luxury-velour-blanca-100-algodon/" TargetMode="External"/><Relationship Id="rId135" Type="http://schemas.openxmlformats.org/officeDocument/2006/relationships/hyperlink" Target="https://www.oregonhotel.com.ar/productos/set-x-6-toalla-y-toallon-standard-450-grs-m2/" TargetMode="External"/><Relationship Id="rId134" Type="http://schemas.openxmlformats.org/officeDocument/2006/relationships/hyperlink" Target="https://www.mercadolibre.com.ar/llave-de-luz-dimmer-regulador-de-embutir-sica-life-300w/up/MLAU312643874" TargetMode="External"/><Relationship Id="rId133" Type="http://schemas.openxmlformats.org/officeDocument/2006/relationships/hyperlink" Target="https://www.neabeautytools.com/product-page/carro-auxiliar-estetico-4-estantes-con-ruedas-organizador-profesional?utm_source=google&amp;utm_medium=wix_google_feed&amp;utm_campaign=freelistings" TargetMode="External"/><Relationship Id="rId62" Type="http://schemas.openxmlformats.org/officeDocument/2006/relationships/hyperlink" Target="https://www.gastroquil.com/productos/cocina-industrial-brafh-1045-6-hornallas/" TargetMode="External"/><Relationship Id="rId61" Type="http://schemas.openxmlformats.org/officeDocument/2006/relationships/hyperlink" Target="https://www.mercadolibre.com.ar/aspiradora-de-tacho-para-el-hogar-o-la-oficina-15-l-snpe-2008-1300w-color-plateado-suono/p/MLA34004845?pdp_filters=item_id:MLA2211054382" TargetMode="External"/><Relationship Id="rId64" Type="http://schemas.openxmlformats.org/officeDocument/2006/relationships/hyperlink" Target="https://www.mercadolibre.com.ar/parrilla-duomo-tromen-fogon-accesorios-asador-estaca-color-negro/p/MLA15234407?pdp_filters=item_id%3AMLA2194622848&amp;from=gshop&amp;matt_tool=99120742&amp;matt_word=&amp;matt_source=google&amp;matt_campaign_id=23390548556&amp;matt_ad_group_id=189479851663&amp;matt_match_type=&amp;matt_network=g&amp;matt_device=c&amp;matt_creative=789984778012&amp;matt_keyword=&amp;matt_ad_position=&amp;matt_ad_type=pla&amp;matt_merchant_id=735114561&amp;matt_product_id=MLA15234407-product&amp;matt_product_partition_id=2454318722597&amp;matt_target_id=aud-2430760955230:pla-2454318722597&amp;cq_src=google_ads&amp;cq_cmp=23390548556&amp;cq_net=g&amp;cq_plt=gp&amp;cq_med=pla&amp;gad_source=1&amp;gad_campaignid=23390548556&amp;gbraid=0AAAAAD01zQb9JGkop8gdygrFcthlrcbE_&amp;gclid=CjwKCAjw857RBhAgEiwAI-1yKPqvxHc8nXIg_1o2fzotmaPZ5A1-R22o1KYno-E6j7eanEaUYUh27RoCYfUQAvD_BwE" TargetMode="External"/><Relationship Id="rId63" Type="http://schemas.openxmlformats.org/officeDocument/2006/relationships/hyperlink" Target="https://www.gastroquil.com/productos/horno-convector-brafh-hc-910-con-base/" TargetMode="External"/><Relationship Id="rId66" Type="http://schemas.openxmlformats.org/officeDocument/2006/relationships/hyperlink" Target="https://www.gastroquil.com/productos/heladera-mostrador-bajo-mesada-teora-4-puertas/" TargetMode="External"/><Relationship Id="rId172" Type="http://schemas.openxmlformats.org/officeDocument/2006/relationships/hyperlink" Target="https://www.mercadolibre.com.ar/cartel-evacuacion-salida-10x30-flecha-10x10-senal-x10-u/up/MLAU3713811758" TargetMode="External"/><Relationship Id="rId65" Type="http://schemas.openxmlformats.org/officeDocument/2006/relationships/hyperlink" Target="https://www.mercadolibre.com.ar/horno-de-calor-envolvente-tromen-tango-de-mesada-a-lena/p/MLA29743376" TargetMode="External"/><Relationship Id="rId171" Type="http://schemas.openxmlformats.org/officeDocument/2006/relationships/hyperlink" Target="https://www.mercadolibre.com.ar/pack-de-10-sensor-detector-de-humo-autonomo-fotoelectrico/up/MLAU3322837342?pdp_filters=item_id%3AMLA2198583708&amp;from=gshop&amp;matt_tool=74855370&amp;matt_word=&amp;matt_source=google&amp;matt_campaign_id=23390548772&amp;matt_ad_group_id=189479892703&amp;matt_match_type=&amp;matt_network=g&amp;matt_device=c&amp;matt_creative=789984781654&amp;matt_keyword=&amp;matt_ad_position=&amp;matt_ad_type=pla&amp;matt_merchant_id=5306642239&amp;matt_product_id=MLAU3322837342&amp;matt_product_partition_id=2455354001655&amp;matt_target_id=aud-2418879895625:pla-2455354001655&amp;cq_src=google_ads&amp;cq_cmp=23390548772&amp;cq_net=g&amp;cq_plt=gp&amp;cq_med=pla&amp;gad_source=1&amp;gad_campaignid=23390548772&amp;gbraid=0AAAAAD01zQaQE8v8oSlwK19SqrZo8dDX5&amp;gclid=Cj0KCQjwi8nRBhDhARIsAHZf_pbdt-UYev3quEkICpJAlWYX0qvD8odjS-yIF3EwB_Uqbn7WLsEo1FkaAj4sEALw_wcB" TargetMode="External"/><Relationship Id="rId68" Type="http://schemas.openxmlformats.org/officeDocument/2006/relationships/hyperlink" Target="https://www.gastroquil.com/productos/freezer-horizontal-ciego-inelro-fih-1200-3-tapas/" TargetMode="External"/><Relationship Id="rId170" Type="http://schemas.openxmlformats.org/officeDocument/2006/relationships/hyperlink" Target="https://www.mercadolibre.com.ar/matafuego-drago-clase-k-de-6-litros-con-carga/up/MLAU351660400" TargetMode="External"/><Relationship Id="rId67" Type="http://schemas.openxmlformats.org/officeDocument/2006/relationships/hyperlink" Target="https://www.gastroquil.com/productos/heladera-exhibidora-vertical-teora-tev-375-1-puerta-313-lts/" TargetMode="External"/><Relationship Id="rId60" Type="http://schemas.openxmlformats.org/officeDocument/2006/relationships/hyperlink" Target="https://www.mercadolibre.com.ar/cesto-residuos-plastico-con-ruedas-120-lts-tacho-contenedor/up/MLAU3665013111" TargetMode="External"/><Relationship Id="rId165" Type="http://schemas.openxmlformats.org/officeDocument/2006/relationships/hyperlink" Target="https://www.raxtent.com/products/raxtent-18m-mixed-dome-house-for-restaurant-and-event-space?variant=42847133368431" TargetMode="External"/><Relationship Id="rId69" Type="http://schemas.openxmlformats.org/officeDocument/2006/relationships/hyperlink" Target="https://www.gastroquil.com/productos/heladera-armario-almacenera-bestcold-2-puertas-rejillas-de-metal/" TargetMode="External"/><Relationship Id="rId164" Type="http://schemas.openxmlformats.org/officeDocument/2006/relationships/hyperlink" Target="https://caede.com.ar/costos-construccion/costo-construccion-neuquen/" TargetMode="External"/><Relationship Id="rId163" Type="http://schemas.openxmlformats.org/officeDocument/2006/relationships/hyperlink" Target="https://www.raxtent.com/products/raxdome-6x16m-oval-glass-dome-house-pod-for-glamping-cabin-with-insulated-panels?variant=43180126732399" TargetMode="External"/><Relationship Id="rId162" Type="http://schemas.openxmlformats.org/officeDocument/2006/relationships/hyperlink" Target="https://www.raxtent.com/products/10m-wooden-glass-dome-for-glamping-hotel-and-reception-dome" TargetMode="External"/><Relationship Id="rId169" Type="http://schemas.openxmlformats.org/officeDocument/2006/relationships/hyperlink" Target="https://www.mercadolibre.com.ar/matafuego-nuevo-abc-5kg--chapa-baliza-y-gancho--oblea/up/MLAU3062984653" TargetMode="External"/><Relationship Id="rId168" Type="http://schemas.openxmlformats.org/officeDocument/2006/relationships/hyperlink" Target="https://www.motivar.com.ar/produccion-agropecuaria/el-inta-informo-cuanto-cuesta-el-metro-alambrado-rural-2026-n5335319" TargetMode="External"/><Relationship Id="rId167" Type="http://schemas.openxmlformats.org/officeDocument/2006/relationships/hyperlink" Target="https://www.mercadolibre.com.ar/tanque-agua-tricapa-vertical-10000-litros-waterplast-color-c/up/MLAU3510293172" TargetMode="External"/><Relationship Id="rId166" Type="http://schemas.openxmlformats.org/officeDocument/2006/relationships/hyperlink" Target="https://granperforista.ar/agua/pozos-de-agua/perforaciones/precios/" TargetMode="External"/><Relationship Id="rId51" Type="http://schemas.openxmlformats.org/officeDocument/2006/relationships/hyperlink" Target="https://articulo.mercadolibre.com.ar/MLA-1638198833-lampara-led-colgante-minimalista-42w-luz-fria-calida-1-metro-_JM?matt_tool=41779540&amp;matt_word=&amp;matt_source=google&amp;matt_campaign_id=23390548763&amp;matt_ad_group_id=189479891463&amp;matt_match_type=&amp;matt_network=g&amp;matt_device=c&amp;matt_creative=789984781588&amp;matt_keyword=&amp;matt_ad_position=&amp;matt_ad_type=pla&amp;matt_merchant_id=764319377&amp;matt_product_id=MLA1638198833&amp;matt_product_partition_id=2387145049142&amp;matt_target_id=aud-2430760955230:pla-2387145049142&amp;cq_src=google_ads&amp;cq_cmp=23390548763&amp;cq_net=g&amp;cq_plt=gp&amp;cq_med=pla&amp;gad_source=1&amp;gad_campaignid=23390548763&amp;gbraid=0AAAAAD01zQYKwusXhsHtIuC4AO62rFfUr&amp;gclid=CjwKCAjw3ejRBhAdEiwADkqPn0LrWUWFuAmjyoa53e7qYDH_tQoLiNHRWfoJp7fjy-IVYXTMBK4DyhoChY0QAvD_BwE" TargetMode="External"/><Relationship Id="rId50" Type="http://schemas.openxmlformats.org/officeDocument/2006/relationships/hyperlink" Target="https://www.mercadolibre.com.ar/impresora-multifuncion-a-color-epson-l6490-con-wifi/p/MLA44117754?pdp_filters=item_id:MLA2050604384" TargetMode="External"/><Relationship Id="rId53" Type="http://schemas.openxmlformats.org/officeDocument/2006/relationships/hyperlink" Target="https://articulo.mercadolibre.com.ar/MLA-1848238399-software-gestion-hotelera-cabanas-posada-hostales-hospedajes-_JM" TargetMode="External"/><Relationship Id="rId52" Type="http://schemas.openxmlformats.org/officeDocument/2006/relationships/hyperlink" Target="https://www.mercadolibre.com.ar/tapa-llave--luz-armada-sica-i--caja-soporte-blanco-x-1-pack/up/MLAU3220329142?picker=true&amp;quantity=1" TargetMode="External"/><Relationship Id="rId55" Type="http://schemas.openxmlformats.org/officeDocument/2006/relationships/hyperlink" Target="https://www.mercadolibre.com.ar/mesa-ratona-pata-elefante-pesada-patinada-tipo-campo/up/MLAU124176028?pdp_filters=item_id:MLA1155451883" TargetMode="External"/><Relationship Id="rId161" Type="http://schemas.openxmlformats.org/officeDocument/2006/relationships/hyperlink" Target="https://yurtas.com.ar/yurtas-y-precios" TargetMode="External"/><Relationship Id="rId54" Type="http://schemas.openxmlformats.org/officeDocument/2006/relationships/hyperlink" Target="https://www.mercadolibre.com.ar/exhibidor-de-vino-botellero-bodega-hierro-cava/up/MLAU126386688" TargetMode="External"/><Relationship Id="rId160" Type="http://schemas.openxmlformats.org/officeDocument/2006/relationships/hyperlink" Target="https://yurtas.com.ar/yurtas-y-precios" TargetMode="External"/><Relationship Id="rId57" Type="http://schemas.openxmlformats.org/officeDocument/2006/relationships/hyperlink" Target="https://www.mercadolibre.com.ar/cartel-tallado-madera-personalizado-negocio-cabana-quinta/up/MLAU186075379" TargetMode="External"/><Relationship Id="rId56" Type="http://schemas.openxmlformats.org/officeDocument/2006/relationships/hyperlink" Target="https://www.mercadolibre.com.ar/sillon-herradura-poltronas--individual--ideal-consultorio/up/MLAU3946784898" TargetMode="External"/><Relationship Id="rId159" Type="http://schemas.openxmlformats.org/officeDocument/2006/relationships/hyperlink" Target="https://yurtas.com.ar/yurtas-y-precios" TargetMode="External"/><Relationship Id="rId59" Type="http://schemas.openxmlformats.org/officeDocument/2006/relationships/hyperlink" Target="https://dilpex.com.ar/ficha-32-carro-de-limpieza-multiservicios-portaelementos-con-bolsa-hotelero?srsltid=AfmBOopOqF3WB5rZ93tkAATwR-iyvOQCs5LhMqYy8heEVIOuqRAKIVmW" TargetMode="External"/><Relationship Id="rId154" Type="http://schemas.openxmlformats.org/officeDocument/2006/relationships/hyperlink" Target="https://www.mercadolibre.com.ar/lampara-spot-aplique-barral-cabezal-movil-techo-riel-slim-4-luces-apto-led-gu10-estructura-negro-gioluce/p/MLA30604721" TargetMode="External"/><Relationship Id="rId58" Type="http://schemas.openxmlformats.org/officeDocument/2006/relationships/hyperlink" Target="https://aguirrezabala.com.ar/products/bgh-silent-air-bsh65wcu-blanco?gad_source=1&amp;gad_campaignid=23830000239&amp;gbraid=0AAAABCpCTchEXM3rrZ2EPSOaE0_Ug0DqF&amp;gclid=CjwKCAjwuanRBhBSEiwAY5y6VzvwfuoWijNYCaLNODev9wIg7gRfXdgpC-JE_V14tyvRhKZh8n17OBoC4D0QAvD_BwE" TargetMode="External"/><Relationship Id="rId153" Type="http://schemas.openxmlformats.org/officeDocument/2006/relationships/hyperlink" Target="https://www.mercadolibre.com.ar/mesa-ratona-gervasoni-linea-nordica-madera-60cm-encerada/up/MLAU3306262372" TargetMode="External"/><Relationship Id="rId152" Type="http://schemas.openxmlformats.org/officeDocument/2006/relationships/hyperlink" Target="https://www.mercadolibre.com.ar/alfombra-redonda-de-yute-natura-lisa-60cm--living-bensur/up/MLAU3643774016" TargetMode="External"/><Relationship Id="rId151" Type="http://schemas.openxmlformats.org/officeDocument/2006/relationships/hyperlink" Target="https://www.mercadolibre.com.ar/meso-de-tronco-ratona/up/MLAU331153721" TargetMode="External"/><Relationship Id="rId158" Type="http://schemas.openxmlformats.org/officeDocument/2006/relationships/hyperlink" Target="https://www.magnoliasdeco.com.ar/productos/perchero-con-estante/?variant=610536765&amp;pf=mc&amp;gad_source=1&amp;gad_campaignid=23839063191&amp;gbraid=0AAAAA9iqQ9OhSIBGoeB0oZ4NJ_LQVRts5&amp;gclid=CjwKCAjw6MPRBhBTEiwAd-7MrwwOoahgETpynaqm_dyM2GVL9GOms_FjeAU9vRCttkUYq6bWm4EweRoCKPcQAvD_BwE" TargetMode="External"/><Relationship Id="rId157" Type="http://schemas.openxmlformats.org/officeDocument/2006/relationships/hyperlink" Target="https://tienda.viveromario.com.ar/productos/areca1/" TargetMode="External"/><Relationship Id="rId156" Type="http://schemas.openxmlformats.org/officeDocument/2006/relationships/hyperlink" Target="https://articulo.mercadolibre.com.ar/MLA-1288017941-maceta-rotomoldeada-plastica-decorativa-rustica-inca-40cm-_JM?searchVariation=176204304602&amp;gallery_type=horizontal&amp;sizeForPhoto=416&amp;pdp_filters=official_store%3A63248" TargetMode="External"/><Relationship Id="rId155" Type="http://schemas.openxmlformats.org/officeDocument/2006/relationships/hyperlink" Target="https://www.mercadolibre.com.ar/florero-bandeja-ovalada-set-centro-decoracion-nordico-modern/up/MLAU3794324690" TargetMode="External"/></Relationships>
</file>

<file path=xl/worksheets/_rels/sheet2.xml.rels><?xml version="1.0" encoding="UTF-8" standalone="yes"?><Relationships xmlns="http://schemas.openxmlformats.org/package/2006/relationships"><Relationship Id="rId10" Type="http://schemas.openxmlformats.org/officeDocument/2006/relationships/vmlDrawing" Target="../drawings/vmlDrawing2.vml"/><Relationship Id="rId1" Type="http://schemas.openxmlformats.org/officeDocument/2006/relationships/comments" Target="../comments2.xml"/><Relationship Id="rId2" Type="http://schemas.openxmlformats.org/officeDocument/2006/relationships/hyperlink" Target="https://www.neuquen.gob.ar/financiamiento/wp-content/uploads/2024/09/Neuquen-Cadenas-de-Valor.pdf" TargetMode="External"/><Relationship Id="rId3" Type="http://schemas.openxmlformats.org/officeDocument/2006/relationships/hyperlink" Target="https://docs.google.com/document/d/1nJRvVSi2Wd9tHC6rMJ4QjoQlAe5BD6u5SUzVG0OKVhU/edit?usp=sharing" TargetMode="External"/><Relationship Id="rId4" Type="http://schemas.openxmlformats.org/officeDocument/2006/relationships/hyperlink" Target="https://www.zonaprop.com.ar/propiedades/clasificado/veclcain-excelente-casa-quinta-con-piscina-en-san-vicente!-54773160.html?n_src=Listado&amp;n_pills=Dormitorio+en+suite&amp;n_pg=1&amp;n_pos=5&amp;n_search_id=f5efa73c-d6f4-47cc-97db-8629f9dac115&amp;utm_source=share&amp;utm_medium=copyLink&amp;utm_campaign=property_sharen_src=Listado&amp;n_pills=Dormitorio+en+suite&amp;n_pg=1&amp;n_pos=5&amp;n_search_id=f5efa73c-d6f4-47cc-97db-8629f9dac115&amp;utm_source=share&amp;utm_medium=copyLink&amp;utm_campaign=property_share" TargetMode="External"/><Relationship Id="rId9" Type="http://schemas.openxmlformats.org/officeDocument/2006/relationships/drawing" Target="../drawings/drawing2.xml"/><Relationship Id="rId5" Type="http://schemas.openxmlformats.org/officeDocument/2006/relationships/hyperlink" Target="https://www.argenprop.com/departamento-en-venta-en-plaza-colon-2-ambientes--7956391" TargetMode="External"/><Relationship Id="rId6" Type="http://schemas.openxmlformats.org/officeDocument/2006/relationships/hyperlink" Target="https://inmueble.mercadolibre.com.ar/MLA-2250577824-venta-ph-4-ambientes-luminoso-con-terraza-villa-urquiza-parque-chas-_JM" TargetMode="External"/><Relationship Id="rId7" Type="http://schemas.openxmlformats.org/officeDocument/2006/relationships/hyperlink" Target="https://docs.google.com/document/d/1wjQM_26wnvdF7Fvr1ZyaMiN1ySuExVhDqmsgvuoK5AA/edit?tab=t.0" TargetMode="External"/><Relationship Id="rId8" Type="http://schemas.openxmlformats.org/officeDocument/2006/relationships/hyperlink" Target="https://departamento.mercadolibre.com.ar/MLA-2783140796-departamento-venta-miramar-_JM?matt_tool=89488245" TargetMode="Externa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hyperlink" Target="https://app.powerbi.com/view?r=eyJrIjoiNmU0MGJiMTYtOTMxMC00NmZkLWFjOTItZGU5N2E2M2EyZmFlIiwidCI6IjQwZGUyOWM4LTJhNWYtNGUzYS1hZDM4LTM4ZmFmZTY1NjEzZCJ9" TargetMode="External"/><Relationship Id="rId2" Type="http://schemas.openxmlformats.org/officeDocument/2006/relationships/hyperlink" Target="https://www.neuquencapital.gov.ar/turismo/wp-content/uploads/sites/3/2026/07/WEB-ANUARIO-TURISMO-2025.pdf"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www.lmneuquen.com/neuquen/el-turismo-temporada-alta-cayo-los-niveles-prepandemia-n1140358/amp?utm_source=chatgpt.com" TargetMode="External"/><Relationship Id="rId3" Type="http://schemas.openxmlformats.org/officeDocument/2006/relationships/hyperlink" Target="https://www.neuqueninforma.gob.ar/noticias/2026/02/26/255331-la-ocupacion-crecio-8-puntos-y-supero-el-millon-y-medio-de-pernoctes?utm_source=chatgpt.com" TargetMode="External"/><Relationship Id="rId4" Type="http://schemas.openxmlformats.org/officeDocument/2006/relationships/hyperlink" Target="https://www.neuquen.com/verano-2025-neuquen-alcanzo-mas-del-75-de-ocupacion-y-fortalecio-su-oferta-turistica/?utm_source=chatgpt.com" TargetMode="External"/><Relationship Id="rId5" Type="http://schemas.openxmlformats.org/officeDocument/2006/relationships/drawing" Target="../drawings/drawing5.xml"/><Relationship Id="rId6"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hyperlink" Target="https://uthgramendoza.com.ar/wp-content/uploads/2025/01/escala-fehgra-vigente.pdf" TargetMode="External"/><Relationship Id="rId2" Type="http://schemas.openxmlformats.org/officeDocument/2006/relationships/hyperlink" Target="https://www.argentina.gob.ar/trabajo/buscastrabajo/conocetusderechos/salario" TargetMode="External"/><Relationship Id="rId3"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7.xml"/><Relationship Id="rId3"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40" Type="http://schemas.openxmlformats.org/officeDocument/2006/relationships/hyperlink" Target="https://www.mercadolibre.com.ar/pelikan-resaltadores-flash-pastel-x-4-colores/p/MLA29487160" TargetMode="External"/><Relationship Id="rId42" Type="http://schemas.openxmlformats.org/officeDocument/2006/relationships/hyperlink" Target="https://www.mercadolibre.com.ar/6-lapiz-corrector-liquid-paper-lapicera-7ml-paper-mate-pen/up/MLAU232854199?pdp_filters=item_id:MLA1371132165" TargetMode="External"/><Relationship Id="rId41" Type="http://schemas.openxmlformats.org/officeDocument/2006/relationships/hyperlink" Target="https://www.mercadolibre.com.ar/block-anotador-rayado-papel-obra-congreso-16x21-esquela-40hj/up/MLAU212188488" TargetMode="External"/><Relationship Id="rId44" Type="http://schemas.openxmlformats.org/officeDocument/2006/relationships/hyperlink" Target="https://tienda.limaymayorista.com.ar/producto/leche-larga-vida-entera-1lt/" TargetMode="External"/><Relationship Id="rId43" Type="http://schemas.openxmlformats.org/officeDocument/2006/relationships/hyperlink" Target="https://www.mercadolibre.com.ar/venta-mayorista-cafe-super-cabrales-molido-tostado-6-x-500g/p/MLA21234656?pdp_filters=item_id%3AMLA1724218821&amp;from=gshop&amp;matt_tool=11388839&amp;matt_word=&amp;matt_source=google&amp;matt_campaign_id=23390548706&amp;matt_ad_group_id=189479863103&amp;matt_match_type=&amp;matt_network=g&amp;matt_device=c&amp;matt_creative=789984779167&amp;matt_keyword=&amp;matt_ad_position=&amp;matt_ad_type=pla&amp;matt_merchant_id=735078350&amp;matt_product_id=MLA21234656-product&amp;matt_product_partition_id=2389907716476&amp;matt_target_id=aud-2430760955230:pla-2389907716476&amp;cq_src=google_ads&amp;cq_cmp=23390548706&amp;cq_net=g&amp;cq_plt=gp&amp;cq_med=pla&amp;gad_source=1&amp;gad_campaignid=23390548706&amp;gbraid=0AAAAAD01zQbmt6HdGhw2Ie5TzyWTX-3IZ&amp;gclid=CjwKCAjwgO7RBhBKEiwAZNP85ogDMGa04YV1JPgd98ZOjsWi6xnxMwVCnC1Ff8ZbcUfzkLGC9ffhBhoC_hcQAvD_BwE" TargetMode="External"/><Relationship Id="rId46" Type="http://schemas.openxmlformats.org/officeDocument/2006/relationships/hyperlink" Target="https://www.mercadolibre.com.ar/yerba-mate-playadito-mate-cocido-sin-tacc-en-saquitos-150g/p/MLA47596708" TargetMode="External"/><Relationship Id="rId45" Type="http://schemas.openxmlformats.org/officeDocument/2006/relationships/hyperlink" Target="https://www.mercadolibre.com.ar/te-twinings-earl-grey-te-verde-6-variedades-150-saquitos/p/MLA2079391221" TargetMode="External"/><Relationship Id="rId107" Type="http://schemas.openxmlformats.org/officeDocument/2006/relationships/hyperlink" Target="https://www.distribuidoraelgranate.com.ar/shop/1397-tubo-tapas-de-empanadas-criollas-48-unidades-4419" TargetMode="External"/><Relationship Id="rId106" Type="http://schemas.openxmlformats.org/officeDocument/2006/relationships/hyperlink" Target="https://www.mercadolibre.com.ar/aceite-de-oliva-extra-virgen-en-bidon-5-litros/up/MLAU3466946901" TargetMode="External"/><Relationship Id="rId105" Type="http://schemas.openxmlformats.org/officeDocument/2006/relationships/hyperlink" Target="https://www.mercadolibre.com.ar/galletitas-mana-vainilla-arcor-408g/p/MLA20718954" TargetMode="External"/><Relationship Id="rId104" Type="http://schemas.openxmlformats.org/officeDocument/2006/relationships/hyperlink" Target="https://www.tiendaoeste.com/productos/nuez-pelada-mariposa-x-1-kg/" TargetMode="External"/><Relationship Id="rId109" Type="http://schemas.openxmlformats.org/officeDocument/2006/relationships/hyperlink" Target="https://tienda.familiaschroeder.com/collections/nuestros-productos" TargetMode="External"/><Relationship Id="rId108" Type="http://schemas.openxmlformats.org/officeDocument/2006/relationships/hyperlink" Target="https://tienda.familiaschroeder.com/collections/nuestros-productos" TargetMode="External"/><Relationship Id="rId48" Type="http://schemas.openxmlformats.org/officeDocument/2006/relationships/hyperlink" Target="https://www.mercadolibre.com.ar/hileret-clasico-edulcorante-caja-x-400-sobres/p/MLA65406936?pdp_filters=item_id:MLA2388621658" TargetMode="External"/><Relationship Id="rId47" Type="http://schemas.openxmlformats.org/officeDocument/2006/relationships/hyperlink" Target="https://www.mercadolibre.com.ar/azucar-azucel-caja-1000-sobres-5g-tipo-a-sin-tacc/up/MLAU3870088341" TargetMode="External"/><Relationship Id="rId49" Type="http://schemas.openxmlformats.org/officeDocument/2006/relationships/hyperlink" Target="https://www.cotodigital.com.ar/sitios/cdigi/productos/_/R-00558091-00558091-200?srsltid=AfmBOop6nfDeO5iYE-oDsB4zJ0wXdLeJpqlef3oB89balX1MapJq0CdoIbA" TargetMode="External"/><Relationship Id="rId103" Type="http://schemas.openxmlformats.org/officeDocument/2006/relationships/hyperlink" Target="https://www.mercadolibre.com.ar/levadura-fresca-clasica-calsa-en-cubo-prensada-500g-sin-tacc/p/MLA31057202?pdp_filters=item_id%3AMLA1563069381&amp;from=gshop&amp;matt_tool=11388839&amp;matt_word=&amp;matt_source=google&amp;matt_campaign_id=23390548706&amp;matt_ad_group_id=189479866703&amp;matt_match_type=&amp;matt_network=g&amp;matt_device=c&amp;matt_creative=789984779212&amp;matt_keyword=&amp;matt_ad_position=&amp;matt_ad_type=pla&amp;matt_merchant_id=735113679&amp;matt_product_id=MLA31057202-product&amp;matt_product_partition_id=2391110771490&amp;matt_target_id=aud-2418879895625:pla-2391110771490&amp;cq_src=google_ads&amp;cq_cmp=23390548706&amp;cq_net=g&amp;cq_plt=gp&amp;cq_med=pla&amp;gad_source=1&amp;gad_campaignid=23390548706&amp;gbraid=0AAAAAD01zQbmt6HdGhw2Ie5TzyWTX-3IZ&amp;gclid=CjwKCAjwgO7RBhBKEiwAZNP85pOOkfhVcKoGNq3Liw62S-mNJhZs6Ro7iI-Av3U12uV9CJWfvIuYThoCBi0QAvD_BwE" TargetMode="External"/><Relationship Id="rId102" Type="http://schemas.openxmlformats.org/officeDocument/2006/relationships/hyperlink" Target="https://tam.com.ar/ficha-1108-sal-fina-dos-anclas-celusal-x-500-gramos?gad_source=1&amp;gad_campaignid=20957999169&amp;gbraid=0AAAAADledQ2WIRH7IzqLGn9dhG21_YLHs&amp;gclid=CjwKCAjwgO7RBhBKEiwAZNP85vxw0VvFSvPCgeyyxl9yRw5oWfsTzMIOoZQ0G3MTOOMcxMCGsdFzcBoCnxMQAvD_BwE" TargetMode="External"/><Relationship Id="rId101" Type="http://schemas.openxmlformats.org/officeDocument/2006/relationships/hyperlink" Target="https://www.mercadolibre.com.ar/caja-harina-canuelas-tipo-000-fortificada-pack-mejor-precio/p/MLA26199733?pdp_filters=item_id%3AMLA1714583461&amp;from=gshop&amp;matt_tool=11388839&amp;matt_word=&amp;matt_source=google&amp;matt_campaign_id=23390548706&amp;matt_ad_group_id=189479866943&amp;matt_match_type=&amp;matt_network=g&amp;matt_device=c&amp;matt_creative=789984779215&amp;matt_keyword=&amp;matt_ad_position=&amp;matt_ad_type=pla&amp;matt_merchant_id=735078350&amp;matt_product_id=MLA26199733-product&amp;matt_product_partition_id=2388288776041&amp;matt_target_id=aud-2418879895625:pla-2388288776041&amp;cq_src=google_ads&amp;cq_cmp=23390548706&amp;cq_net=g&amp;cq_plt=gp&amp;cq_med=pla&amp;gad_source=1&amp;gad_campaignid=23390548706&amp;gbraid=0AAAAAD01zQbmt6HdGhw2Ie5TzyWTX-3IZ&amp;gclid=CjwKCAjwgO7RBhBKEiwAZNP85q1wznt7XO9c0zWKhlWIpFXM7SMMXkgcfxrFO78xR7Cb5IJWrdjXSxoCR1IQAvD_BwE" TargetMode="External"/><Relationship Id="rId100" Type="http://schemas.openxmlformats.org/officeDocument/2006/relationships/hyperlink" Target="https://alimentosvillares.com.ar/arroz-carnaroli-x-5-kg.html" TargetMode="External"/><Relationship Id="rId31" Type="http://schemas.openxmlformats.org/officeDocument/2006/relationships/hyperlink" Target="https://drive.google.com/file/d/1LrHrXRzmxBILOdp0oR39t4lpEoAuMLA-/view?usp=sharing" TargetMode="External"/><Relationship Id="rId30" Type="http://schemas.openxmlformats.org/officeDocument/2006/relationships/hyperlink" Target="https://www.mercadolibre.com.ar/mopa-balde-centrifugo-escurridor-apilable-limpieza-premium-negro/p/MLA62390963?pdp_filters=item_id:MLA2611526394" TargetMode="External"/><Relationship Id="rId33" Type="http://schemas.openxmlformats.org/officeDocument/2006/relationships/hyperlink" Target="https://drive.google.com/file/d/1LrHrXRzmxBILOdp0oR39t4lpEoAuMLA-/view?usp=sharing" TargetMode="External"/><Relationship Id="rId32" Type="http://schemas.openxmlformats.org/officeDocument/2006/relationships/hyperlink" Target="https://drive.google.com/file/d/1LrHrXRzmxBILOdp0oR39t4lpEoAuMLA-/view?usp=sharing" TargetMode="External"/><Relationship Id="rId35" Type="http://schemas.openxmlformats.org/officeDocument/2006/relationships/hyperlink" Target="https://drive.google.com/file/d/1LrHrXRzmxBILOdp0oR39t4lpEoAuMLA-/view?usp=sharing" TargetMode="External"/><Relationship Id="rId34" Type="http://schemas.openxmlformats.org/officeDocument/2006/relationships/hyperlink" Target="https://drive.google.com/file/d/1LrHrXRzmxBILOdp0oR39t4lpEoAuMLA-/view?usp=sharing" TargetMode="External"/><Relationship Id="rId37" Type="http://schemas.openxmlformats.org/officeDocument/2006/relationships/hyperlink" Target="https://www.mercadolibre.com.ar/birome-bic-opaco-en-caja-x-50-boligrafos-trazo-medio-clasico-tinta-cristal-negro/p/MLA69897374?pdp_filters=item_id:MLA3374095480" TargetMode="External"/><Relationship Id="rId36" Type="http://schemas.openxmlformats.org/officeDocument/2006/relationships/hyperlink" Target="https://drive.google.com/file/d/1LrHrXRzmxBILOdp0oR39t4lpEoAuMLA-/view?usp=sharing" TargetMode="External"/><Relationship Id="rId39" Type="http://schemas.openxmlformats.org/officeDocument/2006/relationships/hyperlink" Target="https://www.mercadolibre.com.ar/broches-para-abrochadora-64-mit-x5000-color-plateado/p/MLA28166421?pdp_filters=item_id:MLA1420829909" TargetMode="External"/><Relationship Id="rId38" Type="http://schemas.openxmlformats.org/officeDocument/2006/relationships/hyperlink" Target="https://www.mercadolibre.com.ar/3m-scotch-cinta-magica-3105-19-mm-x-762-m/up/MLAU3781123456?pdp_filters=item_id:MLA2837352410" TargetMode="External"/><Relationship Id="rId20" Type="http://schemas.openxmlformats.org/officeDocument/2006/relationships/hyperlink" Target="https://www.mercadolibre.com.ar/limpiador-ultra-brillo-cif-original-gatillo-x-400-ml/p/MLA21187143?pdp_filters=shipping%3Afulfillment%7Cdeal%3AMLA1024566-1" TargetMode="External"/><Relationship Id="rId22" Type="http://schemas.openxmlformats.org/officeDocument/2006/relationships/hyperlink" Target="https://www.mercadolibre.com.ar/limpiador-procenex-vidrios-oro-con-gatillo/p/MLA16134550?pdp_filters=item_id:MLA1134752890" TargetMode="External"/><Relationship Id="rId21" Type="http://schemas.openxmlformats.org/officeDocument/2006/relationships/hyperlink" Target="https://www.mercadolibre.com.ar/limpiador-procenex-vidrios-oro-con-gatillo/p/MLA16134550?pdp_filters=item_id:MLA1134752890" TargetMode="External"/><Relationship Id="rId24" Type="http://schemas.openxmlformats.org/officeDocument/2006/relationships/hyperlink" Target="https://www.mercadolibre.com.ar/limpiavidrio-mango-aluminio-extensible-70cm-doble-cabeza/p/MLA21816514?pdp_filters=shipping%3Afulfillment%7Cdeal%3AMLA1024566-1" TargetMode="External"/><Relationship Id="rId23" Type="http://schemas.openxmlformats.org/officeDocument/2006/relationships/hyperlink" Target="https://www.mercadolibre.com.ar/limpiador-de-pisos-poett-pro-lavanda-5l-flores-de-primavera/p/MLA65661506" TargetMode="External"/><Relationship Id="rId129" Type="http://schemas.openxmlformats.org/officeDocument/2006/relationships/hyperlink" Target="https://tienda.limaymayorista.com.ar/producto/leche-larga-vida-entera-1lt/" TargetMode="External"/><Relationship Id="rId128" Type="http://schemas.openxmlformats.org/officeDocument/2006/relationships/hyperlink" Target="https://www.mercadolibre.com.ar/cafe-maceda-estandar-superior-molido-100-puro-x-1000-gr/p/MLA29034649?" TargetMode="External"/><Relationship Id="rId127" Type="http://schemas.openxmlformats.org/officeDocument/2006/relationships/hyperlink" Target="https://tienda.familiaschroeder.com/products/saurus-estate-malbec?srsltid=AfmBOooQk4rWktZljYifIr9I9u5uaU3QNaoiUcCMaHvLx0tH6o7QOTHA" TargetMode="External"/><Relationship Id="rId126" Type="http://schemas.openxmlformats.org/officeDocument/2006/relationships/hyperlink" Target="https://www.mercadolibre.com.ar/queso-brie-emperador-horma-15-kg-premium-sin-tacc/p/MLA2090814222?pdp_filters=item_id%3AMLA3154245386&amp;from=gshop&amp;matt_tool=11388839&amp;matt_word=&amp;matt_source=google&amp;matt_campaign_id=23390548706&amp;matt_ad_group_id=189479865263&amp;matt_match_type=&amp;matt_network=g&amp;matt_device=c&amp;matt_creative=789984779194&amp;matt_keyword=&amp;matt_ad_position=&amp;matt_ad_type=pla&amp;matt_merchant_id=735113679&amp;matt_product_id=MLA2090814222-product&amp;matt_product_partition_id=2389802922654&amp;matt_target_id=pla-2389802922654&amp;cq_src=google_ads&amp;cq_cmp=23390548706&amp;cq_net=g&amp;cq_plt=gp&amp;cq_med=pla&amp;gad_source=1&amp;gad_campaignid=23390548706&amp;gbraid=0AAAAAD01zQbkhDMfXDmelx57ivAxJAfi_&amp;gclid=CjwKCAjw3ejRBhAdEiwADkqPnzW1ZrF3RD07aI-rXytAanLAfg5v_XF31D6OxSD09Hsl55a0EgrdTxoCpkgQAvD_BwE" TargetMode="External"/><Relationship Id="rId26" Type="http://schemas.openxmlformats.org/officeDocument/2006/relationships/hyperlink" Target="https://www.mercadolibre.com.ar/laffitte-pano-microfibra-60x40-secado-rapido-y-delicado/p/MLA19911466?pdp_filters=shipping%3Afulfillment%7Cdeal%3AMLA1024566-1" TargetMode="External"/><Relationship Id="rId121" Type="http://schemas.openxmlformats.org/officeDocument/2006/relationships/hyperlink" Target="https://www.uvas.com.ar/productos/uvas-pulidora-facial-50-ml/" TargetMode="External"/><Relationship Id="rId25" Type="http://schemas.openxmlformats.org/officeDocument/2006/relationships/hyperlink" Target="https://www.mercadolibre.com.ar/palo-escoba-cepillo-limpieza-multiuso-pano-set-accesorios/p/MLA52859927?pdp_filters=shipping%3Afulfillment%7Cdeal%3AMLA1024566-1" TargetMode="External"/><Relationship Id="rId120" Type="http://schemas.openxmlformats.org/officeDocument/2006/relationships/hyperlink" Target="https://saikucosmetologico.com.ar/productos/oleo-para-hacer-masajes-con-aceite-de-semillas-de-uva-1lts/" TargetMode="External"/><Relationship Id="rId28" Type="http://schemas.openxmlformats.org/officeDocument/2006/relationships/hyperlink" Target="https://www.mercadolibre.com.ar/bolson-papel-higienico-blanco-30-rollos-x-100mts-suave/p/MLA53768746?pdp_filters=item_id:MLA2241182834" TargetMode="External"/><Relationship Id="rId27" Type="http://schemas.openxmlformats.org/officeDocument/2006/relationships/hyperlink" Target="https://www.mercadolibre.com.ar/pano-amarillo-limpieza-ballerina-valerina-x-12-unidades/up/MLAU135482530?pdp_filters=item_id%3AMLA884718207&amp;from=gshop&amp;matt_tool=58626580&amp;matt_word=&amp;matt_source=google&amp;matt_campaign_id=23390548691&amp;matt_ad_group_id=189479856423&amp;matt_match_type=&amp;matt_network=g&amp;matt_device=c&amp;matt_creative=789984778468&amp;matt_keyword=&amp;matt_ad_position=&amp;matt_ad_type=pla&amp;matt_merchant_id=312428915&amp;matt_product_id=MLAU135482530&amp;matt_product_partition_id=2454318074597&amp;matt_target_id=aud-2430760955230:pla-2454318074597&amp;cq_src=google_ads&amp;cq_cmp=23390548691&amp;cq_net=g&amp;cq_plt=gp&amp;cq_med=pla&amp;gad_source=1&amp;gad_campaignid=23390548691&amp;gbraid=0AAAAAD01zQaySgtsoerSA0nmOIaucVg9z&amp;gclid=Cj0KCQjwi8nRBhDhARIsAHZf_pa-cXnAc5ZutcwKBWw1vnKctEf3_GNI3wjHV6n0Du1tmjz-CnXM2nEaAmTSEALw_wcB" TargetMode="External"/><Relationship Id="rId125" Type="http://schemas.openxmlformats.org/officeDocument/2006/relationships/hyperlink" Target="https://www.cotodigital.com.ar/sitios/cdigi/productos/-queso-azul-tradicional-vanguard-x-kg/_/A-00019820-00019820-200?gad_source=1&amp;gad_campaignid=755736711&amp;gbraid=0AAAAADgefHjxT3_tHZKDNiXidt3AW24NX&amp;gclid=CjwKCAjw3ejRBhAdEiwADkqPn8nP7W-c9lGYyls2ycA8EicL61y184SFWFl-4xfBOFNXhcs6PUhGThoCW-sQAvD_BwE" TargetMode="External"/><Relationship Id="rId29" Type="http://schemas.openxmlformats.org/officeDocument/2006/relationships/hyperlink" Target="https://www.mercadolibre.com.ar/tacho-d-basura-15l-automatico-c-sensor-automatico-recargabl/up/MLAU4083628263?pdp_filters=official_store%3Aall" TargetMode="External"/><Relationship Id="rId124" Type="http://schemas.openxmlformats.org/officeDocument/2006/relationships/hyperlink" Target="https://tienda.familiaschroeder.com/products/saurus-estate-malbec?srsltid=AfmBOooQk4rWktZljYifIr9I9u5uaU3QNaoiUcCMaHvLx0tH6o7QOTHA" TargetMode="External"/><Relationship Id="rId123" Type="http://schemas.openxmlformats.org/officeDocument/2006/relationships/hyperlink" Target="https://www.uvas.com.ar/productos/uvas-humectante-dia-clasica-120-ml/" TargetMode="External"/><Relationship Id="rId122" Type="http://schemas.openxmlformats.org/officeDocument/2006/relationships/hyperlink" Target="https://www.uvas.com.ar/productos/crema-de-limpieza-50ml/" TargetMode="External"/><Relationship Id="rId95" Type="http://schemas.openxmlformats.org/officeDocument/2006/relationships/hyperlink" Target="https://lacteosrosario.com/producto/crema-de-leche-cremac-x-5-kg/" TargetMode="External"/><Relationship Id="rId94" Type="http://schemas.openxmlformats.org/officeDocument/2006/relationships/hyperlink" Target="https://www.donroqueonline.com.ar/producto/manteca-tanto-x-25-kg/" TargetMode="External"/><Relationship Id="rId97" Type="http://schemas.openxmlformats.org/officeDocument/2006/relationships/hyperlink" Target="https://articulo.mercadolibre.com.ar/MLA-1769677457-helado-artesanal-balde-de-10lt-americana-a-la-crema-helafer-_JM?matt_tool=38087446&amp;utm_source=google_shopping&amp;utm_medium=organic" TargetMode="External"/><Relationship Id="rId96" Type="http://schemas.openxmlformats.org/officeDocument/2006/relationships/hyperlink" Target="https://www.patyfiesta.com/producto/parmesano-vaquero-x-kg/" TargetMode="External"/><Relationship Id="rId11" Type="http://schemas.openxmlformats.org/officeDocument/2006/relationships/hyperlink" Target="https://www.mercadolibre.com.ar/fibra-esponja-azul-superficies-delicadas-pack-x-24-unidades/up/MLAU244654695" TargetMode="External"/><Relationship Id="rId99" Type="http://schemas.openxmlformats.org/officeDocument/2006/relationships/hyperlink" Target="https://tam.com.ar/ficha-1047-azucar-chango-ledesma-x-1-kilo?srsltid=AfmBOoq6zM2ghPxUf4AckaLyyQ35oTp89HQDmrS2Gd1nPFDzf82SvQXk" TargetMode="External"/><Relationship Id="rId10" Type="http://schemas.openxmlformats.org/officeDocument/2006/relationships/hyperlink" Target="https://www.mercadolibre.com.ar/escobillon-anden-de-cerda-80cm/up/MLAU172121772?pdp_filters=item_id:MLA763085090" TargetMode="External"/><Relationship Id="rId98" Type="http://schemas.openxmlformats.org/officeDocument/2006/relationships/hyperlink" Target="https://articulo.mercadolibre.com.ar/MLA-1769677457-helado-artesanal-balde-de-10lt-americana-a-la-crema-helafer-_JM?matt_tool=38087446&amp;utm_source=google_shopping&amp;utm_medium=organic" TargetMode="External"/><Relationship Id="rId13" Type="http://schemas.openxmlformats.org/officeDocument/2006/relationships/hyperlink" Target="https://www.mercadolibre.com.ar/spa-espuma-x200-rosas/up/MLAU3921213807?pdp_filters=item_id%3AMLA3242015772&amp;from=gshop&amp;matt_tool=70882460&amp;matt_word=&amp;matt_source=google&amp;matt_campaign_id=23390548526&amp;matt_ad_group_id=189479825183&amp;matt_match_type=&amp;matt_network=g&amp;matt_device=c&amp;matt_creative=789984776368&amp;matt_keyword=&amp;matt_ad_position=&amp;matt_ad_type=pla&amp;matt_merchant_id=5775945945&amp;matt_product_id=MLAU3921213807&amp;matt_product_partition_id=2391100821330&amp;matt_target_id=aud-2430760955230:pla-2391100821330&amp;cq_src=google_ads&amp;cq_cmp=23390548526&amp;cq_net=g&amp;cq_plt=gp&amp;cq_med=pla&amp;gad_source=1&amp;gad_campaignid=23390548526&amp;gbraid=0AAAAAD01zQYITR9YxzFmcrOPSO5TpiMb4&amp;gclid=Cj0KCQjwi8nRBhDhARIsAHZf_pZMyqEP3meDFEQZ1hL_6ADFynJzhe_RlC1o_vFvBUoRYFJrDTC5WoUaAqoLEALw_wcB" TargetMode="External"/><Relationship Id="rId12" Type="http://schemas.openxmlformats.org/officeDocument/2006/relationships/hyperlink" Target="https://www.mercadolibre.com.ar/esponja-mortimer-cuadriculada-x-12-unidades/up/MLAU4046040057" TargetMode="External"/><Relationship Id="rId91" Type="http://schemas.openxmlformats.org/officeDocument/2006/relationships/hyperlink" Target="https://www.cusumano.com.ar/catalogo/mayorista/quesos/lusignan-natural-x-280-gr/" TargetMode="External"/><Relationship Id="rId90" Type="http://schemas.openxmlformats.org/officeDocument/2006/relationships/hyperlink" Target="https://www.cusumano.com.ar/catalogo/mayorista/quesos/lusignan-natural-x-280-gr/" TargetMode="External"/><Relationship Id="rId93" Type="http://schemas.openxmlformats.org/officeDocument/2006/relationships/hyperlink" Target="https://www.distribuidorajumbalay.com.ar/crema-queso-crema-pouch-x-4-kg-la-paulina-precio-x-unidad--det--QUES093" TargetMode="External"/><Relationship Id="rId92" Type="http://schemas.openxmlformats.org/officeDocument/2006/relationships/hyperlink" Target="https://www.cotodigital.com.ar/sitios/cdigi/productos/-queso-azul-tradicional-vanguard-x-kg/_/A-00019820-00019820-200?gad_source=1&amp;gad_campaignid=755736711&amp;gbraid=0AAAAADgefHjxT3_tHZKDNiXidt3AW24NX&amp;gclid=CjwKCAjw3ejRBhAdEiwADkqPn8nP7W-c9lGYyls2ycA8EicL61y184SFWFl-4xfBOFNXhcs6PUhGThoCW-sQAvD_BwE" TargetMode="External"/><Relationship Id="rId118" Type="http://schemas.openxmlformats.org/officeDocument/2006/relationships/hyperlink" Target="https://www.mercadolibre.com.ar/te-negro-green-hills-saquitos-clasico-antioxidante-50-unidades/p/MLA19566710" TargetMode="External"/><Relationship Id="rId117" Type="http://schemas.openxmlformats.org/officeDocument/2006/relationships/hyperlink" Target="https://www.mercadolibre.com.ar/cafe-maceda-estandar-superior-molido-100-puro-x-1000-gr/p/MLA29034649?pdp_filters=item_id%3AMLA2432791342&amp;from=gshop&amp;matt_tool=11388839&amp;matt_word=&amp;matt_source=google&amp;matt_campaign_id=23390548706&amp;matt_ad_group_id=189479863103&amp;matt_match_type=&amp;matt_network=g&amp;matt_device=c&amp;matt_creative=789984779167&amp;matt_keyword=&amp;matt_ad_position=&amp;matt_ad_type=pla&amp;matt_merchant_id=735078350&amp;matt_product_id=MLA29034649-product&amp;matt_product_partition_id=2389907716476&amp;matt_target_id=aud-2418879895625:pla-2389907716476&amp;cq_src=google_ads&amp;cq_cmp=23390548706&amp;cq_net=g&amp;cq_plt=gp&amp;cq_med=pla&amp;gad_source=1&amp;gad_campaignid=23390548706&amp;gbraid=0AAAAAD01zQbmt6HdGhw2Ie5TzyWTX-3IZ&amp;gclid=CjwKCAjwgO7RBhBKEiwAZNP85kNwYUt1r9WN9AzYZqK2430FGAnZRyF7u6u6I-gtFL3b8o0l6KEH7BoCZeIQAvD_BwE" TargetMode="External"/><Relationship Id="rId116" Type="http://schemas.openxmlformats.org/officeDocument/2006/relationships/hyperlink" Target="https://www.mercadolibre.com.ar/coca-cola-lata-354ml-sabor-original-comun-pack-x24-df/up/MLAU3107414619" TargetMode="External"/><Relationship Id="rId115" Type="http://schemas.openxmlformats.org/officeDocument/2006/relationships/hyperlink" Target="https://tienda.open25.com.ar/productos/agua-saborizada-placer-anana-x500cc-pack-x12un-14rfb/" TargetMode="External"/><Relationship Id="rId119" Type="http://schemas.openxmlformats.org/officeDocument/2006/relationships/hyperlink" Target="https://cptn.org.ar/honorarios-minimos-sugeridos/" TargetMode="External"/><Relationship Id="rId15" Type="http://schemas.openxmlformats.org/officeDocument/2006/relationships/hyperlink" Target="https://articulo.mercadolibre.com.ar/MLA-1119548259-x3-cajas-de-guantes-nitrilo-negro-reforzado-mediglove-_JM?searchVariation=181679942565" TargetMode="External"/><Relationship Id="rId110" Type="http://schemas.openxmlformats.org/officeDocument/2006/relationships/hyperlink" Target="https://tienda.familiaschroeder.com/collections/nuestros-productos" TargetMode="External"/><Relationship Id="rId14" Type="http://schemas.openxmlformats.org/officeDocument/2006/relationships/hyperlink" Target="https://www.mercadolibre.com.ar/cofias-descartables-plisadas-caja-x-200-unidades/up/MLAU251662112?pdp_filters=item_id:MLA1373065457" TargetMode="External"/><Relationship Id="rId17" Type="http://schemas.openxmlformats.org/officeDocument/2006/relationships/hyperlink" Target="https://www.mercadolibre.com.ar/acondicionador-suave-crema-nutricion-5ltrs-unilever/p/MLA28291856?pdp_filters=shipping%3Afulfillment%7Cdeal%3AMLA1024566-1" TargetMode="External"/><Relationship Id="rId16" Type="http://schemas.openxmlformats.org/officeDocument/2006/relationships/hyperlink" Target="https://www.mercadolibre.com.ar/shampoo-neutro-x-5-litros-color-master-fidelite/p/MLA44430233?pdp_filters=shipping%3Afulfillment%7Cdeal%3AMLA1024566-1" TargetMode="External"/><Relationship Id="rId19" Type="http://schemas.openxmlformats.org/officeDocument/2006/relationships/hyperlink" Target="https://www.mercadolibre.com.ar/agua-lavandina-concentrada-55-gl-5-litros/up/MLAU279587555?pdp_filters=shipping%3Afulfillment%7Cdeal%3AMLA1024566-1" TargetMode="External"/><Relationship Id="rId114" Type="http://schemas.openxmlformats.org/officeDocument/2006/relationships/hyperlink" Target="https://yaguar.com.ar/producto/agua-mineral-lagoa-sin-gas-500ml/" TargetMode="External"/><Relationship Id="rId18" Type="http://schemas.openxmlformats.org/officeDocument/2006/relationships/hyperlink" Target="https://www.mercadolibre.com.ar/jabon-liquido-para-manos-sia-fragancia-coco-5-litros/up/MLAU3440260779" TargetMode="External"/><Relationship Id="rId113" Type="http://schemas.openxmlformats.org/officeDocument/2006/relationships/hyperlink" Target="https://yaguar.com.ar/producto/agua-mineral-lagoa-sin-gas-500ml/" TargetMode="External"/><Relationship Id="rId112" Type="http://schemas.openxmlformats.org/officeDocument/2006/relationships/hyperlink" Target="https://tienda.familiaschroeder.com/collections/nuestros-productos" TargetMode="External"/><Relationship Id="rId111" Type="http://schemas.openxmlformats.org/officeDocument/2006/relationships/hyperlink" Target="https://tienda.familiaschroeder.com/collections/nuestros-productos" TargetMode="External"/><Relationship Id="rId84" Type="http://schemas.openxmlformats.org/officeDocument/2006/relationships/hyperlink" Target="https://fincanogueira.com.ar/productos/berenjena-x-kilo/" TargetMode="External"/><Relationship Id="rId83" Type="http://schemas.openxmlformats.org/officeDocument/2006/relationships/hyperlink" Target="https://fincanogueira.com.ar/productos/batata-x-kilo/" TargetMode="External"/><Relationship Id="rId86" Type="http://schemas.openxmlformats.org/officeDocument/2006/relationships/hyperlink" Target="https://www.friodep.com.ar/congelados/frutas-congeladas/mix-frutos-rojos-congelado-iqf-x-1-kg" TargetMode="External"/><Relationship Id="rId85" Type="http://schemas.openxmlformats.org/officeDocument/2006/relationships/hyperlink" Target="https://fincanogueira.com.ar/productos/uva-x-kilo/" TargetMode="External"/><Relationship Id="rId88" Type="http://schemas.openxmlformats.org/officeDocument/2006/relationships/hyperlink" Target="https://fincanogueira.com.ar/productos/cebolla-x-2-kilo/" TargetMode="External"/><Relationship Id="rId150" Type="http://schemas.openxmlformats.org/officeDocument/2006/relationships/hyperlink" Target="https://www.uvas.com.ar/productos/uvas-humectante-dia-clasica-120-ml/" TargetMode="External"/><Relationship Id="rId87" Type="http://schemas.openxmlformats.org/officeDocument/2006/relationships/hyperlink" Target="https://desdelatierra.com.ar/productos/champinones-blancos-2da-calidad-a-granel-x-kg/" TargetMode="External"/><Relationship Id="rId89" Type="http://schemas.openxmlformats.org/officeDocument/2006/relationships/hyperlink" Target="https://www.supermami.com.ar/super/producto/rucula-x-kg/_/A-3390015-3390015-s" TargetMode="External"/><Relationship Id="rId80" Type="http://schemas.openxmlformats.org/officeDocument/2006/relationships/hyperlink" Target="https://fincanogueira.com.ar/productos/zanahoria-x-kilo/" TargetMode="External"/><Relationship Id="rId82" Type="http://schemas.openxmlformats.org/officeDocument/2006/relationships/hyperlink" Target="https://www.cotodigital.com.ar/sitios/cdigi/productos/_/A-00000671-00000671-200?srsltid=AfmBOopjGGJXOjvUT5DTlmWr9AKX2sDcJJAewzqUhIsZEh12sAHr4VGU" TargetMode="External"/><Relationship Id="rId81" Type="http://schemas.openxmlformats.org/officeDocument/2006/relationships/hyperlink" Target="https://www.cotodigital.com.ar/sitios/cdigi/productos/chaucha-rolliza-x-kg/_/R-00000862-00000862-200%3F&amp;?srsltid=AfmBOor0gGDUYI1z__4sPcqD6sLJg5ZLcf4VisbT3rt9mePwuOSNpk2U" TargetMode="External"/><Relationship Id="rId1" Type="http://schemas.openxmlformats.org/officeDocument/2006/relationships/comments" Target="../comments6.xml"/><Relationship Id="rId2" Type="http://schemas.openxmlformats.org/officeDocument/2006/relationships/hyperlink" Target="https://www.mercadolibre.com.ar/limpiador-en-atomizador-harpic-banos-495ml/p/MLA19814725?pdp_filters=item_id:MLA1800905325" TargetMode="External"/><Relationship Id="rId3" Type="http://schemas.openxmlformats.org/officeDocument/2006/relationships/hyperlink" Target="https://www.mercadolibre.com.ar/balde-12-litros-de-plastico-reforzada/p/MLA20952403" TargetMode="External"/><Relationship Id="rId149" Type="http://schemas.openxmlformats.org/officeDocument/2006/relationships/hyperlink" Target="https://www.uvas.com.ar/productos/uvas-cuerpo-y-manos-500-ml/" TargetMode="External"/><Relationship Id="rId4" Type="http://schemas.openxmlformats.org/officeDocument/2006/relationships/hyperlink" Target="https://www.mercadolibre.com.ar/bolsa-de-residuos-45x60-pack-x100/up/MLAU3805552808" TargetMode="External"/><Relationship Id="rId148" Type="http://schemas.openxmlformats.org/officeDocument/2006/relationships/hyperlink" Target="https://www.uvas.com.ar/productos/uvas-humectante-cuerpo-y-manos-170ml/" TargetMode="External"/><Relationship Id="rId9" Type="http://schemas.openxmlformats.org/officeDocument/2006/relationships/hyperlink" Target="https://www.mercadolibre.com.ar/detergente-liquido-5-l-master-clean/p/MLA62924186?pdp_filters=shipping%3Afulfillment%7Cdeal%3AMLA1024566-1" TargetMode="External"/><Relationship Id="rId143" Type="http://schemas.openxmlformats.org/officeDocument/2006/relationships/hyperlink" Target="https://www.uvas.com.ar/productos/uvas-humectante-cuerpo-y-manos-170ml/" TargetMode="External"/><Relationship Id="rId142" Type="http://schemas.openxmlformats.org/officeDocument/2006/relationships/hyperlink" Target="https://www.mercadolibre.com.ar/jabon-de-uva-hecho-a-mano-con-proceso-en-frio-en-forma-de-uv/p/MLA2074661484?pdp_filters=item_id%3AMLA3119726636&amp;from=gshop&amp;matt_tool=67379362&amp;matt_word=&amp;matt_source=google&amp;matt_campaign_id=23390549222&amp;matt_ad_group_id=190656558653&amp;matt_match_type=&amp;matt_network=g&amp;matt_device=c&amp;matt_creative=790066498313&amp;matt_keyword=&amp;matt_ad_position=&amp;matt_ad_type=pla&amp;matt_merchant_id=735114561&amp;matt_product_id=MLA2074661484-product&amp;matt_product_partition_id=2396768982215&amp;matt_target_id=aud-2418879895625:pla-2396768982215&amp;cq_src=google_ads&amp;cq_cmp=23390549222&amp;cq_net=g&amp;cq_plt=gp&amp;cq_med=pla&amp;gad_source=1&amp;gad_campaignid=23390549222&amp;gbraid=0AAAAAD01zQZ-Xpe9N3aQVoMsz3AV4PV8w&amp;gclid=Cj0KCQjw6_HSBhCpARIsANvVltZ2EmqA9w8ZEX-7GW2XrNBsxRqQgAgRFA77OsDzBYoxv_kLakgRK8AaAqp5EALw_wcB" TargetMode="External"/><Relationship Id="rId141" Type="http://schemas.openxmlformats.org/officeDocument/2006/relationships/hyperlink" Target="https://www.mercadolibre.com.ar/caja-de-almacenamiento-pequena-de-madera-lisa-3-unidades-p/p/MLA2060572916?matt_tool=38087446&amp;utm_source=google_shopping&amp;utm_medium=organic&amp;pdp_filters=item_id%3AMLA2811403230&amp;from=gshop" TargetMode="External"/><Relationship Id="rId140" Type="http://schemas.openxmlformats.org/officeDocument/2006/relationships/hyperlink" Target="https://www.uvas.com.ar/productos/uvas-cuerpo-y-manos-500-ml/" TargetMode="External"/><Relationship Id="rId5" Type="http://schemas.openxmlformats.org/officeDocument/2006/relationships/hyperlink" Target="https://www.mercadolibre.com.ar/bolsa-residuos-consorcio-60-x-90-cm-100-uni-antigoteo/p/MLA2079413843?pdp_filters=item_id:MLA1163849614" TargetMode="External"/><Relationship Id="rId147" Type="http://schemas.openxmlformats.org/officeDocument/2006/relationships/hyperlink" Target="https://www.mercadolibre.com.ar/jabon-de-uva-hecho-a-mano-con-proceso-en-frio-en-forma-de-uv/p/MLA2074661484?pdp_filters=item_id%3AMLA3119726636&amp;from=gshop&amp;matt_tool=67379362&amp;matt_word=&amp;matt_source=google&amp;matt_campaign_id=23390549222&amp;matt_ad_group_id=190656558653&amp;matt_match_type=&amp;matt_network=g&amp;matt_device=c&amp;matt_creative=790066498313&amp;matt_keyword=&amp;matt_ad_position=&amp;matt_ad_type=pla&amp;matt_merchant_id=735114561&amp;matt_product_id=MLA2074661484-product&amp;matt_product_partition_id=2396768982215&amp;matt_target_id=aud-2418879895625:pla-2396768982215&amp;cq_src=google_ads&amp;cq_cmp=23390549222&amp;cq_net=g&amp;cq_plt=gp&amp;cq_med=pla&amp;gad_source=1&amp;gad_campaignid=23390549222&amp;gbraid=0AAAAAD01zQZ-Xpe9N3aQVoMsz3AV4PV8w&amp;gclid=Cj0KCQjw6_HSBhCpARIsANvVltZ2EmqA9w8ZEX-7GW2XrNBsxRqQgAgRFA77OsDzBYoxv_kLakgRK8AaAqp5EALw_wcB" TargetMode="External"/><Relationship Id="rId6" Type="http://schemas.openxmlformats.org/officeDocument/2006/relationships/hyperlink" Target="https://www.mercadolibre.com.ar/envase-plastico-botella-pulverizador-rociador-spray-1l-x10/up/MLAU242724440" TargetMode="External"/><Relationship Id="rId146" Type="http://schemas.openxmlformats.org/officeDocument/2006/relationships/hyperlink" Target="https://www.mercadolibre.com.ar/caja-de-almacenamiento-pequena-de-madera-lisa-3-unidades-p/p/MLA2060572916?matt_tool=38087446&amp;utm_source=google_shopping&amp;utm_medium=organic&amp;pdp_filters=item_id%3AMLA2811403230&amp;from=gshop" TargetMode="External"/><Relationship Id="rId7" Type="http://schemas.openxmlformats.org/officeDocument/2006/relationships/hyperlink" Target="https://www.mercadolibre.com.ar/cepillo-de-mano-kuntur-glow-blanco/p/MLA66475140?pdp_filters=item_id:MLA3043293248" TargetMode="External"/><Relationship Id="rId145" Type="http://schemas.openxmlformats.org/officeDocument/2006/relationships/hyperlink" Target="https://www.uvas.com.ar/productos/uvas-humectante-dia-clasica-120-ml/" TargetMode="External"/><Relationship Id="rId8" Type="http://schemas.openxmlformats.org/officeDocument/2006/relationships/hyperlink" Target="https://www.mercadolibre.com.ar/desodorante-de-ambiente-poett-suavidad-de-algodon-360-ml/p/MLA48593396?pdp_filters=shipping%3Afulfillment%7Cdeal%3AMLA1024566-1" TargetMode="External"/><Relationship Id="rId144" Type="http://schemas.openxmlformats.org/officeDocument/2006/relationships/hyperlink" Target="https://www.uvas.com.ar/productos/uvas-cuerpo-y-manos-500-ml/" TargetMode="External"/><Relationship Id="rId73" Type="http://schemas.openxmlformats.org/officeDocument/2006/relationships/hyperlink" Target="https://www.proveeduriapiaf.com.ar/producto/asado-de-cordero/" TargetMode="External"/><Relationship Id="rId72" Type="http://schemas.openxmlformats.org/officeDocument/2006/relationships/hyperlink" Target="https://pescaonline.alamenia.com.ar/producto/filet-de-truchon-fresco-x-1kg/" TargetMode="External"/><Relationship Id="rId75" Type="http://schemas.openxmlformats.org/officeDocument/2006/relationships/hyperlink" Target="https://www.carrefour.com.ar/papines-x-kg/p?srsltid=AfmBOoq9keiBplfUxh_lRpMYCBUNLWGp97xMbgEq_78RqQ7uJ-YkJy6G" TargetMode="External"/><Relationship Id="rId74" Type="http://schemas.openxmlformats.org/officeDocument/2006/relationships/hyperlink" Target="https://fincanogueira.com.ar/productos/pera-x-kilo/" TargetMode="External"/><Relationship Id="rId77" Type="http://schemas.openxmlformats.org/officeDocument/2006/relationships/hyperlink" Target="https://www.josimar.com.ar/remolacha-kg/p?srsltid=AfmBOoobtfPR6my52hLmUtIsUd10yPkGtDiHlkM6-vvV0Gn-OCLOEVV-" TargetMode="External"/><Relationship Id="rId76" Type="http://schemas.openxmlformats.org/officeDocument/2006/relationships/hyperlink" Target="https://www.cotodigital.com.ar/sitios/cdigi/productos/zapallo-anco-x-kg-/_/R-00000688-00000688-200?srsltid=AfmBOoryL_L-Mc1-tZPNDJ4OgGBBspsfKdCrGcWFIJwjI_H88saXu6Nx" TargetMode="External"/><Relationship Id="rId79" Type="http://schemas.openxmlformats.org/officeDocument/2006/relationships/hyperlink" Target="https://manjaresencasa.com.ar/product/esparragos-entero/" TargetMode="External"/><Relationship Id="rId78" Type="http://schemas.openxmlformats.org/officeDocument/2006/relationships/hyperlink" Target="https://fincanogueira.com.ar/productos/zuchini-x-1-kilo/" TargetMode="External"/><Relationship Id="rId71" Type="http://schemas.openxmlformats.org/officeDocument/2006/relationships/hyperlink" Target="https://www.pampaynovillo.com.ar/productos/ojo-de-bife/" TargetMode="External"/><Relationship Id="rId70" Type="http://schemas.openxmlformats.org/officeDocument/2006/relationships/hyperlink" Target="https://www.cotodigital.com.ar/sitios/cdigi/productos/cordero-entero-congelado-x-kg/_/R-00000175-00000175-200%3F?gad_source=1&amp;gad_campaignid=755736711&amp;gbraid=0AAAAADgefHhEiS1G6xNy1SwnZxQnGLBMT&amp;gclid=CjwKCAjwgO7RBhBKEiwAZNP85nvA1GcFQ6ZKe9DiehGpN9Gae6XN7l0apCaxoRGTq08GVekxKVOdXRoC4XoQAvD_BwE" TargetMode="External"/><Relationship Id="rId139" Type="http://schemas.openxmlformats.org/officeDocument/2006/relationships/hyperlink" Target="https://www.uvas.com.ar/productos/uvas-humectante-cuerpo-y-manos-170ml/" TargetMode="External"/><Relationship Id="rId138" Type="http://schemas.openxmlformats.org/officeDocument/2006/relationships/hyperlink" Target="https://www.mercadolibre.com.ar/jabon-de-uva-hecho-a-mano-con-proceso-en-frio-en-forma-de-uv/p/MLA2074661484?pdp_filters=item_id%3AMLA3119726636&amp;from=gshop&amp;matt_tool=67379362&amp;matt_word=&amp;matt_source=google&amp;matt_campaign_id=23390549222&amp;matt_ad_group_id=190656558653&amp;matt_match_type=&amp;matt_network=g&amp;matt_device=c&amp;matt_creative=790066498313&amp;matt_keyword=&amp;matt_ad_position=&amp;matt_ad_type=pla&amp;matt_merchant_id=735114561&amp;matt_product_id=MLA2074661484-product&amp;matt_product_partition_id=2396768982215&amp;matt_target_id=aud-2418879895625:pla-2396768982215&amp;cq_src=google_ads&amp;cq_cmp=23390549222&amp;cq_net=g&amp;cq_plt=gp&amp;cq_med=pla&amp;gad_source=1&amp;gad_campaignid=23390549222&amp;gbraid=0AAAAAD01zQZ-Xpe9N3aQVoMsz3AV4PV8w&amp;gclid=Cj0KCQjw6_HSBhCpARIsANvVltZ2EmqA9w8ZEX-7GW2XrNBsxRqQgAgRFA77OsDzBYoxv_kLakgRK8AaAqp5EALw_wcB" TargetMode="External"/><Relationship Id="rId137" Type="http://schemas.openxmlformats.org/officeDocument/2006/relationships/hyperlink" Target="https://www.mercadolibre.com.ar/medialuna-argentina-congelada-molino-canuelas-x-144-u/up/MLAU3756185833" TargetMode="External"/><Relationship Id="rId132" Type="http://schemas.openxmlformats.org/officeDocument/2006/relationships/hyperlink" Target="https://www.mercadolibre.com.ar/medialuna-argentina-congelada-molino-canuelas-x-144-u/up/MLAU3756185833" TargetMode="External"/><Relationship Id="rId131" Type="http://schemas.openxmlformats.org/officeDocument/2006/relationships/hyperlink" Target="https://tam.com.ar/ficha-1047-azucar-chango-ledesma-x-1-kilo?srsltid=AfmBOoq6zM2ghPxUf4AckaLyyQ35oTp89HQDmrS2Gd1nPFDzf82SvQXk" TargetMode="External"/><Relationship Id="rId130" Type="http://schemas.openxmlformats.org/officeDocument/2006/relationships/hyperlink" Target="https://www.mercadolibre.com.ar/te-negro-green-hills-saquitos-clasico-antioxidante-50-unidades/p/MLA19566710" TargetMode="External"/><Relationship Id="rId136" Type="http://schemas.openxmlformats.org/officeDocument/2006/relationships/hyperlink" Target="https://tam.com.ar/ficha-1047-azucar-chango-ledesma-x-1-kilo?srsltid=AfmBOoq6zM2ghPxUf4AckaLyyQ35oTp89HQDmrS2Gd1nPFDzf82SvQXk" TargetMode="External"/><Relationship Id="rId135" Type="http://schemas.openxmlformats.org/officeDocument/2006/relationships/hyperlink" Target="https://www.mercadolibre.com.ar/te-negro-green-hills-saquitos-clasico-antioxidante-50-unidades/p/MLA19566710" TargetMode="External"/><Relationship Id="rId134" Type="http://schemas.openxmlformats.org/officeDocument/2006/relationships/hyperlink" Target="https://tienda.limaymayorista.com.ar/producto/leche-larga-vida-entera-1lt/" TargetMode="External"/><Relationship Id="rId133" Type="http://schemas.openxmlformats.org/officeDocument/2006/relationships/hyperlink" Target="https://www.mercadolibre.com.ar/cafe-maceda-estandar-superior-molido-100-puro-x-1000-gr/p/MLA29034649?" TargetMode="External"/><Relationship Id="rId62" Type="http://schemas.openxmlformats.org/officeDocument/2006/relationships/hyperlink" Target="https://www.mercadolibre.com.ar/banana-ecuador-cajon-de-18-kg/up/MLAU2885103036" TargetMode="External"/><Relationship Id="rId61" Type="http://schemas.openxmlformats.org/officeDocument/2006/relationships/hyperlink" Target="https://www.mercadolibre.com.ar/manzana-roja-cajon-de-18-kg/up/MLAU2885104888" TargetMode="External"/><Relationship Id="rId64" Type="http://schemas.openxmlformats.org/officeDocument/2006/relationships/hyperlink" Target="https://tienda.limaymayorista.com.ar/producto/jamon-cocido-cuadrado-et-negra-la-expo/" TargetMode="External"/><Relationship Id="rId63" Type="http://schemas.openxmlformats.org/officeDocument/2006/relationships/hyperlink" Target="https://www.mercadolibre.com.ar/pasas-de-uva-jumbo-sin-semillas-x-10kg-calidad-premium/p/MLA2041781455?pdp_filters=item_id:MLA2180004196" TargetMode="External"/><Relationship Id="rId66" Type="http://schemas.openxmlformats.org/officeDocument/2006/relationships/hyperlink" Target="https://www.mercadolibre.com.ar/huevos-pastoril-cajon-x-12-maples-eco-eggs/p/MLA2091238360" TargetMode="External"/><Relationship Id="rId65" Type="http://schemas.openxmlformats.org/officeDocument/2006/relationships/hyperlink" Target="https://tienda.limaymayorista.com.ar/producto/queso-tybo-santamaria/" TargetMode="External"/><Relationship Id="rId68" Type="http://schemas.openxmlformats.org/officeDocument/2006/relationships/hyperlink" Target="https://brutbebidas.com.ar/productos/hielo-city-bolsa-4kg/?srsltid=AfmBOopMGnU6oQBylMgg_7EUvAt_STOGrDxN9mBqwGXZJff-1qfcW8uG" TargetMode="External"/><Relationship Id="rId67" Type="http://schemas.openxmlformats.org/officeDocument/2006/relationships/hyperlink" Target="https://www.mercadolibre.com.ar/jugo-de-naranja-con-pulpa-citric-1l/p/MLA21616892?pdp_filters=shipping%3Afulfillment%7Cdeal%3AMLA1024566-1" TargetMode="External"/><Relationship Id="rId60" Type="http://schemas.openxmlformats.org/officeDocument/2006/relationships/hyperlink" Target="https://www.mercadolibre.com.ar/cajon-de-naranja-para-jugo-x-16kg-cocina-fruta/up/MLAU4126750256" TargetMode="External"/><Relationship Id="rId69" Type="http://schemas.openxmlformats.org/officeDocument/2006/relationships/hyperlink" Target="https://www.mercadolibre.com.ar/servilletas-papel-elegante-blanca-32x32cm-caja-1000-unidades/up/MLAU250550226?pdp_filters=shipping%3Afulfillment%7Cdeal%3AMLA1024566-1" TargetMode="External"/><Relationship Id="rId51" Type="http://schemas.openxmlformats.org/officeDocument/2006/relationships/hyperlink" Target="https://www.mercadolibre.com.ar/medialuna-argentina-congelada-molino-canuelas-x-144-u/up/MLAU3756185833" TargetMode="External"/><Relationship Id="rId50" Type="http://schemas.openxmlformats.org/officeDocument/2006/relationships/hyperlink" Target="https://www.cotodigital.com.ar/sitios/cdigi/productos/pan-con-cereales-y-semillas-fargo-400g-/_/R-00602267-00602267-200" TargetMode="External"/><Relationship Id="rId53" Type="http://schemas.openxmlformats.org/officeDocument/2006/relationships/hyperlink" Target="https://www.mercadolibre.com.ar/budin-con-gotas-dulce-de-leche-300gr-100-ducados-cioccolato/up/MLAU3513339558?pdp_filters=item_id:MLA1564656433" TargetMode="External"/><Relationship Id="rId52" Type="http://schemas.openxmlformats.org/officeDocument/2006/relationships/hyperlink" Target="https://articulo.mercadolibre.com.ar/MLA-3480619620-chipa-congelado-congelados-artico-2-kg-_JM" TargetMode="External"/><Relationship Id="rId55" Type="http://schemas.openxmlformats.org/officeDocument/2006/relationships/hyperlink" Target="https://www.mercadolibre.com.ar/dulce-de-leche-individual-potes-x120u-20gr-hoteles-monodosis/p/MLA29542637?pdp_filters=shipping%3Afulfillment%7Cdeal%3AMLA1024566-1" TargetMode="External"/><Relationship Id="rId54" Type="http://schemas.openxmlformats.org/officeDocument/2006/relationships/hyperlink" Target="https://www.mercadolibre.com.ar/mermelada-individual-light-caja-x-120-unidades-de-20gs-cu/up/MLAU298068675?pdp_filters=item_id:MLA869346730%7Cshipping:fulfillment%7Cdeal:MLA1024566-1" TargetMode="External"/><Relationship Id="rId57" Type="http://schemas.openxmlformats.org/officeDocument/2006/relationships/hyperlink" Target="https://www.mercadolibre.com.ar/manteca-individual-sys-100-unidades-de-10gr-sin-gluten/p/MLA67162183" TargetMode="External"/><Relationship Id="rId56" Type="http://schemas.openxmlformats.org/officeDocument/2006/relationships/hyperlink" Target="https://www.mercadolibre.com.ar/queso-untable-ilolay-en-mini-porc-individuales-20-gr-x-108-unid/p/MLA22939193" TargetMode="External"/><Relationship Id="rId59" Type="http://schemas.openxmlformats.org/officeDocument/2006/relationships/hyperlink" Target="https://www.mercadolibre.com.ar/granola-tradicional-x1kg-kos-food/up/MLAU3434324733?pdp_filters=shipping%3Afulfillment%7Cdeal%3AMLA1024566-1" TargetMode="External"/><Relationship Id="rId154" Type="http://schemas.openxmlformats.org/officeDocument/2006/relationships/hyperlink" Target="https://www.mercadolibre.com.ar/sacacorchos-3-en-1-metalico-destapador-vino-con-cortacapsula/up/MLAU3829004796?pdp_filters=item_id%3AMLA1689480319&amp;from=gshop&amp;matt_tool=21590255&amp;matt_internal_campaign_id=357051868&amp;matt_word=&amp;matt_source=google&amp;matt_campaign_id=23999626472&amp;matt_ad_group_id=197096656983&amp;matt_match_type=&amp;matt_network=g&amp;matt_device=c&amp;matt_creative=816842358226&amp;matt_keyword=&amp;matt_ad_position=&amp;matt_ad_type=pla&amp;matt_merchant_id=5729444620&amp;matt_product_id=MLAU3829004796&amp;matt_product_partition_id=2441379582453&amp;matt_target_id=aud-2418879895625:pla-2441379582453&amp;cq_src=google_ads&amp;cq_cmp=23999626472&amp;cq_net=g&amp;cq_plt=gp&amp;cq_med=pla&amp;gad_source=1&amp;gad_campaignid=23999626472&amp;gbraid=0AAAAAD01zQY00IqYX7gF_GZzOWwrpe381&amp;gclid=Cj0KCQjw6_HSBhCpARIsANvVltYk6k-p_5SVRIe2scpWjtr-jf8NFekpuS__Kg_IZBlxjtz-4Fz43KMaAqv0EALw_wcB" TargetMode="External"/><Relationship Id="rId58" Type="http://schemas.openxmlformats.org/officeDocument/2006/relationships/hyperlink" Target="https://www.mercadolibre.com.ar/pack-x24-ltn-yo-vainilla-190gcu-las-tres-ninas/p/MLA67485509" TargetMode="External"/><Relationship Id="rId153" Type="http://schemas.openxmlformats.org/officeDocument/2006/relationships/hyperlink" Target="https://www.mercadolibre.com.ar/copas-de-vino-nadir-fume-gris-grabadas-personalizadas-10un/up/MLAU4157772175?pdp_filters=seller_id%3A711015397" TargetMode="External"/><Relationship Id="rId152" Type="http://schemas.openxmlformats.org/officeDocument/2006/relationships/hyperlink" Target="https://articulo.mercadolibre.com.ar/MLA-1452980135-toalla-mano-bordado-iniciales-franco-valente-500-gr-_JM?matt_tool=97413954&amp;matt_word=&amp;matt_source=google&amp;matt_campaign_id=23390548787&amp;matt_ad_group_id=189479897943&amp;matt_match_type=&amp;matt_network=g&amp;matt_device=c&amp;matt_creative=789984782089&amp;matt_keyword=&amp;matt_ad_position=&amp;matt_ad_type=pla&amp;matt_merchant_id=5435219668&amp;matt_product_id=MLA1452980135&amp;matt_product_partition_id=2392713115861&amp;matt_target_id=aud-2418879895625:pla-2392713115861&amp;cq_src=google_ads&amp;cq_cmp=23390548787&amp;cq_net=g&amp;cq_plt=gp&amp;cq_med=pla&amp;gad_source=1&amp;gad_campaignid=23390548787&amp;gbraid=0AAAAAD01zQY4Z5k8oj3QANrA2ktq55FRc&amp;gclid=Cj0KCQjw6_HSBhCpARIsANvVltZ_dzj_JMt2s1asLcJ1JZ3_HNlbXNaDlCDgoF5nPBX0GbMQ1Cvnb1EaAq1SEALw_wcB" TargetMode="External"/><Relationship Id="rId151" Type="http://schemas.openxmlformats.org/officeDocument/2006/relationships/hyperlink" Target="https://www.mercadolibre.com.ar/caja-de-almacenamiento-pequena-de-madera-lisa-3-unidades-p/p/MLA2060572916?matt_tool=38087446&amp;utm_source=google_shopping&amp;utm_medium=organic&amp;pdp_filters=item_id%3AMLA2811403230&amp;from=gshop" TargetMode="External"/><Relationship Id="rId158" Type="http://schemas.openxmlformats.org/officeDocument/2006/relationships/vmlDrawing" Target="../drawings/vmlDrawing6.vml"/><Relationship Id="rId157" Type="http://schemas.openxmlformats.org/officeDocument/2006/relationships/drawing" Target="../drawings/drawing8.xml"/><Relationship Id="rId156" Type="http://schemas.openxmlformats.org/officeDocument/2006/relationships/hyperlink" Target="https://www.mercadolibre.com.ar/caja-de-almacenamiento-pequena-de-madera-lisa-3-unidades-p/p/MLA2060572916?matt_tool=38087446&amp;utm_source=google_shopping&amp;utm_medium=organic&amp;pdp_filters=item_id%3AMLA2811403230&amp;from=gshop" TargetMode="External"/><Relationship Id="rId155" Type="http://schemas.openxmlformats.org/officeDocument/2006/relationships/hyperlink" Target="https://www.mercadolibre.com.ar/tapon-reutilizable-daza-para-botellas-de-vino-negro-con-bomba-al-vacio-plastico/p/MLA41532710?pdp_filters=item_id%3AMLA1455382317&amp;from=gshop&amp;matt_tool=99120742&amp;matt_word=&amp;matt_source=google&amp;matt_campaign_id=23390548556&amp;matt_ad_group_id=189479849263&amp;matt_match_type=&amp;matt_network=g&amp;matt_device=c&amp;matt_creative=789984777982&amp;matt_keyword=&amp;matt_ad_position=&amp;matt_ad_type=pla&amp;matt_merchant_id=735078350&amp;matt_product_id=MLA41532710-product&amp;matt_product_partition_id=2390507432638&amp;matt_target_id=aud-2418879895625:pla-2390507432638&amp;cq_src=google_ads&amp;cq_cmp=23390548556&amp;cq_net=g&amp;cq_plt=gp&amp;cq_med=pla&amp;gad_source=1&amp;gad_campaignid=23390548556&amp;gbraid=0AAAAAD01zQaRECRSpTTMdXD6dob0L5s5k&amp;gclid=Cj0KCQjw6_HSBhCpARIsANvVltbbPNoz4M_6a3-4nd-SBdqKnkHWmSj3Y9ARCqo8Omtqw26sEDxWaMQaAmW0EALw_wcB"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77E3E"/>
    <outlinePr summaryBelow="0" summaryRight="0"/>
    <pageSetUpPr/>
  </sheetPr>
  <sheetViews>
    <sheetView workbookViewId="0"/>
  </sheetViews>
  <sheetFormatPr customHeight="1" defaultColWidth="12.63" defaultRowHeight="15.0"/>
  <cols>
    <col customWidth="1" min="1" max="1" width="6.25"/>
    <col customWidth="1" min="2" max="2" width="45.88"/>
    <col customWidth="1" min="3" max="3" width="19.38"/>
    <col customWidth="1" min="4" max="4" width="14.75"/>
    <col customWidth="1" min="5" max="5" width="18.25"/>
    <col customWidth="1" min="6" max="6" width="27.88"/>
    <col customWidth="1" min="7" max="7" width="19.88"/>
    <col customWidth="1" min="8" max="8" width="30.38"/>
    <col customWidth="1" min="9" max="9" width="19.88"/>
    <col customWidth="1" min="10" max="10" width="23.75"/>
    <col customWidth="1" min="11" max="28" width="12.75"/>
  </cols>
  <sheetData>
    <row r="1" ht="27.0" customHeight="1">
      <c r="A1" s="1"/>
      <c r="B1" s="2"/>
      <c r="C1" s="3"/>
      <c r="D1" s="2"/>
      <c r="E1" s="2"/>
      <c r="F1" s="2"/>
      <c r="G1" s="1"/>
      <c r="H1" s="4"/>
      <c r="I1" s="1"/>
      <c r="J1" s="1"/>
      <c r="K1" s="1"/>
      <c r="L1" s="1"/>
      <c r="M1" s="1"/>
      <c r="N1" s="1"/>
      <c r="O1" s="1"/>
      <c r="P1" s="1"/>
      <c r="Q1" s="1"/>
      <c r="R1" s="1"/>
      <c r="S1" s="1"/>
      <c r="T1" s="1"/>
      <c r="U1" s="1"/>
      <c r="V1" s="1"/>
      <c r="W1" s="1"/>
      <c r="X1" s="1"/>
      <c r="Y1" s="1"/>
      <c r="Z1" s="1"/>
      <c r="AA1" s="5"/>
      <c r="AB1" s="5"/>
    </row>
    <row r="2" ht="27.0" customHeight="1">
      <c r="A2" s="1"/>
      <c r="B2" s="6" t="s">
        <v>0</v>
      </c>
      <c r="C2" s="7">
        <v>1450.0</v>
      </c>
      <c r="D2" s="1"/>
      <c r="E2" s="2"/>
      <c r="F2" s="8" t="s">
        <v>1</v>
      </c>
      <c r="G2" s="9">
        <v>1450.0</v>
      </c>
      <c r="H2" s="4"/>
      <c r="I2" s="1"/>
      <c r="J2" s="1"/>
      <c r="K2" s="1"/>
      <c r="L2" s="1"/>
      <c r="M2" s="1"/>
      <c r="N2" s="1"/>
      <c r="O2" s="1"/>
      <c r="P2" s="1"/>
      <c r="Q2" s="1"/>
      <c r="R2" s="1"/>
      <c r="S2" s="1"/>
      <c r="T2" s="1"/>
      <c r="U2" s="1"/>
      <c r="V2" s="1"/>
      <c r="W2" s="1"/>
      <c r="X2" s="1"/>
      <c r="Y2" s="1"/>
      <c r="Z2" s="1"/>
      <c r="AA2" s="5"/>
      <c r="AB2" s="5"/>
    </row>
    <row r="3" ht="27.0" customHeight="1">
      <c r="A3" s="1"/>
      <c r="B3" s="6" t="s">
        <v>2</v>
      </c>
      <c r="C3" s="10"/>
      <c r="D3" s="1"/>
      <c r="E3" s="2"/>
      <c r="F3" s="2"/>
      <c r="G3" s="1"/>
      <c r="H3" s="4"/>
      <c r="I3" s="1"/>
      <c r="J3" s="1"/>
      <c r="K3" s="1"/>
      <c r="L3" s="1"/>
      <c r="M3" s="1"/>
      <c r="N3" s="1"/>
      <c r="O3" s="1"/>
      <c r="P3" s="1"/>
      <c r="Q3" s="1"/>
      <c r="R3" s="1"/>
      <c r="S3" s="1"/>
      <c r="T3" s="1"/>
      <c r="U3" s="1"/>
      <c r="V3" s="1"/>
      <c r="W3" s="1"/>
      <c r="X3" s="1"/>
      <c r="Y3" s="1"/>
      <c r="Z3" s="1"/>
      <c r="AA3" s="5"/>
      <c r="AB3" s="5"/>
    </row>
    <row r="4" ht="27.0" customHeight="1">
      <c r="A4" s="1"/>
      <c r="B4" s="11" t="s">
        <v>3</v>
      </c>
      <c r="C4" s="12"/>
      <c r="D4" s="1"/>
      <c r="E4" s="2"/>
      <c r="F4" s="2"/>
      <c r="G4" s="1"/>
      <c r="H4" s="4"/>
      <c r="I4" s="1"/>
      <c r="J4" s="1"/>
      <c r="K4" s="1"/>
      <c r="L4" s="1"/>
      <c r="M4" s="1"/>
      <c r="N4" s="1"/>
      <c r="O4" s="1"/>
      <c r="P4" s="1"/>
      <c r="Q4" s="1"/>
      <c r="R4" s="1"/>
      <c r="S4" s="1"/>
      <c r="T4" s="1"/>
      <c r="U4" s="1"/>
      <c r="V4" s="1"/>
      <c r="W4" s="1"/>
      <c r="X4" s="1"/>
      <c r="Y4" s="1"/>
      <c r="Z4" s="1"/>
      <c r="AA4" s="5"/>
      <c r="AB4" s="5"/>
    </row>
    <row r="5" ht="27.0" customHeight="1">
      <c r="A5" s="1"/>
      <c r="B5" s="13" t="s">
        <v>4</v>
      </c>
      <c r="C5" s="14">
        <f>E76</f>
        <v>62545711.45</v>
      </c>
      <c r="D5" s="15" t="s">
        <v>5</v>
      </c>
      <c r="E5" s="2"/>
      <c r="F5" s="2"/>
      <c r="G5" s="1"/>
      <c r="H5" s="4"/>
      <c r="I5" s="1"/>
      <c r="J5" s="1"/>
      <c r="K5" s="1"/>
      <c r="L5" s="1"/>
      <c r="M5" s="1"/>
      <c r="N5" s="1"/>
      <c r="O5" s="1"/>
      <c r="P5" s="1"/>
      <c r="Q5" s="1"/>
      <c r="R5" s="1"/>
      <c r="S5" s="1"/>
      <c r="T5" s="1"/>
      <c r="U5" s="1"/>
      <c r="V5" s="1"/>
      <c r="W5" s="1"/>
      <c r="X5" s="1"/>
      <c r="Y5" s="1"/>
      <c r="Z5" s="1"/>
      <c r="AA5" s="5"/>
      <c r="AB5" s="5"/>
    </row>
    <row r="6" ht="27.0" customHeight="1">
      <c r="A6" s="1"/>
      <c r="B6" s="16" t="s">
        <v>6</v>
      </c>
      <c r="C6" s="17">
        <f>E156</f>
        <v>48278470.4</v>
      </c>
      <c r="D6" s="18"/>
      <c r="E6" s="2"/>
      <c r="F6" s="2"/>
      <c r="G6" s="1"/>
      <c r="H6" s="4"/>
      <c r="I6" s="1"/>
      <c r="J6" s="1"/>
      <c r="K6" s="1"/>
      <c r="L6" s="1"/>
      <c r="M6" s="1"/>
      <c r="N6" s="1"/>
      <c r="O6" s="1"/>
      <c r="P6" s="1"/>
      <c r="Q6" s="1"/>
      <c r="R6" s="1"/>
      <c r="S6" s="1"/>
      <c r="T6" s="1"/>
      <c r="U6" s="1"/>
      <c r="V6" s="1"/>
      <c r="W6" s="1"/>
      <c r="X6" s="1"/>
      <c r="Y6" s="1"/>
      <c r="Z6" s="1"/>
      <c r="AA6" s="5"/>
      <c r="AB6" s="5"/>
    </row>
    <row r="7" ht="27.0" customHeight="1">
      <c r="A7" s="1"/>
      <c r="B7" s="19" t="s">
        <v>7</v>
      </c>
      <c r="C7" s="20">
        <f>E221</f>
        <v>42777457.5</v>
      </c>
      <c r="D7" s="18"/>
      <c r="E7" s="2"/>
      <c r="F7" s="2"/>
      <c r="G7" s="1"/>
      <c r="H7" s="4"/>
      <c r="I7" s="1"/>
      <c r="J7" s="1"/>
      <c r="K7" s="1"/>
      <c r="L7" s="1"/>
      <c r="M7" s="1"/>
      <c r="N7" s="1"/>
      <c r="O7" s="1"/>
      <c r="P7" s="1"/>
      <c r="Q7" s="1"/>
      <c r="R7" s="1"/>
      <c r="S7" s="1"/>
      <c r="T7" s="1"/>
      <c r="U7" s="1"/>
      <c r="V7" s="1"/>
      <c r="W7" s="1"/>
      <c r="X7" s="1"/>
      <c r="Y7" s="1"/>
      <c r="Z7" s="1"/>
      <c r="AA7" s="5"/>
      <c r="AB7" s="5"/>
    </row>
    <row r="8" ht="27.0" customHeight="1">
      <c r="A8" s="1"/>
      <c r="B8" s="21" t="s">
        <v>8</v>
      </c>
      <c r="C8" s="22">
        <f>E246</f>
        <v>472685498</v>
      </c>
      <c r="D8" s="18"/>
      <c r="E8" s="2"/>
      <c r="F8" s="2"/>
      <c r="G8" s="1"/>
      <c r="H8" s="4"/>
      <c r="I8" s="1"/>
      <c r="J8" s="1"/>
      <c r="K8" s="1"/>
      <c r="L8" s="1"/>
      <c r="M8" s="1"/>
      <c r="N8" s="1"/>
      <c r="O8" s="1"/>
      <c r="P8" s="1"/>
      <c r="Q8" s="1"/>
      <c r="R8" s="1"/>
      <c r="S8" s="1"/>
      <c r="T8" s="1"/>
      <c r="U8" s="1"/>
      <c r="V8" s="1"/>
      <c r="W8" s="1"/>
      <c r="X8" s="1"/>
      <c r="Y8" s="1"/>
      <c r="Z8" s="1"/>
      <c r="AA8" s="5"/>
      <c r="AB8" s="5"/>
    </row>
    <row r="9" ht="27.0" customHeight="1">
      <c r="A9" s="1"/>
      <c r="B9" s="23" t="s">
        <v>9</v>
      </c>
      <c r="C9" s="24">
        <f>E255</f>
        <v>278034280</v>
      </c>
      <c r="D9" s="18"/>
      <c r="E9" s="2"/>
      <c r="F9" s="2"/>
      <c r="G9" s="1"/>
      <c r="H9" s="4"/>
      <c r="I9" s="1"/>
      <c r="J9" s="1"/>
      <c r="K9" s="1"/>
      <c r="L9" s="1"/>
      <c r="M9" s="1"/>
      <c r="N9" s="1"/>
      <c r="O9" s="1"/>
      <c r="P9" s="1"/>
      <c r="Q9" s="1"/>
      <c r="R9" s="1"/>
      <c r="S9" s="1"/>
      <c r="T9" s="1"/>
      <c r="U9" s="1"/>
      <c r="V9" s="1"/>
      <c r="W9" s="1"/>
      <c r="X9" s="1"/>
      <c r="Y9" s="1"/>
      <c r="Z9" s="1"/>
      <c r="AA9" s="5"/>
      <c r="AB9" s="5"/>
    </row>
    <row r="10" ht="27.0" customHeight="1">
      <c r="A10" s="1"/>
      <c r="B10" s="25" t="s">
        <v>10</v>
      </c>
      <c r="C10" s="26">
        <f>E271</f>
        <v>12132631.8</v>
      </c>
      <c r="D10" s="18"/>
      <c r="E10" s="2"/>
      <c r="F10" s="2"/>
      <c r="G10" s="1"/>
      <c r="H10" s="4"/>
      <c r="I10" s="1"/>
      <c r="J10" s="1"/>
      <c r="K10" s="1"/>
      <c r="L10" s="1"/>
      <c r="M10" s="1"/>
      <c r="N10" s="1"/>
      <c r="O10" s="1"/>
      <c r="P10" s="1"/>
      <c r="Q10" s="1"/>
      <c r="R10" s="1"/>
      <c r="S10" s="1"/>
      <c r="T10" s="1"/>
      <c r="U10" s="1"/>
      <c r="V10" s="1"/>
      <c r="W10" s="1"/>
      <c r="X10" s="1"/>
      <c r="Y10" s="1"/>
      <c r="Z10" s="1"/>
      <c r="AA10" s="5"/>
      <c r="AB10" s="5"/>
    </row>
    <row r="11" ht="27.0" customHeight="1">
      <c r="A11" s="1"/>
      <c r="B11" s="27" t="s">
        <v>11</v>
      </c>
      <c r="C11" s="28">
        <f>E279</f>
        <v>10547120</v>
      </c>
      <c r="D11" s="18"/>
      <c r="E11" s="2"/>
      <c r="F11" s="2"/>
      <c r="G11" s="1"/>
      <c r="H11" s="4"/>
      <c r="I11" s="1"/>
      <c r="J11" s="1"/>
      <c r="K11" s="1"/>
      <c r="L11" s="1"/>
      <c r="M11" s="1"/>
      <c r="N11" s="1"/>
      <c r="O11" s="1"/>
      <c r="P11" s="1"/>
      <c r="Q11" s="1"/>
      <c r="R11" s="1"/>
      <c r="S11" s="1"/>
      <c r="T11" s="1"/>
      <c r="U11" s="1"/>
      <c r="V11" s="1"/>
      <c r="W11" s="1"/>
      <c r="X11" s="1"/>
      <c r="Y11" s="1"/>
      <c r="Z11" s="1"/>
      <c r="AA11" s="5"/>
      <c r="AB11" s="5"/>
    </row>
    <row r="12" ht="27.0" customHeight="1">
      <c r="A12" s="1"/>
      <c r="B12" s="29" t="s">
        <v>12</v>
      </c>
      <c r="C12" s="30">
        <f>'6.6 Cashflow'!B71</f>
        <v>61549782</v>
      </c>
      <c r="D12" s="18"/>
      <c r="E12" s="2"/>
      <c r="F12" s="2"/>
      <c r="G12" s="1"/>
      <c r="H12" s="4"/>
      <c r="I12" s="1"/>
      <c r="J12" s="1"/>
      <c r="K12" s="1"/>
      <c r="L12" s="1"/>
      <c r="M12" s="1"/>
      <c r="N12" s="1"/>
      <c r="O12" s="1"/>
      <c r="P12" s="1"/>
      <c r="Q12" s="1"/>
      <c r="R12" s="1"/>
      <c r="S12" s="1"/>
      <c r="T12" s="1"/>
      <c r="U12" s="1"/>
      <c r="V12" s="1"/>
      <c r="W12" s="1"/>
      <c r="X12" s="1"/>
      <c r="Y12" s="1"/>
      <c r="Z12" s="1"/>
      <c r="AA12" s="5"/>
      <c r="AB12" s="5"/>
    </row>
    <row r="13" ht="27.0" customHeight="1">
      <c r="A13" s="1"/>
      <c r="B13" s="31" t="s">
        <v>13</v>
      </c>
      <c r="C13" s="32">
        <f>SUM(C5:C12)</f>
        <v>988550951.2</v>
      </c>
      <c r="D13" s="33"/>
      <c r="E13" s="2"/>
      <c r="F13" s="2"/>
      <c r="G13" s="1"/>
      <c r="H13" s="4"/>
      <c r="I13" s="1"/>
      <c r="J13" s="1"/>
      <c r="K13" s="1"/>
      <c r="L13" s="1"/>
      <c r="M13" s="1"/>
      <c r="N13" s="1"/>
      <c r="O13" s="1"/>
      <c r="P13" s="1"/>
      <c r="Q13" s="1"/>
      <c r="R13" s="1"/>
      <c r="S13" s="1"/>
      <c r="T13" s="1"/>
      <c r="U13" s="1"/>
      <c r="V13" s="1"/>
      <c r="W13" s="1"/>
      <c r="X13" s="1"/>
      <c r="Y13" s="1"/>
      <c r="Z13" s="1"/>
      <c r="AA13" s="5"/>
      <c r="AB13" s="5"/>
    </row>
    <row r="14" ht="27.0" customHeight="1">
      <c r="A14" s="1"/>
      <c r="B14" s="1"/>
      <c r="C14" s="34"/>
      <c r="D14" s="1"/>
      <c r="E14" s="2"/>
      <c r="F14" s="2"/>
      <c r="G14" s="1"/>
      <c r="H14" s="4"/>
      <c r="I14" s="1"/>
      <c r="J14" s="1"/>
      <c r="K14" s="1"/>
      <c r="L14" s="1"/>
      <c r="M14" s="1"/>
      <c r="N14" s="1"/>
      <c r="O14" s="1"/>
      <c r="P14" s="1"/>
      <c r="Q14" s="1"/>
      <c r="R14" s="1"/>
      <c r="S14" s="1"/>
      <c r="T14" s="1"/>
      <c r="U14" s="1"/>
      <c r="V14" s="1"/>
      <c r="W14" s="1"/>
      <c r="X14" s="1"/>
      <c r="Y14" s="1"/>
      <c r="Z14" s="1"/>
      <c r="AA14" s="5"/>
      <c r="AB14" s="5"/>
    </row>
    <row r="15" ht="27.0" customHeight="1">
      <c r="A15" s="1"/>
      <c r="B15" s="11" t="s">
        <v>14</v>
      </c>
      <c r="C15" s="12"/>
      <c r="D15" s="15" t="s">
        <v>5</v>
      </c>
      <c r="E15" s="2"/>
      <c r="F15" s="2"/>
      <c r="G15" s="1"/>
      <c r="H15" s="4"/>
      <c r="I15" s="1"/>
      <c r="J15" s="1"/>
      <c r="K15" s="1"/>
      <c r="L15" s="1"/>
      <c r="M15" s="1"/>
      <c r="N15" s="1"/>
      <c r="O15" s="1"/>
      <c r="P15" s="1"/>
      <c r="Q15" s="1"/>
      <c r="R15" s="1"/>
      <c r="S15" s="1"/>
      <c r="T15" s="1"/>
      <c r="U15" s="1"/>
      <c r="V15" s="1"/>
      <c r="W15" s="1"/>
      <c r="X15" s="1"/>
      <c r="Y15" s="1"/>
      <c r="Z15" s="1"/>
      <c r="AA15" s="5"/>
      <c r="AB15" s="5"/>
    </row>
    <row r="16" ht="27.0" customHeight="1">
      <c r="A16" s="1"/>
      <c r="B16" s="35" t="s">
        <v>15</v>
      </c>
      <c r="C16" s="36">
        <f>'6.2 Detalle de Financiación'!C11</f>
        <v>868550951.2</v>
      </c>
      <c r="D16" s="18"/>
      <c r="E16" s="2"/>
      <c r="F16" s="2"/>
      <c r="G16" s="1"/>
      <c r="H16" s="4"/>
      <c r="I16" s="1"/>
      <c r="J16" s="1"/>
      <c r="K16" s="1"/>
      <c r="L16" s="1"/>
      <c r="M16" s="1"/>
      <c r="N16" s="1"/>
      <c r="O16" s="1"/>
      <c r="P16" s="1"/>
      <c r="Q16" s="1"/>
      <c r="R16" s="1"/>
      <c r="S16" s="1"/>
      <c r="T16" s="1"/>
      <c r="U16" s="1"/>
      <c r="V16" s="1"/>
      <c r="W16" s="1"/>
      <c r="X16" s="1"/>
      <c r="Y16" s="1"/>
      <c r="Z16" s="1"/>
      <c r="AA16" s="5"/>
      <c r="AB16" s="5"/>
    </row>
    <row r="17" ht="27.0" customHeight="1">
      <c r="A17" s="1"/>
      <c r="B17" s="35" t="s">
        <v>16</v>
      </c>
      <c r="C17" s="36">
        <f>'6.2 Detalle de Financiación'!F6</f>
        <v>120000000</v>
      </c>
      <c r="D17" s="18"/>
      <c r="E17" s="2"/>
      <c r="F17" s="2"/>
      <c r="G17" s="1"/>
      <c r="H17" s="4"/>
      <c r="I17" s="1"/>
      <c r="J17" s="1"/>
      <c r="K17" s="1"/>
      <c r="L17" s="1"/>
      <c r="M17" s="1"/>
      <c r="N17" s="1"/>
      <c r="O17" s="1"/>
      <c r="P17" s="1"/>
      <c r="Q17" s="1"/>
      <c r="R17" s="1"/>
      <c r="S17" s="1"/>
      <c r="T17" s="1"/>
      <c r="U17" s="1"/>
      <c r="V17" s="1"/>
      <c r="W17" s="1"/>
      <c r="X17" s="1"/>
      <c r="Y17" s="1"/>
      <c r="Z17" s="1"/>
      <c r="AA17" s="5"/>
      <c r="AB17" s="5"/>
    </row>
    <row r="18" ht="27.0" customHeight="1">
      <c r="A18" s="1"/>
      <c r="B18" s="35" t="s">
        <v>17</v>
      </c>
      <c r="C18" s="36">
        <f>'6.2 Detalle de Financiación'!I6</f>
        <v>0</v>
      </c>
      <c r="D18" s="18"/>
      <c r="E18" s="2"/>
      <c r="F18" s="2"/>
      <c r="G18" s="1"/>
      <c r="H18" s="4"/>
      <c r="I18" s="1"/>
      <c r="J18" s="1"/>
      <c r="K18" s="1"/>
      <c r="L18" s="1"/>
      <c r="M18" s="1"/>
      <c r="N18" s="1"/>
      <c r="O18" s="1"/>
      <c r="P18" s="1"/>
      <c r="Q18" s="1"/>
      <c r="R18" s="1"/>
      <c r="S18" s="1"/>
      <c r="T18" s="1"/>
      <c r="U18" s="1"/>
      <c r="V18" s="1"/>
      <c r="W18" s="1"/>
      <c r="X18" s="1"/>
      <c r="Y18" s="1"/>
      <c r="Z18" s="1"/>
      <c r="AA18" s="5"/>
      <c r="AB18" s="5"/>
    </row>
    <row r="19" ht="27.0" customHeight="1">
      <c r="A19" s="1"/>
      <c r="B19" s="31" t="s">
        <v>18</v>
      </c>
      <c r="C19" s="32">
        <f>SUM(C16:C17)</f>
        <v>988550951.2</v>
      </c>
      <c r="D19" s="18"/>
      <c r="E19" s="2"/>
      <c r="F19" s="2"/>
      <c r="G19" s="1"/>
      <c r="H19" s="4"/>
      <c r="I19" s="1"/>
      <c r="J19" s="1"/>
      <c r="K19" s="1"/>
      <c r="L19" s="1"/>
      <c r="M19" s="1"/>
      <c r="N19" s="1"/>
      <c r="O19" s="1"/>
      <c r="P19" s="1"/>
      <c r="Q19" s="1"/>
      <c r="R19" s="1"/>
      <c r="S19" s="1"/>
      <c r="T19" s="1"/>
      <c r="U19" s="1"/>
      <c r="V19" s="1"/>
      <c r="W19" s="1"/>
      <c r="X19" s="1"/>
      <c r="Y19" s="1"/>
      <c r="Z19" s="1"/>
      <c r="AA19" s="5"/>
      <c r="AB19" s="5"/>
    </row>
    <row r="20" ht="27.0" customHeight="1">
      <c r="A20" s="1"/>
      <c r="B20" s="37"/>
      <c r="C20" s="12"/>
      <c r="D20" s="18"/>
      <c r="E20" s="8"/>
      <c r="F20" s="2"/>
      <c r="G20" s="1"/>
      <c r="H20" s="4"/>
      <c r="I20" s="1"/>
      <c r="J20" s="1"/>
      <c r="K20" s="1"/>
      <c r="L20" s="1"/>
      <c r="M20" s="1"/>
      <c r="N20" s="1"/>
      <c r="O20" s="1"/>
      <c r="P20" s="1"/>
      <c r="Q20" s="1"/>
      <c r="R20" s="1"/>
      <c r="S20" s="1"/>
      <c r="T20" s="1"/>
      <c r="U20" s="1"/>
      <c r="V20" s="1"/>
      <c r="W20" s="1"/>
      <c r="X20" s="1"/>
      <c r="Y20" s="1"/>
      <c r="Z20" s="1"/>
      <c r="AA20" s="5"/>
      <c r="AB20" s="5"/>
    </row>
    <row r="21">
      <c r="A21" s="1"/>
      <c r="B21" s="38" t="s">
        <v>19</v>
      </c>
      <c r="C21" s="39">
        <f>C19-C13</f>
        <v>-0.0005145072937</v>
      </c>
      <c r="D21" s="33"/>
      <c r="E21" s="8"/>
      <c r="F21" s="2"/>
      <c r="G21" s="1"/>
      <c r="H21" s="4"/>
      <c r="I21" s="1"/>
      <c r="J21" s="1"/>
      <c r="K21" s="1"/>
      <c r="L21" s="1"/>
      <c r="M21" s="1"/>
      <c r="N21" s="1"/>
      <c r="O21" s="1"/>
      <c r="P21" s="1"/>
      <c r="Q21" s="1"/>
      <c r="R21" s="1"/>
      <c r="S21" s="1"/>
      <c r="T21" s="1"/>
      <c r="U21" s="1"/>
      <c r="V21" s="1"/>
      <c r="W21" s="1"/>
      <c r="X21" s="1"/>
      <c r="Y21" s="1"/>
      <c r="Z21" s="1"/>
      <c r="AA21" s="5"/>
      <c r="AB21" s="5"/>
    </row>
    <row r="22" ht="27.0" customHeight="1">
      <c r="A22" s="1"/>
      <c r="B22" s="2"/>
      <c r="C22" s="3"/>
      <c r="D22" s="2"/>
      <c r="E22" s="2"/>
      <c r="F22" s="2"/>
      <c r="G22" s="1"/>
      <c r="H22" s="4"/>
      <c r="I22" s="1"/>
      <c r="J22" s="1"/>
      <c r="K22" s="1"/>
      <c r="L22" s="1"/>
      <c r="M22" s="1"/>
      <c r="N22" s="1"/>
      <c r="O22" s="1"/>
      <c r="P22" s="1"/>
      <c r="Q22" s="1"/>
      <c r="R22" s="1"/>
      <c r="S22" s="1"/>
      <c r="T22" s="1"/>
      <c r="U22" s="1"/>
      <c r="V22" s="1"/>
      <c r="W22" s="1"/>
      <c r="X22" s="1"/>
      <c r="Y22" s="1"/>
      <c r="Z22" s="1"/>
      <c r="AA22" s="5"/>
      <c r="AB22" s="5"/>
    </row>
    <row r="23" ht="27.0" customHeight="1">
      <c r="A23" s="1"/>
      <c r="B23" s="40" t="s">
        <v>20</v>
      </c>
      <c r="C23" s="41"/>
      <c r="D23" s="41"/>
      <c r="E23" s="41"/>
      <c r="F23" s="42"/>
      <c r="G23" s="1"/>
      <c r="K23" s="1"/>
      <c r="L23" s="1"/>
      <c r="M23" s="1"/>
      <c r="N23" s="1"/>
      <c r="O23" s="1"/>
      <c r="P23" s="1"/>
      <c r="Q23" s="1"/>
      <c r="R23" s="1"/>
      <c r="S23" s="1"/>
      <c r="T23" s="1"/>
      <c r="U23" s="1"/>
      <c r="V23" s="1"/>
      <c r="W23" s="1"/>
      <c r="X23" s="1"/>
      <c r="Y23" s="1"/>
      <c r="Z23" s="1"/>
      <c r="AA23" s="5"/>
      <c r="AB23" s="5"/>
    </row>
    <row r="24" ht="27.0" customHeight="1">
      <c r="A24" s="1"/>
      <c r="B24" s="43"/>
      <c r="C24" s="44"/>
      <c r="D24" s="44"/>
      <c r="E24" s="44"/>
      <c r="F24" s="45"/>
      <c r="G24" s="1"/>
      <c r="K24" s="1"/>
      <c r="L24" s="1"/>
      <c r="M24" s="1"/>
      <c r="N24" s="1"/>
      <c r="O24" s="1"/>
      <c r="P24" s="1"/>
      <c r="Q24" s="1"/>
      <c r="R24" s="1"/>
      <c r="S24" s="1"/>
      <c r="T24" s="1"/>
      <c r="U24" s="1"/>
      <c r="V24" s="1"/>
      <c r="W24" s="1"/>
      <c r="X24" s="1"/>
      <c r="Y24" s="1"/>
      <c r="Z24" s="1"/>
      <c r="AA24" s="5"/>
      <c r="AB24" s="5"/>
    </row>
    <row r="25" ht="23.25" customHeight="1">
      <c r="A25" s="1"/>
      <c r="B25" s="46" t="s">
        <v>4</v>
      </c>
      <c r="C25" s="47"/>
      <c r="D25" s="47"/>
      <c r="E25" s="47"/>
      <c r="F25" s="12"/>
      <c r="G25" s="1"/>
      <c r="K25" s="1"/>
      <c r="L25" s="1"/>
      <c r="M25" s="1"/>
      <c r="N25" s="1"/>
      <c r="O25" s="1"/>
      <c r="P25" s="1"/>
      <c r="Q25" s="1"/>
      <c r="R25" s="1"/>
      <c r="S25" s="1"/>
      <c r="T25" s="1"/>
      <c r="U25" s="1"/>
      <c r="V25" s="1"/>
      <c r="W25" s="1"/>
      <c r="X25" s="1"/>
      <c r="Y25" s="1"/>
      <c r="Z25" s="1"/>
      <c r="AA25" s="5"/>
      <c r="AB25" s="5"/>
    </row>
    <row r="26" ht="31.5" customHeight="1">
      <c r="A26" s="1"/>
      <c r="B26" s="48" t="s">
        <v>21</v>
      </c>
      <c r="C26" s="49" t="s">
        <v>22</v>
      </c>
      <c r="D26" s="50" t="s">
        <v>23</v>
      </c>
      <c r="E26" s="50" t="s">
        <v>24</v>
      </c>
      <c r="F26" s="50" t="s">
        <v>25</v>
      </c>
      <c r="G26" s="1"/>
      <c r="K26" s="1"/>
      <c r="L26" s="1"/>
      <c r="M26" s="1"/>
      <c r="N26" s="1"/>
      <c r="O26" s="1"/>
      <c r="P26" s="1"/>
      <c r="Q26" s="1"/>
      <c r="R26" s="1"/>
      <c r="S26" s="1"/>
      <c r="T26" s="1"/>
      <c r="U26" s="1"/>
      <c r="V26" s="1"/>
      <c r="W26" s="1"/>
      <c r="X26" s="1"/>
      <c r="Y26" s="1"/>
      <c r="Z26" s="1"/>
      <c r="AA26" s="5"/>
      <c r="AB26" s="5"/>
    </row>
    <row r="27" ht="23.25" customHeight="1">
      <c r="A27" s="1"/>
      <c r="B27" s="51" t="s">
        <v>26</v>
      </c>
      <c r="C27" s="52">
        <v>482516.9</v>
      </c>
      <c r="D27" s="51">
        <v>12.0</v>
      </c>
      <c r="E27" s="53">
        <f t="shared" ref="E27:E60" si="1">C27*D27</f>
        <v>5790202.8</v>
      </c>
      <c r="F27" s="54" t="s">
        <v>27</v>
      </c>
      <c r="G27" s="1"/>
      <c r="K27" s="1"/>
      <c r="L27" s="1"/>
      <c r="M27" s="1"/>
      <c r="N27" s="1"/>
      <c r="O27" s="1"/>
      <c r="P27" s="1"/>
      <c r="Q27" s="1"/>
      <c r="R27" s="1"/>
      <c r="S27" s="1"/>
      <c r="T27" s="1"/>
      <c r="U27" s="1"/>
      <c r="V27" s="1"/>
      <c r="W27" s="1"/>
      <c r="X27" s="1"/>
      <c r="Y27" s="1"/>
      <c r="Z27" s="1"/>
      <c r="AA27" s="5"/>
      <c r="AB27" s="5"/>
    </row>
    <row r="28" ht="23.25" customHeight="1">
      <c r="A28" s="1"/>
      <c r="B28" s="51" t="s">
        <v>28</v>
      </c>
      <c r="C28" s="52">
        <v>222229.51</v>
      </c>
      <c r="D28" s="51">
        <v>6.0</v>
      </c>
      <c r="E28" s="53">
        <f t="shared" si="1"/>
        <v>1333377.06</v>
      </c>
      <c r="F28" s="54" t="s">
        <v>29</v>
      </c>
      <c r="G28" s="1"/>
      <c r="K28" s="1"/>
      <c r="L28" s="1"/>
      <c r="M28" s="1"/>
      <c r="N28" s="1"/>
      <c r="O28" s="1"/>
      <c r="P28" s="1"/>
      <c r="Q28" s="1"/>
      <c r="R28" s="1"/>
      <c r="S28" s="1"/>
      <c r="T28" s="1"/>
      <c r="U28" s="1"/>
      <c r="V28" s="1"/>
      <c r="W28" s="1"/>
      <c r="X28" s="1"/>
      <c r="Y28" s="1"/>
      <c r="Z28" s="1"/>
      <c r="AA28" s="5"/>
      <c r="AB28" s="5"/>
    </row>
    <row r="29" ht="23.25" customHeight="1">
      <c r="A29" s="1"/>
      <c r="B29" s="51" t="s">
        <v>30</v>
      </c>
      <c r="C29" s="52">
        <v>46035.0</v>
      </c>
      <c r="D29" s="51">
        <v>36.0</v>
      </c>
      <c r="E29" s="53">
        <f t="shared" si="1"/>
        <v>1657260</v>
      </c>
      <c r="F29" s="54" t="s">
        <v>31</v>
      </c>
      <c r="G29" s="1"/>
      <c r="K29" s="1"/>
      <c r="L29" s="1"/>
      <c r="M29" s="1"/>
      <c r="N29" s="1"/>
      <c r="O29" s="1"/>
      <c r="P29" s="1"/>
      <c r="Q29" s="1"/>
      <c r="R29" s="1"/>
      <c r="S29" s="1"/>
      <c r="T29" s="1"/>
      <c r="U29" s="1"/>
      <c r="V29" s="1"/>
      <c r="W29" s="1"/>
      <c r="X29" s="1"/>
      <c r="Y29" s="1"/>
      <c r="Z29" s="1"/>
      <c r="AA29" s="5"/>
      <c r="AB29" s="5"/>
    </row>
    <row r="30" ht="23.25" customHeight="1">
      <c r="A30" s="1"/>
      <c r="B30" s="51" t="s">
        <v>32</v>
      </c>
      <c r="C30" s="52">
        <v>71836.88</v>
      </c>
      <c r="D30" s="51">
        <v>18.0</v>
      </c>
      <c r="E30" s="53">
        <f t="shared" si="1"/>
        <v>1293063.84</v>
      </c>
      <c r="F30" s="54" t="s">
        <v>33</v>
      </c>
      <c r="G30" s="1"/>
      <c r="K30" s="1"/>
      <c r="L30" s="1"/>
      <c r="M30" s="1"/>
      <c r="N30" s="1"/>
      <c r="O30" s="1"/>
      <c r="P30" s="1"/>
      <c r="Q30" s="1"/>
      <c r="R30" s="1"/>
      <c r="S30" s="1"/>
      <c r="T30" s="1"/>
      <c r="U30" s="1"/>
      <c r="V30" s="1"/>
      <c r="W30" s="1"/>
      <c r="X30" s="1"/>
      <c r="Y30" s="1"/>
      <c r="Z30" s="1"/>
      <c r="AA30" s="5"/>
      <c r="AB30" s="5"/>
    </row>
    <row r="31" ht="23.25" customHeight="1">
      <c r="A31" s="1"/>
      <c r="B31" s="51" t="s">
        <v>34</v>
      </c>
      <c r="C31" s="52">
        <v>62000.0</v>
      </c>
      <c r="D31" s="51">
        <v>36.0</v>
      </c>
      <c r="E31" s="53">
        <f t="shared" si="1"/>
        <v>2232000</v>
      </c>
      <c r="F31" s="54" t="s">
        <v>35</v>
      </c>
      <c r="G31" s="1"/>
      <c r="K31" s="1"/>
      <c r="L31" s="1"/>
      <c r="M31" s="1"/>
      <c r="N31" s="1"/>
      <c r="O31" s="1"/>
      <c r="P31" s="1"/>
      <c r="Q31" s="1"/>
      <c r="R31" s="1"/>
      <c r="S31" s="1"/>
      <c r="T31" s="1"/>
      <c r="U31" s="1"/>
      <c r="V31" s="1"/>
      <c r="W31" s="1"/>
      <c r="X31" s="1"/>
      <c r="Y31" s="1"/>
      <c r="Z31" s="1"/>
      <c r="AA31" s="5"/>
      <c r="AB31" s="5"/>
    </row>
    <row r="32" ht="23.25" customHeight="1">
      <c r="A32" s="1"/>
      <c r="B32" s="51" t="s">
        <v>36</v>
      </c>
      <c r="C32" s="52">
        <v>249000.0</v>
      </c>
      <c r="D32" s="51">
        <v>6.0</v>
      </c>
      <c r="E32" s="53">
        <f t="shared" si="1"/>
        <v>1494000</v>
      </c>
      <c r="F32" s="54" t="s">
        <v>37</v>
      </c>
      <c r="G32" s="1"/>
      <c r="K32" s="1"/>
      <c r="L32" s="1"/>
      <c r="M32" s="1"/>
      <c r="N32" s="1"/>
      <c r="O32" s="1"/>
      <c r="P32" s="1"/>
      <c r="Q32" s="1"/>
      <c r="R32" s="1"/>
      <c r="S32" s="1"/>
      <c r="T32" s="1"/>
      <c r="U32" s="1"/>
      <c r="V32" s="1"/>
      <c r="W32" s="1"/>
      <c r="X32" s="1"/>
      <c r="Y32" s="1"/>
      <c r="Z32" s="1"/>
      <c r="AA32" s="5"/>
      <c r="AB32" s="5"/>
    </row>
    <row r="33" ht="23.25" customHeight="1">
      <c r="A33" s="1"/>
      <c r="B33" s="51" t="s">
        <v>38</v>
      </c>
      <c r="C33" s="52">
        <v>157180.0</v>
      </c>
      <c r="D33" s="51">
        <v>3.0</v>
      </c>
      <c r="E33" s="53">
        <f t="shared" si="1"/>
        <v>471540</v>
      </c>
      <c r="F33" s="54" t="s">
        <v>39</v>
      </c>
      <c r="G33" s="1"/>
      <c r="K33" s="1"/>
      <c r="L33" s="1"/>
      <c r="M33" s="1"/>
      <c r="N33" s="1"/>
      <c r="O33" s="1"/>
      <c r="P33" s="1"/>
      <c r="Q33" s="1"/>
      <c r="R33" s="1"/>
      <c r="S33" s="1"/>
      <c r="T33" s="1"/>
      <c r="U33" s="1"/>
      <c r="V33" s="1"/>
      <c r="W33" s="1"/>
      <c r="X33" s="1"/>
      <c r="Y33" s="1"/>
      <c r="Z33" s="1"/>
      <c r="AA33" s="5"/>
      <c r="AB33" s="5"/>
    </row>
    <row r="34" ht="23.25" customHeight="1">
      <c r="A34" s="1"/>
      <c r="B34" s="51" t="s">
        <v>40</v>
      </c>
      <c r="C34" s="52">
        <v>61731.25</v>
      </c>
      <c r="D34" s="51">
        <v>2.0</v>
      </c>
      <c r="E34" s="53">
        <f t="shared" si="1"/>
        <v>123462.5</v>
      </c>
      <c r="F34" s="54" t="s">
        <v>41</v>
      </c>
      <c r="G34" s="1"/>
      <c r="K34" s="1"/>
      <c r="L34" s="1"/>
      <c r="M34" s="1"/>
      <c r="N34" s="1"/>
      <c r="O34" s="1"/>
      <c r="P34" s="1"/>
      <c r="Q34" s="1"/>
      <c r="R34" s="1"/>
      <c r="S34" s="1"/>
      <c r="T34" s="1"/>
      <c r="U34" s="1"/>
      <c r="V34" s="1"/>
      <c r="W34" s="1"/>
      <c r="X34" s="1"/>
      <c r="Y34" s="1"/>
      <c r="Z34" s="1"/>
      <c r="AA34" s="1"/>
      <c r="AB34" s="1"/>
    </row>
    <row r="35" ht="30.0" customHeight="1">
      <c r="A35" s="1"/>
      <c r="B35" s="51" t="s">
        <v>42</v>
      </c>
      <c r="C35" s="52">
        <v>179999.0</v>
      </c>
      <c r="D35" s="51">
        <v>6.0</v>
      </c>
      <c r="E35" s="53">
        <f t="shared" si="1"/>
        <v>1079994</v>
      </c>
      <c r="F35" s="54" t="s">
        <v>43</v>
      </c>
      <c r="G35" s="1"/>
      <c r="K35" s="1"/>
      <c r="L35" s="1"/>
      <c r="M35" s="1"/>
      <c r="N35" s="1"/>
      <c r="O35" s="1"/>
      <c r="P35" s="1"/>
      <c r="Q35" s="1"/>
      <c r="R35" s="1"/>
      <c r="S35" s="1"/>
      <c r="T35" s="1"/>
      <c r="U35" s="1"/>
      <c r="V35" s="1"/>
      <c r="W35" s="1"/>
      <c r="X35" s="1"/>
      <c r="Y35" s="1"/>
      <c r="Z35" s="1"/>
      <c r="AA35" s="1"/>
      <c r="AB35" s="1"/>
    </row>
    <row r="36" ht="23.25" customHeight="1">
      <c r="A36" s="1"/>
      <c r="B36" s="55" t="s">
        <v>44</v>
      </c>
      <c r="C36" s="52">
        <v>320000.0</v>
      </c>
      <c r="D36" s="51">
        <v>6.0</v>
      </c>
      <c r="E36" s="53">
        <f t="shared" si="1"/>
        <v>1920000</v>
      </c>
      <c r="F36" s="54" t="s">
        <v>45</v>
      </c>
      <c r="G36" s="1"/>
      <c r="K36" s="1"/>
      <c r="L36" s="1"/>
      <c r="M36" s="1"/>
      <c r="N36" s="1"/>
      <c r="O36" s="1"/>
      <c r="P36" s="1"/>
      <c r="Q36" s="1"/>
      <c r="R36" s="1"/>
      <c r="S36" s="1"/>
      <c r="T36" s="1"/>
      <c r="U36" s="1"/>
      <c r="V36" s="1"/>
      <c r="W36" s="1"/>
      <c r="X36" s="1"/>
      <c r="Y36" s="1"/>
      <c r="Z36" s="1"/>
      <c r="AA36" s="1"/>
      <c r="AB36" s="1"/>
    </row>
    <row r="37" ht="23.25" customHeight="1">
      <c r="A37" s="1"/>
      <c r="B37" s="55" t="s">
        <v>46</v>
      </c>
      <c r="C37" s="52">
        <v>76050.0</v>
      </c>
      <c r="D37" s="51">
        <v>6.0</v>
      </c>
      <c r="E37" s="53">
        <f t="shared" si="1"/>
        <v>456300</v>
      </c>
      <c r="F37" s="54" t="s">
        <v>47</v>
      </c>
      <c r="G37" s="1"/>
      <c r="H37" s="56" t="s">
        <v>48</v>
      </c>
      <c r="K37" s="1"/>
      <c r="L37" s="1"/>
      <c r="M37" s="1"/>
      <c r="N37" s="1"/>
      <c r="O37" s="1"/>
      <c r="P37" s="1"/>
      <c r="Q37" s="1"/>
      <c r="R37" s="1"/>
      <c r="S37" s="1"/>
      <c r="T37" s="1"/>
      <c r="U37" s="1"/>
      <c r="V37" s="1"/>
      <c r="W37" s="1"/>
      <c r="X37" s="1"/>
      <c r="Y37" s="1"/>
      <c r="Z37" s="1"/>
      <c r="AA37" s="1"/>
      <c r="AB37" s="1"/>
    </row>
    <row r="38" ht="23.25" customHeight="1">
      <c r="A38" s="1"/>
      <c r="B38" s="55" t="s">
        <v>49</v>
      </c>
      <c r="C38" s="52">
        <v>182607.29</v>
      </c>
      <c r="D38" s="51">
        <v>6.0</v>
      </c>
      <c r="E38" s="53">
        <f t="shared" si="1"/>
        <v>1095643.74</v>
      </c>
      <c r="F38" s="54" t="s">
        <v>50</v>
      </c>
      <c r="G38" s="1"/>
      <c r="K38" s="1"/>
      <c r="L38" s="1"/>
      <c r="M38" s="1"/>
      <c r="N38" s="1"/>
      <c r="O38" s="1"/>
      <c r="P38" s="1"/>
      <c r="Q38" s="1"/>
      <c r="R38" s="1"/>
      <c r="S38" s="1"/>
      <c r="T38" s="1"/>
      <c r="U38" s="1"/>
      <c r="V38" s="1"/>
      <c r="W38" s="1"/>
      <c r="X38" s="1"/>
      <c r="Y38" s="1"/>
      <c r="Z38" s="1"/>
      <c r="AA38" s="1"/>
      <c r="AB38" s="1"/>
    </row>
    <row r="39" ht="23.25" customHeight="1">
      <c r="A39" s="1"/>
      <c r="B39" s="51" t="s">
        <v>51</v>
      </c>
      <c r="C39" s="52">
        <v>800567.0</v>
      </c>
      <c r="D39" s="51">
        <v>6.0</v>
      </c>
      <c r="E39" s="53">
        <f t="shared" si="1"/>
        <v>4803402</v>
      </c>
      <c r="F39" s="54" t="s">
        <v>52</v>
      </c>
      <c r="G39" s="1"/>
      <c r="K39" s="1"/>
      <c r="L39" s="1"/>
      <c r="M39" s="1"/>
      <c r="N39" s="1"/>
      <c r="O39" s="1"/>
      <c r="P39" s="1"/>
      <c r="Q39" s="1"/>
      <c r="R39" s="1"/>
      <c r="S39" s="1"/>
      <c r="T39" s="1"/>
      <c r="U39" s="1"/>
      <c r="V39" s="1"/>
      <c r="W39" s="1"/>
      <c r="X39" s="1"/>
      <c r="Y39" s="1"/>
      <c r="Z39" s="1"/>
      <c r="AA39" s="1"/>
      <c r="AB39" s="1"/>
    </row>
    <row r="40" ht="23.25" customHeight="1">
      <c r="A40" s="1"/>
      <c r="B40" s="57" t="s">
        <v>53</v>
      </c>
      <c r="C40" s="52">
        <v>100079.75</v>
      </c>
      <c r="D40" s="51">
        <v>36.0</v>
      </c>
      <c r="E40" s="53">
        <f t="shared" si="1"/>
        <v>3602871</v>
      </c>
      <c r="F40" s="54" t="s">
        <v>54</v>
      </c>
      <c r="G40" s="1"/>
      <c r="K40" s="1"/>
      <c r="L40" s="1"/>
      <c r="M40" s="1"/>
      <c r="N40" s="1"/>
      <c r="O40" s="1"/>
      <c r="P40" s="1"/>
      <c r="Q40" s="1"/>
      <c r="R40" s="1"/>
      <c r="S40" s="1"/>
      <c r="T40" s="1"/>
      <c r="U40" s="1"/>
      <c r="V40" s="1"/>
      <c r="W40" s="1"/>
      <c r="X40" s="1"/>
      <c r="Y40" s="1"/>
      <c r="Z40" s="1"/>
      <c r="AA40" s="1"/>
      <c r="AB40" s="1"/>
    </row>
    <row r="41" ht="23.25" customHeight="1">
      <c r="A41" s="1"/>
      <c r="B41" s="51" t="s">
        <v>55</v>
      </c>
      <c r="C41" s="52">
        <v>138032.78</v>
      </c>
      <c r="D41" s="51">
        <v>18.0</v>
      </c>
      <c r="E41" s="53">
        <f t="shared" si="1"/>
        <v>2484590.04</v>
      </c>
      <c r="F41" s="54" t="s">
        <v>56</v>
      </c>
      <c r="G41" s="1"/>
      <c r="K41" s="1"/>
      <c r="L41" s="58"/>
      <c r="M41" s="1"/>
      <c r="N41" s="1"/>
      <c r="O41" s="1"/>
      <c r="P41" s="1"/>
      <c r="Q41" s="1"/>
      <c r="R41" s="1"/>
      <c r="S41" s="1"/>
      <c r="T41" s="1"/>
      <c r="U41" s="1"/>
      <c r="V41" s="1"/>
      <c r="W41" s="1"/>
      <c r="X41" s="1"/>
      <c r="Y41" s="1"/>
      <c r="Z41" s="1"/>
      <c r="AA41" s="1"/>
      <c r="AB41" s="1"/>
    </row>
    <row r="42" ht="23.25" customHeight="1">
      <c r="A42" s="1"/>
      <c r="B42" s="55" t="s">
        <v>57</v>
      </c>
      <c r="C42" s="52">
        <v>63155.0</v>
      </c>
      <c r="D42" s="51">
        <v>36.0</v>
      </c>
      <c r="E42" s="53">
        <f t="shared" si="1"/>
        <v>2273580</v>
      </c>
      <c r="F42" s="54" t="s">
        <v>58</v>
      </c>
      <c r="G42" s="1"/>
      <c r="K42" s="1"/>
      <c r="L42" s="58"/>
      <c r="M42" s="1"/>
      <c r="N42" s="1"/>
      <c r="O42" s="1"/>
      <c r="P42" s="1"/>
      <c r="Q42" s="1"/>
      <c r="R42" s="1"/>
      <c r="S42" s="1"/>
      <c r="T42" s="1"/>
      <c r="U42" s="1"/>
      <c r="V42" s="1"/>
      <c r="W42" s="1"/>
      <c r="X42" s="1"/>
      <c r="Y42" s="1"/>
      <c r="Z42" s="1"/>
      <c r="AA42" s="1"/>
      <c r="AB42" s="1"/>
    </row>
    <row r="43" ht="23.25" customHeight="1">
      <c r="A43" s="1"/>
      <c r="B43" s="51" t="s">
        <v>59</v>
      </c>
      <c r="C43" s="52">
        <v>262808.55</v>
      </c>
      <c r="D43" s="51">
        <v>18.0</v>
      </c>
      <c r="E43" s="53">
        <f t="shared" si="1"/>
        <v>4730553.9</v>
      </c>
      <c r="F43" s="54" t="s">
        <v>60</v>
      </c>
      <c r="G43" s="1"/>
      <c r="K43" s="1"/>
      <c r="L43" s="1"/>
      <c r="M43" s="1"/>
      <c r="N43" s="1"/>
      <c r="O43" s="1"/>
      <c r="P43" s="1"/>
      <c r="Q43" s="1"/>
      <c r="R43" s="1"/>
      <c r="S43" s="1"/>
      <c r="T43" s="1"/>
      <c r="U43" s="1"/>
      <c r="V43" s="1"/>
      <c r="W43" s="1"/>
      <c r="X43" s="1"/>
      <c r="Y43" s="1"/>
      <c r="Z43" s="1"/>
      <c r="AA43" s="1"/>
      <c r="AB43" s="1"/>
    </row>
    <row r="44" ht="54.0" customHeight="1">
      <c r="A44" s="1"/>
      <c r="B44" s="51" t="s">
        <v>61</v>
      </c>
      <c r="C44" s="52">
        <v>184989.15</v>
      </c>
      <c r="D44" s="51">
        <v>36.0</v>
      </c>
      <c r="E44" s="53">
        <f t="shared" si="1"/>
        <v>6659609.4</v>
      </c>
      <c r="F44" s="54" t="s">
        <v>62</v>
      </c>
      <c r="G44" s="1"/>
      <c r="K44" s="1"/>
      <c r="L44" s="1"/>
      <c r="M44" s="1"/>
      <c r="N44" s="1"/>
      <c r="O44" s="1"/>
      <c r="P44" s="1"/>
      <c r="Q44" s="1"/>
      <c r="R44" s="1"/>
      <c r="S44" s="1"/>
      <c r="T44" s="1"/>
      <c r="U44" s="1"/>
      <c r="V44" s="1"/>
      <c r="W44" s="1"/>
      <c r="X44" s="1"/>
      <c r="Y44" s="1"/>
      <c r="Z44" s="1"/>
      <c r="AA44" s="1"/>
      <c r="AB44" s="1"/>
    </row>
    <row r="45" ht="23.25" customHeight="1">
      <c r="A45" s="1"/>
      <c r="B45" s="51" t="s">
        <v>63</v>
      </c>
      <c r="C45" s="52">
        <v>17640.0</v>
      </c>
      <c r="D45" s="51">
        <v>36.0</v>
      </c>
      <c r="E45" s="53">
        <f t="shared" si="1"/>
        <v>635040</v>
      </c>
      <c r="F45" s="54" t="s">
        <v>64</v>
      </c>
      <c r="G45" s="1"/>
      <c r="H45" s="59"/>
      <c r="I45" s="59"/>
      <c r="J45" s="59"/>
      <c r="K45" s="1"/>
      <c r="L45" s="1"/>
      <c r="M45" s="1"/>
      <c r="N45" s="1"/>
      <c r="O45" s="1"/>
      <c r="P45" s="1"/>
      <c r="Q45" s="1"/>
      <c r="R45" s="1"/>
      <c r="S45" s="1"/>
      <c r="T45" s="1"/>
      <c r="U45" s="1"/>
      <c r="V45" s="1"/>
      <c r="W45" s="1"/>
      <c r="X45" s="1"/>
      <c r="Y45" s="1"/>
      <c r="Z45" s="1"/>
      <c r="AA45" s="1"/>
      <c r="AB45" s="1"/>
    </row>
    <row r="46" ht="23.25" customHeight="1">
      <c r="A46" s="1"/>
      <c r="B46" s="51" t="s">
        <v>65</v>
      </c>
      <c r="C46" s="52">
        <v>48900.0</v>
      </c>
      <c r="D46" s="51">
        <v>6.0</v>
      </c>
      <c r="E46" s="53">
        <f t="shared" si="1"/>
        <v>293400</v>
      </c>
      <c r="F46" s="54" t="s">
        <v>66</v>
      </c>
      <c r="G46" s="1"/>
      <c r="H46" s="59"/>
      <c r="I46" s="59"/>
      <c r="J46" s="59"/>
      <c r="K46" s="1"/>
      <c r="L46" s="1"/>
      <c r="M46" s="1"/>
      <c r="N46" s="1"/>
      <c r="O46" s="1"/>
      <c r="P46" s="1"/>
      <c r="Q46" s="1"/>
      <c r="R46" s="1"/>
      <c r="S46" s="1"/>
      <c r="T46" s="1"/>
      <c r="U46" s="1"/>
      <c r="V46" s="1"/>
      <c r="W46" s="1"/>
      <c r="X46" s="1"/>
      <c r="Y46" s="1"/>
      <c r="Z46" s="1"/>
      <c r="AA46" s="1"/>
      <c r="AB46" s="1"/>
    </row>
    <row r="47" ht="23.25" customHeight="1">
      <c r="A47" s="1"/>
      <c r="B47" s="57" t="s">
        <v>67</v>
      </c>
      <c r="C47" s="52">
        <v>899999.0</v>
      </c>
      <c r="D47" s="51">
        <v>6.0</v>
      </c>
      <c r="E47" s="53">
        <f t="shared" si="1"/>
        <v>5399994</v>
      </c>
      <c r="F47" s="54" t="s">
        <v>68</v>
      </c>
      <c r="G47" s="1"/>
      <c r="H47" s="59"/>
      <c r="I47" s="59"/>
      <c r="J47" s="59"/>
      <c r="K47" s="1"/>
      <c r="L47" s="1"/>
      <c r="M47" s="1"/>
      <c r="N47" s="1"/>
      <c r="O47" s="1"/>
      <c r="P47" s="1"/>
      <c r="Q47" s="1"/>
      <c r="R47" s="1"/>
      <c r="S47" s="1"/>
      <c r="T47" s="1"/>
      <c r="U47" s="1"/>
      <c r="V47" s="1"/>
      <c r="W47" s="1"/>
      <c r="X47" s="1"/>
      <c r="Y47" s="1"/>
      <c r="Z47" s="1"/>
      <c r="AA47" s="1"/>
      <c r="AB47" s="1"/>
    </row>
    <row r="48" ht="24.0" customHeight="1">
      <c r="A48" s="1"/>
      <c r="B48" s="60" t="s">
        <v>69</v>
      </c>
      <c r="C48" s="52">
        <v>323619.01</v>
      </c>
      <c r="D48" s="51">
        <v>6.0</v>
      </c>
      <c r="E48" s="53">
        <f t="shared" si="1"/>
        <v>1941714.06</v>
      </c>
      <c r="F48" s="54" t="s">
        <v>70</v>
      </c>
      <c r="G48" s="1"/>
      <c r="H48" s="59"/>
      <c r="I48" s="59"/>
      <c r="J48" s="1"/>
      <c r="K48" s="1"/>
      <c r="L48" s="1"/>
      <c r="M48" s="1"/>
      <c r="N48" s="1"/>
      <c r="O48" s="1"/>
      <c r="P48" s="1"/>
      <c r="Q48" s="1"/>
      <c r="R48" s="1"/>
      <c r="S48" s="1"/>
      <c r="T48" s="1"/>
      <c r="U48" s="1"/>
      <c r="V48" s="1"/>
      <c r="W48" s="1"/>
      <c r="X48" s="1"/>
      <c r="Y48" s="1"/>
      <c r="Z48" s="1"/>
      <c r="AA48" s="1"/>
      <c r="AB48" s="1"/>
    </row>
    <row r="49" ht="24.0" customHeight="1">
      <c r="A49" s="1"/>
      <c r="B49" s="61" t="s">
        <v>71</v>
      </c>
      <c r="C49" s="52">
        <v>110200.0</v>
      </c>
      <c r="D49" s="51">
        <v>6.0</v>
      </c>
      <c r="E49" s="53">
        <f t="shared" si="1"/>
        <v>661200</v>
      </c>
      <c r="F49" s="54" t="s">
        <v>72</v>
      </c>
      <c r="G49" s="1"/>
      <c r="H49" s="59"/>
      <c r="I49" s="59"/>
      <c r="J49" s="1"/>
      <c r="K49" s="1"/>
      <c r="L49" s="1"/>
      <c r="M49" s="1"/>
      <c r="N49" s="1"/>
      <c r="O49" s="1"/>
      <c r="P49" s="1"/>
      <c r="Q49" s="1"/>
      <c r="R49" s="1"/>
      <c r="S49" s="1"/>
      <c r="T49" s="1"/>
      <c r="U49" s="1"/>
      <c r="V49" s="1"/>
      <c r="W49" s="1"/>
      <c r="X49" s="1"/>
      <c r="Y49" s="1"/>
      <c r="Z49" s="1"/>
      <c r="AA49" s="1"/>
      <c r="AB49" s="1"/>
    </row>
    <row r="50" ht="24.0" customHeight="1">
      <c r="A50" s="1"/>
      <c r="B50" s="61" t="s">
        <v>73</v>
      </c>
      <c r="C50" s="52">
        <v>7232.82</v>
      </c>
      <c r="D50" s="51">
        <v>24.0</v>
      </c>
      <c r="E50" s="53">
        <f t="shared" si="1"/>
        <v>173587.68</v>
      </c>
      <c r="F50" s="54" t="s">
        <v>74</v>
      </c>
      <c r="G50" s="1"/>
      <c r="H50" s="59"/>
      <c r="I50" s="59"/>
      <c r="J50" s="1"/>
      <c r="K50" s="1"/>
      <c r="L50" s="1"/>
      <c r="M50" s="1"/>
      <c r="N50" s="1"/>
      <c r="O50" s="1"/>
      <c r="P50" s="1"/>
      <c r="Q50" s="1"/>
      <c r="R50" s="1"/>
      <c r="S50" s="1"/>
      <c r="T50" s="1"/>
      <c r="U50" s="1"/>
      <c r="V50" s="1"/>
      <c r="W50" s="1"/>
      <c r="X50" s="1"/>
      <c r="Y50" s="1"/>
      <c r="Z50" s="1"/>
      <c r="AA50" s="1"/>
      <c r="AB50" s="1"/>
    </row>
    <row r="51" ht="27.75" customHeight="1">
      <c r="A51" s="1"/>
      <c r="B51" s="60" t="s">
        <v>75</v>
      </c>
      <c r="C51" s="52">
        <v>72105.0</v>
      </c>
      <c r="D51" s="51">
        <v>18.0</v>
      </c>
      <c r="E51" s="53">
        <f t="shared" si="1"/>
        <v>1297890</v>
      </c>
      <c r="F51" s="54" t="s">
        <v>76</v>
      </c>
      <c r="G51" s="1"/>
      <c r="H51" s="59"/>
      <c r="I51" s="59"/>
      <c r="J51" s="1"/>
      <c r="K51" s="1"/>
      <c r="L51" s="1"/>
      <c r="M51" s="1"/>
      <c r="N51" s="1"/>
      <c r="O51" s="1"/>
      <c r="P51" s="1"/>
      <c r="Q51" s="1"/>
      <c r="R51" s="1"/>
      <c r="S51" s="1"/>
      <c r="T51" s="1"/>
      <c r="U51" s="1"/>
      <c r="V51" s="1"/>
      <c r="W51" s="1"/>
      <c r="X51" s="1"/>
      <c r="Y51" s="1"/>
      <c r="Z51" s="1"/>
      <c r="AA51" s="1"/>
      <c r="AB51" s="1"/>
    </row>
    <row r="52" ht="27.75" customHeight="1">
      <c r="A52" s="1"/>
      <c r="B52" s="60" t="s">
        <v>77</v>
      </c>
      <c r="C52" s="52">
        <v>64412.0</v>
      </c>
      <c r="D52" s="51">
        <v>36.0</v>
      </c>
      <c r="E52" s="53">
        <f t="shared" si="1"/>
        <v>2318832</v>
      </c>
      <c r="F52" s="54" t="s">
        <v>78</v>
      </c>
      <c r="G52" s="1"/>
      <c r="H52" s="59"/>
      <c r="I52" s="59"/>
      <c r="J52" s="1"/>
      <c r="K52" s="1"/>
      <c r="L52" s="1"/>
      <c r="M52" s="1"/>
      <c r="N52" s="1"/>
      <c r="O52" s="1"/>
      <c r="P52" s="1"/>
      <c r="Q52" s="1"/>
      <c r="R52" s="1"/>
      <c r="S52" s="1"/>
      <c r="T52" s="1"/>
      <c r="U52" s="1"/>
      <c r="V52" s="1"/>
      <c r="W52" s="1"/>
      <c r="X52" s="1"/>
      <c r="Y52" s="1"/>
      <c r="Z52" s="1"/>
      <c r="AA52" s="1"/>
      <c r="AB52" s="1"/>
    </row>
    <row r="53" ht="27.75" customHeight="1">
      <c r="A53" s="1"/>
      <c r="B53" s="60" t="s">
        <v>79</v>
      </c>
      <c r="C53" s="52">
        <v>12299.0</v>
      </c>
      <c r="D53" s="51">
        <v>6.0</v>
      </c>
      <c r="E53" s="53">
        <f t="shared" si="1"/>
        <v>73794</v>
      </c>
      <c r="F53" s="54" t="s">
        <v>80</v>
      </c>
      <c r="G53" s="1"/>
      <c r="H53" s="59"/>
      <c r="I53" s="59"/>
      <c r="J53" s="1"/>
      <c r="K53" s="1"/>
      <c r="L53" s="1"/>
      <c r="M53" s="1"/>
      <c r="N53" s="1"/>
      <c r="O53" s="1"/>
      <c r="P53" s="1"/>
      <c r="Q53" s="1"/>
      <c r="R53" s="1"/>
      <c r="S53" s="1"/>
      <c r="T53" s="1"/>
      <c r="U53" s="1"/>
      <c r="V53" s="1"/>
      <c r="W53" s="1"/>
      <c r="X53" s="1"/>
      <c r="Y53" s="1"/>
      <c r="Z53" s="1"/>
      <c r="AA53" s="1"/>
      <c r="AB53" s="1"/>
    </row>
    <row r="54" ht="27.75" customHeight="1">
      <c r="A54" s="1"/>
      <c r="B54" s="60" t="s">
        <v>81</v>
      </c>
      <c r="C54" s="52">
        <v>12344.15</v>
      </c>
      <c r="D54" s="51">
        <v>1.0</v>
      </c>
      <c r="E54" s="53">
        <f t="shared" si="1"/>
        <v>12344.15</v>
      </c>
      <c r="F54" s="54" t="s">
        <v>82</v>
      </c>
      <c r="G54" s="1"/>
      <c r="H54" s="59"/>
      <c r="I54" s="59"/>
      <c r="J54" s="1"/>
      <c r="K54" s="1"/>
      <c r="L54" s="1"/>
      <c r="M54" s="1"/>
      <c r="N54" s="1"/>
      <c r="O54" s="1"/>
      <c r="P54" s="1"/>
      <c r="Q54" s="1"/>
      <c r="R54" s="1"/>
      <c r="S54" s="1"/>
      <c r="T54" s="1"/>
      <c r="U54" s="1"/>
      <c r="V54" s="1"/>
      <c r="W54" s="1"/>
      <c r="X54" s="1"/>
      <c r="Y54" s="1"/>
      <c r="Z54" s="1"/>
      <c r="AA54" s="1"/>
      <c r="AB54" s="1"/>
    </row>
    <row r="55" ht="27.75" customHeight="1">
      <c r="A55" s="1"/>
      <c r="B55" s="60" t="s">
        <v>83</v>
      </c>
      <c r="C55" s="52">
        <v>55250.0</v>
      </c>
      <c r="D55" s="51">
        <v>6.0</v>
      </c>
      <c r="E55" s="53">
        <f t="shared" si="1"/>
        <v>331500</v>
      </c>
      <c r="F55" s="54" t="s">
        <v>84</v>
      </c>
      <c r="G55" s="1"/>
      <c r="H55" s="59"/>
      <c r="I55" s="59"/>
      <c r="J55" s="1"/>
      <c r="K55" s="1"/>
      <c r="L55" s="1"/>
      <c r="M55" s="1"/>
      <c r="N55" s="1"/>
      <c r="O55" s="1"/>
      <c r="P55" s="1"/>
      <c r="Q55" s="1"/>
      <c r="R55" s="1"/>
      <c r="S55" s="1"/>
      <c r="T55" s="1"/>
      <c r="U55" s="1"/>
      <c r="V55" s="1"/>
      <c r="W55" s="1"/>
      <c r="X55" s="1"/>
      <c r="Y55" s="1"/>
      <c r="Z55" s="1"/>
      <c r="AA55" s="1"/>
      <c r="AB55" s="1"/>
    </row>
    <row r="56" ht="27.75" customHeight="1">
      <c r="A56" s="1"/>
      <c r="B56" s="60" t="s">
        <v>85</v>
      </c>
      <c r="C56" s="52">
        <v>18000.0</v>
      </c>
      <c r="D56" s="51">
        <v>6.0</v>
      </c>
      <c r="E56" s="53">
        <f t="shared" si="1"/>
        <v>108000</v>
      </c>
      <c r="F56" s="54" t="s">
        <v>86</v>
      </c>
      <c r="G56" s="1"/>
      <c r="H56" s="59"/>
      <c r="I56" s="59"/>
      <c r="J56" s="1"/>
      <c r="K56" s="1"/>
      <c r="L56" s="1"/>
      <c r="M56" s="1"/>
      <c r="N56" s="1"/>
      <c r="O56" s="1"/>
      <c r="P56" s="1"/>
      <c r="Q56" s="1"/>
      <c r="R56" s="1"/>
      <c r="S56" s="1"/>
      <c r="T56" s="1"/>
      <c r="U56" s="1"/>
      <c r="V56" s="1"/>
      <c r="W56" s="1"/>
      <c r="X56" s="1"/>
      <c r="Y56" s="1"/>
      <c r="Z56" s="1"/>
      <c r="AA56" s="1"/>
      <c r="AB56" s="1"/>
    </row>
    <row r="57" ht="27.75" customHeight="1">
      <c r="A57" s="1"/>
      <c r="B57" s="60" t="s">
        <v>87</v>
      </c>
      <c r="C57" s="52">
        <v>14700.0</v>
      </c>
      <c r="D57" s="51">
        <v>6.0</v>
      </c>
      <c r="E57" s="53">
        <f t="shared" si="1"/>
        <v>88200</v>
      </c>
      <c r="F57" s="54" t="s">
        <v>88</v>
      </c>
      <c r="G57" s="1"/>
      <c r="H57" s="59"/>
      <c r="I57" s="59"/>
      <c r="J57" s="1"/>
      <c r="K57" s="1"/>
      <c r="L57" s="1"/>
      <c r="M57" s="1"/>
      <c r="N57" s="1"/>
      <c r="O57" s="1"/>
      <c r="P57" s="1"/>
      <c r="Q57" s="1"/>
      <c r="R57" s="1"/>
      <c r="S57" s="1"/>
      <c r="T57" s="1"/>
      <c r="U57" s="1"/>
      <c r="V57" s="1"/>
      <c r="W57" s="1"/>
      <c r="X57" s="1"/>
      <c r="Y57" s="1"/>
      <c r="Z57" s="1"/>
      <c r="AA57" s="1"/>
      <c r="AB57" s="1"/>
    </row>
    <row r="58" ht="27.75" customHeight="1">
      <c r="A58" s="1"/>
      <c r="B58" s="60" t="s">
        <v>89</v>
      </c>
      <c r="C58" s="60">
        <v>5919.81</v>
      </c>
      <c r="D58" s="60">
        <v>24.0</v>
      </c>
      <c r="E58" s="60">
        <f t="shared" si="1"/>
        <v>142075.44</v>
      </c>
      <c r="F58" s="62" t="s">
        <v>90</v>
      </c>
      <c r="G58" s="1"/>
      <c r="H58" s="59"/>
      <c r="I58" s="59"/>
      <c r="J58" s="1"/>
      <c r="K58" s="1"/>
      <c r="L58" s="1"/>
      <c r="M58" s="1"/>
      <c r="N58" s="1"/>
      <c r="O58" s="1"/>
      <c r="P58" s="1"/>
      <c r="Q58" s="1"/>
      <c r="R58" s="1"/>
      <c r="S58" s="1"/>
      <c r="T58" s="1"/>
      <c r="U58" s="1"/>
      <c r="V58" s="1"/>
      <c r="W58" s="1"/>
      <c r="X58" s="1"/>
      <c r="Y58" s="1"/>
      <c r="Z58" s="1"/>
      <c r="AA58" s="1"/>
      <c r="AB58" s="1"/>
    </row>
    <row r="59" ht="27.75" customHeight="1">
      <c r="A59" s="1"/>
      <c r="B59" s="60" t="s">
        <v>91</v>
      </c>
      <c r="C59" s="60">
        <v>5919.81</v>
      </c>
      <c r="D59" s="60">
        <v>24.0</v>
      </c>
      <c r="E59" s="60">
        <f t="shared" si="1"/>
        <v>142075.44</v>
      </c>
      <c r="F59" s="62" t="s">
        <v>90</v>
      </c>
      <c r="G59" s="1"/>
      <c r="H59" s="59"/>
      <c r="I59" s="59"/>
      <c r="J59" s="1"/>
      <c r="K59" s="1"/>
      <c r="L59" s="1"/>
      <c r="M59" s="1"/>
      <c r="N59" s="1"/>
      <c r="O59" s="1"/>
      <c r="P59" s="1"/>
      <c r="Q59" s="1"/>
      <c r="R59" s="1"/>
      <c r="S59" s="1"/>
      <c r="T59" s="1"/>
      <c r="U59" s="1"/>
      <c r="V59" s="1"/>
      <c r="W59" s="1"/>
      <c r="X59" s="1"/>
      <c r="Y59" s="1"/>
      <c r="Z59" s="1"/>
      <c r="AA59" s="1"/>
      <c r="AB59" s="1"/>
    </row>
    <row r="60" ht="27.75" customHeight="1">
      <c r="A60" s="1"/>
      <c r="B60" s="60" t="s">
        <v>92</v>
      </c>
      <c r="C60" s="52">
        <v>4695.29</v>
      </c>
      <c r="D60" s="51">
        <v>6.0</v>
      </c>
      <c r="E60" s="53">
        <f t="shared" si="1"/>
        <v>28171.74</v>
      </c>
      <c r="F60" s="54" t="s">
        <v>93</v>
      </c>
      <c r="G60" s="1"/>
      <c r="H60" s="59"/>
      <c r="I60" s="59"/>
      <c r="J60" s="1"/>
      <c r="K60" s="1"/>
      <c r="L60" s="1"/>
      <c r="M60" s="1"/>
      <c r="N60" s="1"/>
      <c r="O60" s="1"/>
      <c r="P60" s="1"/>
      <c r="Q60" s="1"/>
      <c r="R60" s="1"/>
      <c r="S60" s="1"/>
      <c r="T60" s="1"/>
      <c r="U60" s="1"/>
      <c r="V60" s="1"/>
      <c r="W60" s="1"/>
      <c r="X60" s="1"/>
      <c r="Y60" s="1"/>
      <c r="Z60" s="1"/>
      <c r="AA60" s="1"/>
      <c r="AB60" s="1"/>
    </row>
    <row r="61" ht="27.75" customHeight="1">
      <c r="A61" s="1"/>
      <c r="B61" s="63" t="s">
        <v>94</v>
      </c>
      <c r="C61" s="47"/>
      <c r="D61" s="12"/>
      <c r="E61" s="64">
        <f>SUM(E27:E60)</f>
        <v>57149268.79</v>
      </c>
      <c r="F61" s="65" t="s">
        <v>5</v>
      </c>
      <c r="G61" s="9" t="s">
        <v>95</v>
      </c>
      <c r="H61" s="59"/>
      <c r="I61" s="59"/>
      <c r="J61" s="1"/>
      <c r="K61" s="1"/>
      <c r="L61" s="1"/>
      <c r="M61" s="1"/>
      <c r="N61" s="1"/>
      <c r="O61" s="1"/>
      <c r="P61" s="1"/>
      <c r="Q61" s="1"/>
      <c r="R61" s="1"/>
      <c r="S61" s="1"/>
      <c r="T61" s="1"/>
      <c r="U61" s="1"/>
      <c r="V61" s="1"/>
      <c r="W61" s="1"/>
      <c r="X61" s="1"/>
      <c r="Y61" s="1"/>
      <c r="Z61" s="1"/>
      <c r="AA61" s="1"/>
      <c r="AB61" s="1"/>
    </row>
    <row r="62" ht="31.5" customHeight="1">
      <c r="A62" s="1"/>
      <c r="G62" s="1"/>
      <c r="H62" s="66" t="s">
        <v>48</v>
      </c>
      <c r="I62" s="59"/>
      <c r="J62" s="1"/>
      <c r="K62" s="1"/>
      <c r="L62" s="1"/>
      <c r="M62" s="1"/>
      <c r="N62" s="1"/>
      <c r="O62" s="1"/>
      <c r="P62" s="1"/>
      <c r="Q62" s="1"/>
      <c r="R62" s="1"/>
      <c r="S62" s="1"/>
      <c r="T62" s="1"/>
      <c r="U62" s="1"/>
      <c r="V62" s="1"/>
      <c r="W62" s="1"/>
      <c r="X62" s="1"/>
      <c r="Y62" s="1"/>
      <c r="Z62" s="1"/>
      <c r="AA62" s="1"/>
      <c r="AB62" s="1"/>
    </row>
    <row r="63" ht="23.25" customHeight="1">
      <c r="A63" s="1"/>
      <c r="G63" s="1"/>
      <c r="H63" s="59"/>
      <c r="I63" s="59"/>
      <c r="J63" s="1"/>
      <c r="K63" s="1"/>
      <c r="L63" s="1"/>
      <c r="M63" s="1"/>
      <c r="N63" s="1"/>
      <c r="O63" s="1"/>
      <c r="P63" s="1"/>
      <c r="Q63" s="1"/>
      <c r="R63" s="1"/>
      <c r="S63" s="1"/>
      <c r="T63" s="1"/>
      <c r="U63" s="1"/>
      <c r="V63" s="1"/>
      <c r="W63" s="1"/>
      <c r="X63" s="1"/>
      <c r="Y63" s="1"/>
      <c r="Z63" s="1"/>
      <c r="AA63" s="1"/>
      <c r="AB63" s="1"/>
    </row>
    <row r="64" ht="24.75" customHeight="1">
      <c r="A64" s="1"/>
      <c r="B64" s="67" t="s">
        <v>96</v>
      </c>
      <c r="C64" s="49" t="s">
        <v>22</v>
      </c>
      <c r="D64" s="50" t="s">
        <v>23</v>
      </c>
      <c r="E64" s="50" t="s">
        <v>24</v>
      </c>
      <c r="F64" s="50" t="s">
        <v>25</v>
      </c>
      <c r="G64" s="1"/>
      <c r="H64" s="59"/>
      <c r="I64" s="59"/>
      <c r="J64" s="1"/>
      <c r="K64" s="1"/>
      <c r="L64" s="1"/>
      <c r="M64" s="1"/>
      <c r="N64" s="1"/>
      <c r="O64" s="1"/>
      <c r="P64" s="1"/>
      <c r="Q64" s="1"/>
      <c r="R64" s="1"/>
      <c r="S64" s="1"/>
      <c r="T64" s="1"/>
      <c r="U64" s="1"/>
      <c r="V64" s="1"/>
      <c r="W64" s="1"/>
      <c r="X64" s="1"/>
      <c r="Y64" s="1"/>
      <c r="Z64" s="1"/>
      <c r="AA64" s="1"/>
      <c r="AB64" s="1"/>
    </row>
    <row r="65" ht="24.75" customHeight="1">
      <c r="A65" s="1"/>
      <c r="B65" s="51" t="s">
        <v>97</v>
      </c>
      <c r="C65" s="68">
        <v>373298.0</v>
      </c>
      <c r="D65" s="51">
        <v>6.0</v>
      </c>
      <c r="E65" s="53">
        <f t="shared" ref="E65:E74" si="2">C65*D65</f>
        <v>2239788</v>
      </c>
      <c r="F65" s="54" t="s">
        <v>98</v>
      </c>
      <c r="G65" s="1"/>
      <c r="H65" s="59"/>
      <c r="I65" s="59"/>
      <c r="J65" s="1"/>
      <c r="K65" s="1"/>
      <c r="L65" s="1"/>
      <c r="M65" s="1"/>
      <c r="N65" s="1"/>
      <c r="O65" s="1"/>
      <c r="P65" s="1"/>
      <c r="Q65" s="1"/>
      <c r="R65" s="1"/>
      <c r="S65" s="1"/>
      <c r="T65" s="1"/>
      <c r="U65" s="1"/>
      <c r="V65" s="1"/>
      <c r="W65" s="1"/>
      <c r="X65" s="1"/>
      <c r="Y65" s="1"/>
      <c r="Z65" s="1"/>
      <c r="AA65" s="1"/>
      <c r="AB65" s="1"/>
    </row>
    <row r="66" ht="55.5" customHeight="1">
      <c r="A66" s="1"/>
      <c r="B66" s="69" t="s">
        <v>92</v>
      </c>
      <c r="C66" s="70">
        <v>4695.29</v>
      </c>
      <c r="D66" s="71">
        <v>6.0</v>
      </c>
      <c r="E66" s="69">
        <f t="shared" si="2"/>
        <v>28171.74</v>
      </c>
      <c r="F66" s="72" t="s">
        <v>93</v>
      </c>
      <c r="G66" s="1"/>
      <c r="H66" s="59"/>
      <c r="I66" s="59"/>
      <c r="J66" s="1"/>
      <c r="K66" s="1"/>
      <c r="L66" s="1"/>
      <c r="M66" s="1"/>
      <c r="N66" s="1"/>
      <c r="O66" s="1"/>
      <c r="P66" s="1"/>
      <c r="Q66" s="1"/>
      <c r="R66" s="1"/>
      <c r="S66" s="1"/>
      <c r="T66" s="1"/>
      <c r="U66" s="1"/>
      <c r="V66" s="1"/>
      <c r="W66" s="1"/>
      <c r="X66" s="1"/>
      <c r="Y66" s="1"/>
      <c r="Z66" s="1"/>
      <c r="AA66" s="1"/>
      <c r="AB66" s="1"/>
    </row>
    <row r="67" ht="42.0" customHeight="1">
      <c r="A67" s="1"/>
      <c r="B67" s="60" t="s">
        <v>99</v>
      </c>
      <c r="C67" s="52">
        <v>5422.69</v>
      </c>
      <c r="D67" s="51">
        <v>6.0</v>
      </c>
      <c r="E67" s="53">
        <f t="shared" si="2"/>
        <v>32536.14</v>
      </c>
      <c r="F67" s="54" t="s">
        <v>100</v>
      </c>
      <c r="G67" s="1"/>
      <c r="H67" s="59"/>
      <c r="I67" s="59"/>
      <c r="J67" s="1"/>
      <c r="K67" s="1"/>
      <c r="L67" s="1"/>
      <c r="M67" s="1"/>
      <c r="N67" s="1"/>
      <c r="O67" s="1"/>
      <c r="P67" s="1"/>
      <c r="Q67" s="1"/>
      <c r="R67" s="1"/>
      <c r="S67" s="1"/>
      <c r="T67" s="1"/>
      <c r="U67" s="1"/>
      <c r="V67" s="1"/>
      <c r="W67" s="1"/>
      <c r="X67" s="1"/>
      <c r="Y67" s="1"/>
      <c r="Z67" s="1"/>
      <c r="AA67" s="1"/>
      <c r="AB67" s="1"/>
    </row>
    <row r="68" ht="23.25" customHeight="1">
      <c r="A68" s="1"/>
      <c r="B68" s="51" t="s">
        <v>101</v>
      </c>
      <c r="C68" s="52">
        <v>57656.0</v>
      </c>
      <c r="D68" s="51">
        <v>36.0</v>
      </c>
      <c r="E68" s="53">
        <f t="shared" si="2"/>
        <v>2075616</v>
      </c>
      <c r="F68" s="54" t="s">
        <v>102</v>
      </c>
      <c r="G68" s="1"/>
      <c r="H68" s="59"/>
      <c r="I68" s="59"/>
      <c r="J68" s="1"/>
      <c r="K68" s="1"/>
      <c r="L68" s="1"/>
      <c r="M68" s="1"/>
      <c r="N68" s="1"/>
      <c r="O68" s="1"/>
      <c r="P68" s="1"/>
      <c r="Q68" s="1"/>
      <c r="R68" s="1"/>
      <c r="S68" s="1"/>
      <c r="T68" s="1"/>
      <c r="U68" s="1"/>
      <c r="V68" s="1"/>
      <c r="W68" s="1"/>
      <c r="X68" s="1"/>
      <c r="Y68" s="1"/>
      <c r="Z68" s="1"/>
      <c r="AA68" s="1"/>
      <c r="AB68" s="1"/>
    </row>
    <row r="69" ht="23.25" customHeight="1">
      <c r="A69" s="1"/>
      <c r="B69" s="51" t="s">
        <v>65</v>
      </c>
      <c r="C69" s="52">
        <v>48900.0</v>
      </c>
      <c r="D69" s="51">
        <v>6.0</v>
      </c>
      <c r="E69" s="53">
        <f t="shared" si="2"/>
        <v>293400</v>
      </c>
      <c r="F69" s="54" t="s">
        <v>66</v>
      </c>
      <c r="G69" s="1"/>
      <c r="H69" s="59"/>
      <c r="I69" s="59"/>
      <c r="J69" s="1"/>
      <c r="K69" s="1"/>
      <c r="L69" s="1"/>
      <c r="M69" s="1"/>
      <c r="N69" s="1"/>
      <c r="O69" s="1"/>
      <c r="P69" s="1"/>
      <c r="Q69" s="1"/>
      <c r="R69" s="1"/>
      <c r="S69" s="1"/>
      <c r="T69" s="1"/>
      <c r="U69" s="1"/>
      <c r="V69" s="1"/>
      <c r="W69" s="1"/>
      <c r="X69" s="1"/>
      <c r="Y69" s="1"/>
      <c r="Z69" s="1"/>
      <c r="AA69" s="1"/>
      <c r="AB69" s="1"/>
    </row>
    <row r="70" ht="23.25" customHeight="1">
      <c r="A70" s="1"/>
      <c r="B70" s="51" t="s">
        <v>103</v>
      </c>
      <c r="C70" s="52">
        <v>21165.0</v>
      </c>
      <c r="D70" s="51">
        <v>6.0</v>
      </c>
      <c r="E70" s="53">
        <f t="shared" si="2"/>
        <v>126990</v>
      </c>
      <c r="F70" s="54" t="s">
        <v>104</v>
      </c>
      <c r="G70" s="1"/>
      <c r="H70" s="59"/>
      <c r="I70" s="59"/>
      <c r="J70" s="1"/>
      <c r="K70" s="1"/>
      <c r="L70" s="1"/>
      <c r="M70" s="1"/>
      <c r="N70" s="1"/>
      <c r="O70" s="1"/>
      <c r="P70" s="1"/>
      <c r="Q70" s="1"/>
      <c r="R70" s="1"/>
      <c r="S70" s="1"/>
      <c r="T70" s="1"/>
      <c r="U70" s="1"/>
      <c r="V70" s="1"/>
      <c r="W70" s="1"/>
      <c r="X70" s="1"/>
      <c r="Y70" s="1"/>
      <c r="Z70" s="1"/>
      <c r="AA70" s="1"/>
      <c r="AB70" s="1"/>
    </row>
    <row r="71" ht="23.25" customHeight="1">
      <c r="A71" s="1"/>
      <c r="B71" s="60" t="s">
        <v>105</v>
      </c>
      <c r="C71" s="52">
        <v>43499.13</v>
      </c>
      <c r="D71" s="51">
        <v>6.0</v>
      </c>
      <c r="E71" s="53">
        <f t="shared" si="2"/>
        <v>260994.78</v>
      </c>
      <c r="F71" s="54" t="s">
        <v>106</v>
      </c>
      <c r="G71" s="1"/>
      <c r="H71" s="59"/>
      <c r="I71" s="59"/>
      <c r="J71" s="1"/>
      <c r="K71" s="1"/>
      <c r="L71" s="1"/>
      <c r="M71" s="1"/>
      <c r="N71" s="1"/>
      <c r="O71" s="1"/>
      <c r="P71" s="1"/>
      <c r="Q71" s="1"/>
      <c r="R71" s="1"/>
      <c r="S71" s="1"/>
      <c r="T71" s="1"/>
      <c r="U71" s="1"/>
      <c r="V71" s="1"/>
      <c r="W71" s="1"/>
      <c r="X71" s="1"/>
      <c r="Y71" s="1"/>
      <c r="Z71" s="1"/>
      <c r="AA71" s="1"/>
      <c r="AB71" s="1"/>
    </row>
    <row r="72" ht="23.25" customHeight="1">
      <c r="A72" s="1"/>
      <c r="B72" s="60" t="s">
        <v>107</v>
      </c>
      <c r="C72" s="52">
        <v>27900.0</v>
      </c>
      <c r="D72" s="51">
        <v>6.0</v>
      </c>
      <c r="E72" s="53">
        <f t="shared" si="2"/>
        <v>167400</v>
      </c>
      <c r="F72" s="54" t="s">
        <v>108</v>
      </c>
      <c r="G72" s="1"/>
      <c r="H72" s="59"/>
      <c r="I72" s="59"/>
      <c r="J72" s="1"/>
      <c r="K72" s="1"/>
      <c r="L72" s="1"/>
      <c r="M72" s="1"/>
      <c r="N72" s="1"/>
      <c r="O72" s="1"/>
      <c r="P72" s="1"/>
      <c r="Q72" s="1"/>
      <c r="R72" s="1"/>
      <c r="S72" s="1"/>
      <c r="T72" s="1"/>
      <c r="U72" s="1"/>
      <c r="V72" s="1"/>
      <c r="W72" s="1"/>
      <c r="X72" s="1"/>
      <c r="Y72" s="1"/>
      <c r="Z72" s="1"/>
      <c r="AA72" s="1"/>
      <c r="AB72" s="1"/>
    </row>
    <row r="73" ht="23.25" customHeight="1">
      <c r="A73" s="1"/>
      <c r="B73" s="60" t="s">
        <v>109</v>
      </c>
      <c r="C73" s="52">
        <v>7098.0</v>
      </c>
      <c r="D73" s="51">
        <v>6.0</v>
      </c>
      <c r="E73" s="53">
        <f t="shared" si="2"/>
        <v>42588</v>
      </c>
      <c r="F73" s="54" t="s">
        <v>110</v>
      </c>
      <c r="G73" s="1"/>
      <c r="H73" s="59"/>
      <c r="I73" s="59"/>
      <c r="J73" s="1"/>
      <c r="K73" s="1"/>
      <c r="L73" s="1"/>
      <c r="M73" s="1"/>
      <c r="N73" s="1"/>
      <c r="O73" s="1"/>
      <c r="P73" s="1"/>
      <c r="Q73" s="1"/>
      <c r="R73" s="1"/>
      <c r="S73" s="1"/>
      <c r="T73" s="1"/>
      <c r="U73" s="1"/>
      <c r="V73" s="1"/>
      <c r="W73" s="1"/>
      <c r="X73" s="1"/>
      <c r="Y73" s="1"/>
      <c r="Z73" s="1"/>
      <c r="AA73" s="1"/>
      <c r="AB73" s="1"/>
    </row>
    <row r="74" ht="23.25" customHeight="1">
      <c r="A74" s="1"/>
      <c r="B74" s="73" t="s">
        <v>111</v>
      </c>
      <c r="C74" s="68">
        <v>21493.0</v>
      </c>
      <c r="D74" s="57">
        <v>6.0</v>
      </c>
      <c r="E74" s="53">
        <f t="shared" si="2"/>
        <v>128958</v>
      </c>
      <c r="F74" s="74" t="s">
        <v>112</v>
      </c>
      <c r="G74" s="1"/>
      <c r="H74" s="59"/>
      <c r="I74" s="59"/>
      <c r="J74" s="1"/>
      <c r="K74" s="1"/>
      <c r="L74" s="1"/>
      <c r="M74" s="1"/>
      <c r="N74" s="1"/>
      <c r="O74" s="1"/>
      <c r="P74" s="1"/>
      <c r="Q74" s="1"/>
      <c r="R74" s="1"/>
      <c r="S74" s="1"/>
      <c r="T74" s="1"/>
      <c r="U74" s="1"/>
      <c r="V74" s="1"/>
      <c r="W74" s="1"/>
      <c r="X74" s="1"/>
      <c r="Y74" s="1"/>
      <c r="Z74" s="1"/>
      <c r="AA74" s="1"/>
      <c r="AB74" s="1"/>
    </row>
    <row r="75" ht="23.25" customHeight="1">
      <c r="A75" s="1"/>
      <c r="B75" s="75" t="s">
        <v>113</v>
      </c>
      <c r="C75" s="47"/>
      <c r="D75" s="12"/>
      <c r="E75" s="53">
        <f>SUM(E65:E74)</f>
        <v>5396442.66</v>
      </c>
      <c r="F75" s="65" t="s">
        <v>5</v>
      </c>
      <c r="G75" s="1"/>
      <c r="H75" s="59"/>
      <c r="I75" s="59"/>
      <c r="J75" s="1"/>
      <c r="K75" s="1"/>
      <c r="L75" s="1"/>
      <c r="M75" s="1"/>
      <c r="N75" s="1"/>
      <c r="O75" s="1"/>
      <c r="P75" s="1"/>
      <c r="Q75" s="1"/>
      <c r="R75" s="1"/>
      <c r="S75" s="1"/>
      <c r="T75" s="1"/>
      <c r="U75" s="1"/>
      <c r="V75" s="1"/>
      <c r="W75" s="1"/>
      <c r="X75" s="1"/>
      <c r="Y75" s="1"/>
      <c r="Z75" s="1"/>
      <c r="AA75" s="1"/>
      <c r="AB75" s="1"/>
    </row>
    <row r="76" ht="23.25" customHeight="1">
      <c r="A76" s="1"/>
      <c r="B76" s="76" t="s">
        <v>114</v>
      </c>
      <c r="C76" s="47"/>
      <c r="D76" s="12"/>
      <c r="E76" s="77">
        <f>SUM(E61+E75)</f>
        <v>62545711.45</v>
      </c>
      <c r="F76" s="65" t="s">
        <v>5</v>
      </c>
      <c r="G76" s="1"/>
      <c r="H76" s="59"/>
      <c r="I76" s="59"/>
      <c r="J76" s="1"/>
      <c r="K76" s="1"/>
      <c r="L76" s="1"/>
      <c r="M76" s="1"/>
      <c r="N76" s="1"/>
      <c r="O76" s="1"/>
      <c r="P76" s="1"/>
      <c r="Q76" s="1"/>
      <c r="R76" s="1"/>
      <c r="S76" s="1"/>
      <c r="T76" s="1"/>
      <c r="U76" s="1"/>
      <c r="V76" s="1"/>
      <c r="W76" s="1"/>
      <c r="X76" s="1"/>
      <c r="Y76" s="1"/>
      <c r="Z76" s="1"/>
      <c r="AA76" s="1"/>
      <c r="AB76" s="1"/>
    </row>
    <row r="77" ht="23.25" customHeight="1">
      <c r="A77" s="1"/>
      <c r="G77" s="1"/>
      <c r="H77" s="59"/>
      <c r="I77" s="59"/>
      <c r="J77" s="1"/>
      <c r="K77" s="1"/>
      <c r="L77" s="1"/>
      <c r="M77" s="1"/>
      <c r="N77" s="1"/>
      <c r="O77" s="1"/>
      <c r="P77" s="1"/>
      <c r="Q77" s="1"/>
      <c r="R77" s="1"/>
      <c r="S77" s="1"/>
      <c r="T77" s="1"/>
      <c r="U77" s="1"/>
      <c r="V77" s="1"/>
      <c r="W77" s="1"/>
      <c r="X77" s="1"/>
      <c r="Y77" s="1"/>
      <c r="Z77" s="1"/>
      <c r="AA77" s="1"/>
      <c r="AB77" s="1"/>
    </row>
    <row r="78" ht="23.25" customHeight="1">
      <c r="A78" s="1"/>
      <c r="B78" s="1"/>
      <c r="C78" s="34"/>
      <c r="D78" s="1"/>
      <c r="E78" s="1"/>
      <c r="F78" s="1"/>
      <c r="G78" s="1"/>
      <c r="H78" s="1"/>
      <c r="I78" s="1"/>
      <c r="J78" s="1"/>
      <c r="K78" s="1"/>
      <c r="L78" s="1"/>
      <c r="M78" s="1"/>
      <c r="N78" s="1"/>
      <c r="O78" s="1"/>
      <c r="P78" s="1"/>
      <c r="Q78" s="1"/>
      <c r="R78" s="1"/>
      <c r="S78" s="1"/>
      <c r="T78" s="1"/>
      <c r="U78" s="1"/>
      <c r="V78" s="1"/>
      <c r="W78" s="1"/>
      <c r="X78" s="1"/>
      <c r="Y78" s="1"/>
      <c r="Z78" s="1"/>
      <c r="AA78" s="1"/>
      <c r="AB78" s="1"/>
    </row>
    <row r="79" ht="23.25" customHeight="1">
      <c r="A79" s="1"/>
      <c r="B79" s="78" t="s">
        <v>6</v>
      </c>
      <c r="C79" s="47"/>
      <c r="D79" s="47"/>
      <c r="E79" s="47"/>
      <c r="F79" s="12"/>
      <c r="G79" s="1"/>
      <c r="H79" s="59"/>
      <c r="I79" s="59"/>
      <c r="J79" s="1"/>
      <c r="K79" s="1"/>
      <c r="L79" s="1"/>
      <c r="M79" s="1"/>
      <c r="N79" s="1"/>
      <c r="O79" s="1"/>
      <c r="P79" s="1"/>
      <c r="Q79" s="1"/>
      <c r="R79" s="1"/>
      <c r="S79" s="1"/>
      <c r="T79" s="1"/>
      <c r="U79" s="1"/>
      <c r="V79" s="1"/>
      <c r="W79" s="1"/>
      <c r="X79" s="1"/>
      <c r="Y79" s="1"/>
      <c r="Z79" s="1"/>
      <c r="AA79" s="1"/>
      <c r="AB79" s="1"/>
    </row>
    <row r="80" ht="45.0" customHeight="1">
      <c r="A80" s="1"/>
      <c r="B80" s="50" t="s">
        <v>115</v>
      </c>
      <c r="C80" s="49" t="s">
        <v>22</v>
      </c>
      <c r="D80" s="50" t="s">
        <v>23</v>
      </c>
      <c r="E80" s="50" t="s">
        <v>24</v>
      </c>
      <c r="F80" s="50" t="s">
        <v>25</v>
      </c>
      <c r="G80" s="1"/>
      <c r="H80" s="59"/>
      <c r="I80" s="59"/>
      <c r="J80" s="1"/>
      <c r="K80" s="1"/>
      <c r="L80" s="1"/>
      <c r="M80" s="1"/>
      <c r="N80" s="1"/>
      <c r="O80" s="1"/>
      <c r="P80" s="1"/>
      <c r="Q80" s="1"/>
      <c r="R80" s="1"/>
      <c r="S80" s="1"/>
      <c r="T80" s="1"/>
      <c r="U80" s="1"/>
      <c r="V80" s="1"/>
      <c r="W80" s="1"/>
      <c r="X80" s="1"/>
      <c r="Y80" s="1"/>
      <c r="Z80" s="1"/>
      <c r="AA80" s="1"/>
      <c r="AB80" s="1"/>
    </row>
    <row r="81" ht="23.25" customHeight="1">
      <c r="A81" s="1"/>
      <c r="B81" s="79" t="s">
        <v>116</v>
      </c>
      <c r="C81" s="80">
        <v>801780.0</v>
      </c>
      <c r="D81" s="81">
        <v>1.0</v>
      </c>
      <c r="E81" s="82">
        <f t="shared" ref="E81:E83" si="3">C81*D81</f>
        <v>801780</v>
      </c>
      <c r="F81" s="83" t="s">
        <v>117</v>
      </c>
      <c r="G81" s="1"/>
      <c r="H81" s="59"/>
      <c r="I81" s="59"/>
      <c r="J81" s="1"/>
      <c r="K81" s="1"/>
      <c r="L81" s="1"/>
      <c r="M81" s="1"/>
      <c r="N81" s="1"/>
      <c r="O81" s="1"/>
      <c r="P81" s="1"/>
      <c r="Q81" s="1"/>
      <c r="R81" s="1"/>
      <c r="S81" s="1"/>
      <c r="T81" s="1"/>
      <c r="U81" s="1"/>
      <c r="V81" s="1"/>
      <c r="W81" s="1"/>
      <c r="X81" s="1"/>
      <c r="Y81" s="1"/>
      <c r="Z81" s="1"/>
      <c r="AA81" s="1"/>
      <c r="AB81" s="1"/>
    </row>
    <row r="82" ht="23.25" customHeight="1">
      <c r="A82" s="1"/>
      <c r="B82" s="79" t="s">
        <v>118</v>
      </c>
      <c r="C82" s="80">
        <v>474999.0</v>
      </c>
      <c r="D82" s="81">
        <v>1.0</v>
      </c>
      <c r="E82" s="82">
        <f t="shared" si="3"/>
        <v>474999</v>
      </c>
      <c r="F82" s="83" t="s">
        <v>119</v>
      </c>
      <c r="G82" s="1"/>
      <c r="H82" s="59"/>
      <c r="I82" s="59"/>
      <c r="J82" s="1"/>
      <c r="K82" s="1"/>
      <c r="L82" s="1"/>
      <c r="M82" s="1"/>
      <c r="N82" s="1"/>
      <c r="O82" s="1"/>
      <c r="P82" s="1"/>
      <c r="Q82" s="1"/>
      <c r="R82" s="1"/>
      <c r="S82" s="1"/>
      <c r="T82" s="1"/>
      <c r="U82" s="1"/>
      <c r="V82" s="1"/>
      <c r="W82" s="1"/>
      <c r="X82" s="1"/>
      <c r="Y82" s="1"/>
      <c r="Z82" s="1"/>
      <c r="AA82" s="1"/>
      <c r="AB82" s="1"/>
    </row>
    <row r="83" ht="23.25" customHeight="1">
      <c r="A83" s="1"/>
      <c r="B83" s="79" t="s">
        <v>120</v>
      </c>
      <c r="C83" s="80">
        <v>64646.0</v>
      </c>
      <c r="D83" s="81">
        <v>1.0</v>
      </c>
      <c r="E83" s="82">
        <f t="shared" si="3"/>
        <v>64646</v>
      </c>
      <c r="F83" s="83" t="s">
        <v>121</v>
      </c>
      <c r="G83" s="1"/>
      <c r="H83" s="59"/>
      <c r="I83" s="59"/>
      <c r="J83" s="1"/>
      <c r="K83" s="1"/>
      <c r="L83" s="1"/>
      <c r="M83" s="1"/>
      <c r="N83" s="1"/>
      <c r="O83" s="1"/>
      <c r="P83" s="1"/>
      <c r="Q83" s="1"/>
      <c r="R83" s="1"/>
      <c r="S83" s="1"/>
      <c r="T83" s="1"/>
      <c r="U83" s="1"/>
      <c r="V83" s="1"/>
      <c r="W83" s="1"/>
      <c r="X83" s="1"/>
      <c r="Y83" s="1"/>
      <c r="Z83" s="1"/>
      <c r="AA83" s="1"/>
      <c r="AB83" s="1"/>
    </row>
    <row r="84" ht="23.25" customHeight="1">
      <c r="A84" s="1"/>
      <c r="B84" s="79" t="s">
        <v>122</v>
      </c>
      <c r="C84" s="80">
        <v>40477.0</v>
      </c>
      <c r="D84" s="81">
        <v>1.0</v>
      </c>
      <c r="E84" s="80">
        <v>40477.0</v>
      </c>
      <c r="F84" s="83" t="s">
        <v>123</v>
      </c>
      <c r="G84" s="1"/>
      <c r="H84" s="59"/>
      <c r="I84" s="59"/>
      <c r="J84" s="1"/>
      <c r="K84" s="1"/>
      <c r="L84" s="1"/>
      <c r="M84" s="1"/>
      <c r="N84" s="1"/>
      <c r="O84" s="1"/>
      <c r="P84" s="1"/>
      <c r="Q84" s="1"/>
      <c r="R84" s="1"/>
      <c r="S84" s="1"/>
      <c r="T84" s="1"/>
      <c r="U84" s="1"/>
      <c r="V84" s="1"/>
      <c r="W84" s="1"/>
      <c r="X84" s="1"/>
      <c r="Y84" s="1"/>
      <c r="Z84" s="1"/>
      <c r="AA84" s="1"/>
      <c r="AB84" s="1"/>
    </row>
    <row r="85" ht="23.25" customHeight="1">
      <c r="A85" s="1"/>
      <c r="B85" s="79" t="s">
        <v>124</v>
      </c>
      <c r="C85" s="80">
        <v>1069000.0</v>
      </c>
      <c r="D85" s="81">
        <v>1.0</v>
      </c>
      <c r="E85" s="80">
        <v>1069000.0</v>
      </c>
      <c r="F85" s="83" t="s">
        <v>125</v>
      </c>
      <c r="G85" s="1"/>
      <c r="H85" s="59"/>
      <c r="I85" s="59"/>
      <c r="J85" s="1"/>
      <c r="K85" s="1"/>
      <c r="L85" s="1"/>
      <c r="M85" s="1"/>
      <c r="N85" s="1"/>
      <c r="O85" s="1"/>
      <c r="P85" s="1"/>
      <c r="Q85" s="1"/>
      <c r="R85" s="1"/>
      <c r="S85" s="1"/>
      <c r="T85" s="1"/>
      <c r="U85" s="1"/>
      <c r="V85" s="1"/>
      <c r="W85" s="1"/>
      <c r="X85" s="1"/>
      <c r="Y85" s="1"/>
      <c r="Z85" s="1"/>
      <c r="AA85" s="1"/>
      <c r="AB85" s="1"/>
    </row>
    <row r="86" ht="23.25" customHeight="1">
      <c r="A86" s="1"/>
      <c r="B86" s="79" t="s">
        <v>126</v>
      </c>
      <c r="C86" s="80">
        <v>204033.0</v>
      </c>
      <c r="D86" s="81">
        <v>1.0</v>
      </c>
      <c r="E86" s="82">
        <f t="shared" ref="E86:E89" si="4">C86*D86</f>
        <v>204033</v>
      </c>
      <c r="F86" s="83" t="s">
        <v>127</v>
      </c>
      <c r="G86" s="1"/>
      <c r="H86" s="59"/>
      <c r="I86" s="59"/>
      <c r="J86" s="1"/>
      <c r="K86" s="1"/>
      <c r="L86" s="1"/>
      <c r="M86" s="1"/>
      <c r="N86" s="1"/>
      <c r="O86" s="1"/>
      <c r="P86" s="1"/>
      <c r="Q86" s="1"/>
      <c r="R86" s="1"/>
      <c r="S86" s="1"/>
      <c r="T86" s="1"/>
      <c r="U86" s="1"/>
      <c r="V86" s="1"/>
      <c r="W86" s="1"/>
      <c r="X86" s="1"/>
      <c r="Y86" s="1"/>
      <c r="Z86" s="1"/>
      <c r="AA86" s="1"/>
      <c r="AB86" s="1"/>
    </row>
    <row r="87" ht="23.25" customHeight="1">
      <c r="A87" s="1"/>
      <c r="B87" s="79" t="s">
        <v>128</v>
      </c>
      <c r="C87" s="84">
        <v>7232.82</v>
      </c>
      <c r="D87" s="85">
        <v>50.0</v>
      </c>
      <c r="E87" s="86">
        <f t="shared" si="4"/>
        <v>361641</v>
      </c>
      <c r="F87" s="87" t="s">
        <v>74</v>
      </c>
      <c r="G87" s="1"/>
      <c r="H87" s="59"/>
      <c r="I87" s="59"/>
      <c r="J87" s="1"/>
      <c r="K87" s="1"/>
      <c r="L87" s="1"/>
      <c r="M87" s="1"/>
      <c r="N87" s="1"/>
      <c r="O87" s="1"/>
      <c r="P87" s="1"/>
      <c r="Q87" s="1"/>
      <c r="R87" s="1"/>
      <c r="S87" s="1"/>
      <c r="T87" s="1"/>
      <c r="U87" s="1"/>
      <c r="V87" s="1"/>
      <c r="W87" s="1"/>
      <c r="X87" s="1"/>
      <c r="Y87" s="1"/>
      <c r="Z87" s="1"/>
      <c r="AA87" s="1"/>
      <c r="AB87" s="1"/>
    </row>
    <row r="88" ht="23.25" customHeight="1">
      <c r="A88" s="1"/>
      <c r="B88" s="79" t="s">
        <v>129</v>
      </c>
      <c r="C88" s="80">
        <v>85000.0</v>
      </c>
      <c r="D88" s="81">
        <v>1.0</v>
      </c>
      <c r="E88" s="82">
        <f t="shared" si="4"/>
        <v>85000</v>
      </c>
      <c r="F88" s="83" t="s">
        <v>130</v>
      </c>
      <c r="G88" s="1"/>
      <c r="H88" s="59"/>
      <c r="I88" s="59"/>
      <c r="J88" s="1"/>
      <c r="K88" s="1"/>
      <c r="L88" s="1"/>
      <c r="M88" s="1"/>
      <c r="N88" s="1"/>
      <c r="O88" s="1"/>
      <c r="P88" s="1"/>
      <c r="Q88" s="1"/>
      <c r="R88" s="1"/>
      <c r="S88" s="1"/>
      <c r="T88" s="1"/>
      <c r="U88" s="1"/>
      <c r="V88" s="1"/>
      <c r="W88" s="1"/>
      <c r="X88" s="1"/>
      <c r="Y88" s="1"/>
      <c r="Z88" s="1"/>
      <c r="AA88" s="1"/>
      <c r="AB88" s="1"/>
    </row>
    <row r="89" ht="23.25" customHeight="1">
      <c r="A89" s="1"/>
      <c r="B89" s="79" t="s">
        <v>131</v>
      </c>
      <c r="C89" s="80">
        <v>58000.0</v>
      </c>
      <c r="D89" s="81">
        <v>2.0</v>
      </c>
      <c r="E89" s="80">
        <f t="shared" si="4"/>
        <v>116000</v>
      </c>
      <c r="F89" s="88" t="s">
        <v>132</v>
      </c>
      <c r="G89" s="1"/>
      <c r="H89" s="59"/>
      <c r="I89" s="59"/>
      <c r="J89" s="1"/>
      <c r="K89" s="1"/>
      <c r="L89" s="1"/>
      <c r="M89" s="1"/>
      <c r="N89" s="1"/>
      <c r="O89" s="1"/>
      <c r="P89" s="1"/>
      <c r="Q89" s="1"/>
      <c r="R89" s="1"/>
      <c r="S89" s="1"/>
      <c r="T89" s="1"/>
      <c r="U89" s="1"/>
      <c r="V89" s="1"/>
      <c r="W89" s="1"/>
      <c r="X89" s="1"/>
      <c r="Y89" s="1"/>
      <c r="Z89" s="1"/>
      <c r="AA89" s="1"/>
      <c r="AB89" s="1"/>
    </row>
    <row r="90" ht="23.25" customHeight="1">
      <c r="A90" s="1"/>
      <c r="B90" s="79" t="s">
        <v>133</v>
      </c>
      <c r="C90" s="80">
        <v>275500.0</v>
      </c>
      <c r="D90" s="81">
        <v>1.0</v>
      </c>
      <c r="E90" s="80">
        <v>275500.0</v>
      </c>
      <c r="F90" s="83" t="s">
        <v>134</v>
      </c>
      <c r="G90" s="1"/>
      <c r="H90" s="59"/>
      <c r="I90" s="59"/>
      <c r="J90" s="1"/>
      <c r="K90" s="1"/>
      <c r="L90" s="1"/>
      <c r="M90" s="1"/>
      <c r="N90" s="1"/>
      <c r="O90" s="1"/>
      <c r="P90" s="1"/>
      <c r="Q90" s="1"/>
      <c r="R90" s="1"/>
      <c r="S90" s="1"/>
      <c r="T90" s="1"/>
      <c r="U90" s="1"/>
      <c r="V90" s="1"/>
      <c r="W90" s="1"/>
      <c r="X90" s="1"/>
      <c r="Y90" s="1"/>
      <c r="Z90" s="1"/>
      <c r="AA90" s="1"/>
      <c r="AB90" s="1"/>
    </row>
    <row r="91" ht="23.25" customHeight="1">
      <c r="A91" s="1"/>
      <c r="B91" s="79" t="s">
        <v>135</v>
      </c>
      <c r="C91" s="80">
        <v>249000.0</v>
      </c>
      <c r="D91" s="81">
        <v>1.0</v>
      </c>
      <c r="E91" s="80">
        <v>249000.0</v>
      </c>
      <c r="F91" s="83" t="s">
        <v>136</v>
      </c>
      <c r="G91" s="1"/>
      <c r="H91" s="59"/>
      <c r="I91" s="59"/>
      <c r="J91" s="1"/>
      <c r="K91" s="1"/>
      <c r="L91" s="1"/>
      <c r="M91" s="1"/>
      <c r="N91" s="1"/>
      <c r="O91" s="1"/>
      <c r="P91" s="1"/>
      <c r="Q91" s="1"/>
      <c r="R91" s="1"/>
      <c r="S91" s="1"/>
      <c r="T91" s="1"/>
      <c r="U91" s="1"/>
      <c r="V91" s="1"/>
      <c r="W91" s="1"/>
      <c r="X91" s="1"/>
      <c r="Y91" s="1"/>
      <c r="Z91" s="1"/>
      <c r="AA91" s="1"/>
      <c r="AB91" s="1"/>
    </row>
    <row r="92" ht="23.25" customHeight="1">
      <c r="A92" s="1"/>
      <c r="B92" s="79" t="s">
        <v>137</v>
      </c>
      <c r="C92" s="80">
        <v>297000.0</v>
      </c>
      <c r="D92" s="81">
        <v>1.0</v>
      </c>
      <c r="E92" s="82">
        <f t="shared" ref="E92:E93" si="5">C92*D92</f>
        <v>297000</v>
      </c>
      <c r="F92" s="83" t="s">
        <v>138</v>
      </c>
      <c r="G92" s="1"/>
      <c r="H92" s="59"/>
      <c r="I92" s="59"/>
      <c r="J92" s="1"/>
      <c r="K92" s="1"/>
      <c r="L92" s="1"/>
      <c r="M92" s="1"/>
      <c r="N92" s="1"/>
      <c r="O92" s="1"/>
      <c r="P92" s="1"/>
      <c r="Q92" s="1"/>
      <c r="R92" s="1"/>
      <c r="S92" s="1"/>
      <c r="T92" s="1"/>
      <c r="U92" s="1"/>
      <c r="V92" s="1"/>
      <c r="W92" s="1"/>
      <c r="X92" s="1"/>
      <c r="Y92" s="1"/>
      <c r="Z92" s="1"/>
      <c r="AA92" s="1"/>
      <c r="AB92" s="1"/>
    </row>
    <row r="93" ht="23.25" customHeight="1">
      <c r="A93" s="1"/>
      <c r="B93" s="79" t="s">
        <v>139</v>
      </c>
      <c r="C93" s="80">
        <v>1649999.0</v>
      </c>
      <c r="D93" s="81">
        <v>1.0</v>
      </c>
      <c r="E93" s="82">
        <f t="shared" si="5"/>
        <v>1649999</v>
      </c>
      <c r="F93" s="89" t="s">
        <v>140</v>
      </c>
      <c r="G93" s="1"/>
      <c r="H93" s="59"/>
      <c r="I93" s="59"/>
      <c r="J93" s="1"/>
      <c r="K93" s="1"/>
      <c r="L93" s="1"/>
      <c r="M93" s="1"/>
      <c r="N93" s="1"/>
      <c r="O93" s="1"/>
      <c r="P93" s="1"/>
      <c r="Q93" s="1"/>
      <c r="R93" s="1"/>
      <c r="S93" s="1"/>
      <c r="T93" s="1"/>
      <c r="U93" s="1"/>
      <c r="V93" s="1"/>
      <c r="W93" s="1"/>
      <c r="X93" s="1"/>
      <c r="Y93" s="1"/>
      <c r="Z93" s="1"/>
      <c r="AA93" s="1"/>
      <c r="AB93" s="1"/>
    </row>
    <row r="94" ht="23.25" customHeight="1">
      <c r="A94" s="1"/>
      <c r="B94" s="90"/>
      <c r="C94" s="91"/>
      <c r="D94" s="90"/>
      <c r="E94" s="82"/>
      <c r="F94" s="90"/>
      <c r="G94" s="1"/>
      <c r="H94" s="59"/>
      <c r="I94" s="59"/>
      <c r="J94" s="1"/>
      <c r="K94" s="1"/>
      <c r="L94" s="1"/>
      <c r="M94" s="1"/>
      <c r="N94" s="1"/>
      <c r="O94" s="1"/>
      <c r="P94" s="1"/>
      <c r="Q94" s="1"/>
      <c r="R94" s="1"/>
      <c r="S94" s="1"/>
      <c r="T94" s="1"/>
      <c r="U94" s="1"/>
      <c r="V94" s="1"/>
      <c r="W94" s="1"/>
      <c r="X94" s="1"/>
      <c r="Y94" s="1"/>
      <c r="Z94" s="1"/>
      <c r="AA94" s="1"/>
      <c r="AB94" s="1"/>
    </row>
    <row r="95" ht="23.25" customHeight="1">
      <c r="A95" s="1"/>
      <c r="B95" s="90"/>
      <c r="C95" s="91"/>
      <c r="D95" s="90"/>
      <c r="E95" s="82"/>
      <c r="F95" s="90"/>
      <c r="G95" s="1"/>
      <c r="H95" s="59"/>
      <c r="I95" s="59"/>
      <c r="J95" s="1"/>
      <c r="K95" s="1"/>
      <c r="L95" s="1"/>
      <c r="M95" s="1"/>
      <c r="N95" s="1"/>
      <c r="O95" s="1"/>
      <c r="P95" s="1"/>
      <c r="Q95" s="1"/>
      <c r="R95" s="1"/>
      <c r="S95" s="1"/>
      <c r="T95" s="1"/>
      <c r="U95" s="1"/>
      <c r="V95" s="1"/>
      <c r="W95" s="1"/>
      <c r="X95" s="1"/>
      <c r="Y95" s="1"/>
      <c r="Z95" s="1"/>
      <c r="AA95" s="1"/>
      <c r="AB95" s="1"/>
    </row>
    <row r="96" ht="23.25" customHeight="1">
      <c r="A96" s="1"/>
      <c r="B96" s="92" t="s">
        <v>141</v>
      </c>
      <c r="C96" s="47"/>
      <c r="D96" s="12"/>
      <c r="E96" s="93">
        <f>SUM(E81:E95)</f>
        <v>5689075</v>
      </c>
      <c r="F96" s="65" t="s">
        <v>5</v>
      </c>
      <c r="G96" s="1"/>
      <c r="H96" s="1"/>
      <c r="I96" s="1"/>
      <c r="J96" s="1"/>
      <c r="K96" s="1"/>
      <c r="L96" s="1"/>
      <c r="M96" s="1"/>
      <c r="N96" s="1"/>
      <c r="O96" s="1"/>
      <c r="P96" s="1"/>
      <c r="Q96" s="1"/>
      <c r="R96" s="1"/>
      <c r="S96" s="1"/>
      <c r="T96" s="1"/>
      <c r="U96" s="1"/>
      <c r="V96" s="1"/>
      <c r="W96" s="1"/>
      <c r="X96" s="1"/>
      <c r="Y96" s="1"/>
      <c r="Z96" s="1"/>
      <c r="AA96" s="1"/>
      <c r="AB96" s="1"/>
    </row>
    <row r="97" ht="33.0" customHeight="1">
      <c r="A97" s="1"/>
      <c r="B97" s="67" t="s">
        <v>142</v>
      </c>
      <c r="C97" s="49" t="s">
        <v>22</v>
      </c>
      <c r="D97" s="50" t="s">
        <v>23</v>
      </c>
      <c r="E97" s="50" t="s">
        <v>24</v>
      </c>
      <c r="F97" s="50" t="s">
        <v>25</v>
      </c>
      <c r="G97" s="1"/>
      <c r="H97" s="1"/>
      <c r="I97" s="1"/>
      <c r="J97" s="1"/>
      <c r="K97" s="1"/>
      <c r="L97" s="1"/>
      <c r="M97" s="1"/>
      <c r="N97" s="1"/>
      <c r="O97" s="1"/>
      <c r="P97" s="1"/>
      <c r="Q97" s="1"/>
      <c r="R97" s="1"/>
      <c r="S97" s="1"/>
      <c r="T97" s="1"/>
      <c r="U97" s="1"/>
      <c r="V97" s="1"/>
      <c r="W97" s="1"/>
      <c r="X97" s="1"/>
      <c r="Y97" s="1"/>
      <c r="Z97" s="1"/>
      <c r="AA97" s="1"/>
      <c r="AB97" s="1"/>
    </row>
    <row r="98" ht="23.25" customHeight="1">
      <c r="A98" s="1"/>
      <c r="B98" s="94" t="s">
        <v>143</v>
      </c>
      <c r="C98" s="80">
        <v>219000.0</v>
      </c>
      <c r="D98" s="81">
        <v>1.0</v>
      </c>
      <c r="E98" s="95">
        <f t="shared" ref="E98:E101" si="6">C98*D98</f>
        <v>219000</v>
      </c>
      <c r="F98" s="83" t="s">
        <v>144</v>
      </c>
      <c r="G98" s="1"/>
      <c r="H98" s="1"/>
      <c r="I98" s="1"/>
      <c r="J98" s="1"/>
      <c r="K98" s="1"/>
      <c r="L98" s="1"/>
      <c r="M98" s="1"/>
      <c r="N98" s="1"/>
      <c r="O98" s="1"/>
      <c r="P98" s="1"/>
      <c r="Q98" s="1"/>
      <c r="R98" s="1"/>
      <c r="S98" s="1"/>
      <c r="T98" s="1"/>
      <c r="U98" s="1"/>
      <c r="V98" s="1"/>
      <c r="W98" s="1"/>
      <c r="X98" s="1"/>
      <c r="Y98" s="1"/>
      <c r="Z98" s="1"/>
      <c r="AA98" s="1"/>
      <c r="AB98" s="1"/>
    </row>
    <row r="99" ht="23.25" customHeight="1">
      <c r="A99" s="1"/>
      <c r="B99" s="94" t="s">
        <v>145</v>
      </c>
      <c r="C99" s="80">
        <v>75368.0</v>
      </c>
      <c r="D99" s="81">
        <v>3.0</v>
      </c>
      <c r="E99" s="95">
        <f t="shared" si="6"/>
        <v>226104</v>
      </c>
      <c r="F99" s="83" t="s">
        <v>146</v>
      </c>
      <c r="G99" s="1"/>
      <c r="H99" s="1"/>
      <c r="I99" s="1"/>
      <c r="J99" s="1"/>
      <c r="K99" s="1"/>
      <c r="L99" s="1"/>
      <c r="M99" s="1"/>
      <c r="N99" s="1"/>
      <c r="O99" s="1"/>
      <c r="P99" s="1"/>
      <c r="Q99" s="1"/>
      <c r="R99" s="1"/>
      <c r="S99" s="1"/>
      <c r="T99" s="1"/>
      <c r="U99" s="1"/>
      <c r="V99" s="1"/>
      <c r="W99" s="1"/>
      <c r="X99" s="1"/>
      <c r="Y99" s="1"/>
      <c r="Z99" s="1"/>
      <c r="AA99" s="1"/>
      <c r="AB99" s="1"/>
    </row>
    <row r="100" ht="23.25" customHeight="1">
      <c r="A100" s="1"/>
      <c r="B100" s="94" t="s">
        <v>147</v>
      </c>
      <c r="C100" s="80">
        <v>77399.0</v>
      </c>
      <c r="D100" s="81">
        <v>1.0</v>
      </c>
      <c r="E100" s="95">
        <f t="shared" si="6"/>
        <v>77399</v>
      </c>
      <c r="F100" s="83" t="s">
        <v>148</v>
      </c>
      <c r="G100" s="1"/>
      <c r="H100" s="1"/>
      <c r="I100" s="1"/>
      <c r="J100" s="1"/>
      <c r="K100" s="1"/>
      <c r="L100" s="1"/>
      <c r="M100" s="1"/>
      <c r="N100" s="1"/>
      <c r="O100" s="1"/>
      <c r="P100" s="1"/>
      <c r="Q100" s="1"/>
      <c r="R100" s="1"/>
      <c r="S100" s="1"/>
      <c r="T100" s="1"/>
      <c r="U100" s="1"/>
      <c r="V100" s="1"/>
      <c r="W100" s="1"/>
      <c r="X100" s="1"/>
      <c r="Y100" s="1"/>
      <c r="Z100" s="1"/>
      <c r="AA100" s="1"/>
      <c r="AB100" s="1"/>
    </row>
    <row r="101" ht="23.25" customHeight="1">
      <c r="A101" s="1"/>
      <c r="B101" s="90" t="s">
        <v>149</v>
      </c>
      <c r="C101" s="91"/>
      <c r="D101" s="90"/>
      <c r="E101" s="95">
        <f t="shared" si="6"/>
        <v>0</v>
      </c>
      <c r="F101" s="90"/>
      <c r="G101" s="1"/>
      <c r="H101" s="1"/>
      <c r="I101" s="1"/>
      <c r="J101" s="1"/>
      <c r="K101" s="1"/>
      <c r="L101" s="1"/>
      <c r="M101" s="1"/>
      <c r="N101" s="1"/>
      <c r="O101" s="1"/>
      <c r="P101" s="1"/>
      <c r="Q101" s="1"/>
      <c r="R101" s="1"/>
      <c r="S101" s="1"/>
      <c r="T101" s="1"/>
      <c r="U101" s="1"/>
      <c r="V101" s="1"/>
      <c r="W101" s="1"/>
      <c r="X101" s="1"/>
      <c r="Y101" s="1"/>
      <c r="Z101" s="1"/>
      <c r="AA101" s="1"/>
      <c r="AB101" s="1"/>
    </row>
    <row r="102" ht="23.25" customHeight="1">
      <c r="A102" s="1"/>
      <c r="B102" s="96" t="s">
        <v>150</v>
      </c>
      <c r="C102" s="47"/>
      <c r="D102" s="12"/>
      <c r="E102" s="97">
        <f>SUM(E98:E101)</f>
        <v>522503</v>
      </c>
      <c r="F102" s="98" t="s">
        <v>5</v>
      </c>
      <c r="G102" s="1"/>
      <c r="H102" s="1"/>
      <c r="I102" s="1"/>
      <c r="J102" s="1"/>
      <c r="K102" s="1"/>
      <c r="L102" s="1"/>
      <c r="M102" s="1"/>
      <c r="N102" s="1"/>
      <c r="O102" s="1"/>
      <c r="P102" s="1"/>
      <c r="Q102" s="1"/>
      <c r="R102" s="1"/>
      <c r="S102" s="1"/>
      <c r="T102" s="1"/>
      <c r="U102" s="1"/>
      <c r="V102" s="1"/>
      <c r="W102" s="1"/>
      <c r="X102" s="1"/>
      <c r="Y102" s="1"/>
      <c r="Z102" s="1"/>
      <c r="AA102" s="1"/>
      <c r="AB102" s="1"/>
    </row>
    <row r="103" ht="41.25" customHeight="1">
      <c r="A103" s="1"/>
      <c r="B103" s="67" t="s">
        <v>151</v>
      </c>
      <c r="C103" s="49" t="s">
        <v>22</v>
      </c>
      <c r="D103" s="50" t="s">
        <v>23</v>
      </c>
      <c r="E103" s="50" t="s">
        <v>24</v>
      </c>
      <c r="F103" s="50" t="s">
        <v>25</v>
      </c>
      <c r="G103" s="1"/>
      <c r="H103" s="1"/>
      <c r="I103" s="1"/>
      <c r="J103" s="1"/>
      <c r="K103" s="1"/>
      <c r="L103" s="1"/>
      <c r="M103" s="1"/>
      <c r="N103" s="1"/>
      <c r="O103" s="1"/>
      <c r="P103" s="1"/>
      <c r="Q103" s="1"/>
      <c r="R103" s="1"/>
      <c r="S103" s="1"/>
      <c r="T103" s="1"/>
      <c r="U103" s="1"/>
      <c r="V103" s="1"/>
      <c r="W103" s="1"/>
      <c r="X103" s="1"/>
      <c r="Y103" s="1"/>
      <c r="Z103" s="1"/>
      <c r="AA103" s="1"/>
      <c r="AB103" s="1"/>
    </row>
    <row r="104" ht="23.25" customHeight="1">
      <c r="A104" s="1"/>
      <c r="B104" s="79" t="s">
        <v>152</v>
      </c>
      <c r="C104" s="99" t="s">
        <v>153</v>
      </c>
      <c r="D104" s="79">
        <v>1.0</v>
      </c>
      <c r="E104" s="99">
        <v>2825680.0</v>
      </c>
      <c r="F104" s="100" t="s">
        <v>154</v>
      </c>
      <c r="G104" s="1"/>
      <c r="H104" s="1"/>
      <c r="I104" s="1"/>
      <c r="J104" s="1"/>
      <c r="K104" s="1"/>
      <c r="L104" s="1"/>
      <c r="M104" s="1"/>
      <c r="N104" s="1"/>
      <c r="O104" s="1"/>
      <c r="P104" s="1"/>
      <c r="Q104" s="1"/>
      <c r="R104" s="1"/>
      <c r="S104" s="1"/>
      <c r="T104" s="1"/>
      <c r="U104" s="1"/>
      <c r="V104" s="1"/>
      <c r="W104" s="1"/>
      <c r="X104" s="1"/>
      <c r="Y104" s="1"/>
      <c r="Z104" s="1"/>
      <c r="AA104" s="1"/>
      <c r="AB104" s="1"/>
    </row>
    <row r="105" ht="23.25" customHeight="1">
      <c r="A105" s="1"/>
      <c r="B105" s="79" t="s">
        <v>155</v>
      </c>
      <c r="C105" s="99" t="s">
        <v>156</v>
      </c>
      <c r="D105" s="79">
        <v>1.0</v>
      </c>
      <c r="E105" s="99">
        <v>5597680.0</v>
      </c>
      <c r="F105" s="100" t="s">
        <v>157</v>
      </c>
      <c r="G105" s="1"/>
      <c r="H105" s="1"/>
      <c r="I105" s="1"/>
      <c r="J105" s="1"/>
      <c r="K105" s="1"/>
      <c r="L105" s="1"/>
      <c r="M105" s="1"/>
      <c r="N105" s="1"/>
      <c r="O105" s="1"/>
      <c r="P105" s="1"/>
      <c r="Q105" s="1"/>
      <c r="R105" s="1"/>
      <c r="S105" s="1"/>
      <c r="T105" s="1"/>
      <c r="U105" s="1"/>
      <c r="V105" s="1"/>
      <c r="W105" s="1"/>
      <c r="X105" s="1"/>
      <c r="Y105" s="1"/>
      <c r="Z105" s="1"/>
      <c r="AA105" s="1"/>
      <c r="AB105" s="1"/>
    </row>
    <row r="106" ht="23.25" customHeight="1">
      <c r="A106" s="1"/>
      <c r="B106" s="79" t="s">
        <v>158</v>
      </c>
      <c r="C106" s="99" t="s">
        <v>159</v>
      </c>
      <c r="D106" s="79">
        <v>1.0</v>
      </c>
      <c r="E106" s="99">
        <v>1066911.0</v>
      </c>
      <c r="F106" s="100" t="s">
        <v>160</v>
      </c>
      <c r="G106" s="1"/>
      <c r="H106" s="1"/>
      <c r="I106" s="1"/>
      <c r="J106" s="1"/>
      <c r="K106" s="1"/>
      <c r="L106" s="1"/>
      <c r="M106" s="1"/>
      <c r="N106" s="1"/>
      <c r="O106" s="1"/>
      <c r="P106" s="1"/>
      <c r="Q106" s="1"/>
      <c r="R106" s="1"/>
      <c r="S106" s="1"/>
      <c r="T106" s="1"/>
      <c r="U106" s="1"/>
      <c r="V106" s="1"/>
      <c r="W106" s="1"/>
      <c r="X106" s="1"/>
      <c r="Y106" s="1"/>
      <c r="Z106" s="1"/>
      <c r="AA106" s="1"/>
      <c r="AB106" s="1"/>
    </row>
    <row r="107" ht="23.25" customHeight="1">
      <c r="A107" s="1"/>
      <c r="B107" s="79" t="s">
        <v>161</v>
      </c>
      <c r="C107" s="99" t="s">
        <v>162</v>
      </c>
      <c r="D107" s="79">
        <v>1.0</v>
      </c>
      <c r="E107" s="99">
        <v>1272123.6</v>
      </c>
      <c r="F107" s="100" t="s">
        <v>163</v>
      </c>
      <c r="G107" s="1"/>
      <c r="H107" s="1"/>
      <c r="I107" s="1"/>
      <c r="J107" s="1"/>
      <c r="K107" s="1"/>
      <c r="L107" s="1"/>
      <c r="M107" s="1"/>
      <c r="N107" s="1"/>
      <c r="O107" s="1"/>
      <c r="P107" s="1"/>
      <c r="Q107" s="1"/>
      <c r="R107" s="1"/>
      <c r="S107" s="1"/>
      <c r="T107" s="1"/>
      <c r="U107" s="1"/>
      <c r="V107" s="1"/>
      <c r="W107" s="1"/>
      <c r="X107" s="1"/>
      <c r="Y107" s="1"/>
      <c r="Z107" s="1"/>
      <c r="AA107" s="1"/>
      <c r="AB107" s="1"/>
    </row>
    <row r="108" ht="23.25" customHeight="1">
      <c r="A108" s="1"/>
      <c r="B108" s="79" t="s">
        <v>164</v>
      </c>
      <c r="C108" s="99" t="s">
        <v>165</v>
      </c>
      <c r="D108" s="79">
        <v>1.0</v>
      </c>
      <c r="E108" s="99">
        <v>3716680.0</v>
      </c>
      <c r="F108" s="101" t="s">
        <v>166</v>
      </c>
      <c r="G108" s="1"/>
      <c r="H108" s="1"/>
      <c r="I108" s="1"/>
      <c r="J108" s="1"/>
      <c r="K108" s="1"/>
      <c r="L108" s="1"/>
      <c r="M108" s="1"/>
      <c r="N108" s="1"/>
      <c r="O108" s="1"/>
      <c r="P108" s="1"/>
      <c r="Q108" s="1"/>
      <c r="R108" s="1"/>
      <c r="S108" s="1"/>
      <c r="T108" s="1"/>
      <c r="U108" s="1"/>
      <c r="V108" s="1"/>
      <c r="W108" s="1"/>
      <c r="X108" s="1"/>
      <c r="Y108" s="1"/>
      <c r="Z108" s="1"/>
      <c r="AA108" s="1"/>
      <c r="AB108" s="1"/>
    </row>
    <row r="109" ht="23.25" customHeight="1">
      <c r="A109" s="1"/>
      <c r="B109" s="79" t="s">
        <v>167</v>
      </c>
      <c r="C109" s="99" t="s">
        <v>168</v>
      </c>
      <c r="D109" s="79">
        <v>1.0</v>
      </c>
      <c r="E109" s="99">
        <v>1040380.0</v>
      </c>
      <c r="F109" s="100" t="s">
        <v>169</v>
      </c>
      <c r="G109" s="1"/>
      <c r="H109" s="1"/>
      <c r="I109" s="1"/>
      <c r="J109" s="1"/>
      <c r="K109" s="1"/>
      <c r="L109" s="1"/>
      <c r="M109" s="1"/>
      <c r="N109" s="1"/>
      <c r="O109" s="1"/>
      <c r="P109" s="1"/>
      <c r="Q109" s="1"/>
      <c r="R109" s="1"/>
      <c r="S109" s="1"/>
      <c r="T109" s="1"/>
      <c r="U109" s="1"/>
      <c r="V109" s="1"/>
      <c r="W109" s="1"/>
      <c r="X109" s="1"/>
      <c r="Y109" s="1"/>
      <c r="Z109" s="1"/>
      <c r="AA109" s="1"/>
      <c r="AB109" s="1"/>
    </row>
    <row r="110" ht="23.25" customHeight="1">
      <c r="A110" s="1"/>
      <c r="B110" s="79" t="s">
        <v>170</v>
      </c>
      <c r="C110" s="99" t="s">
        <v>171</v>
      </c>
      <c r="D110" s="79">
        <v>1.0</v>
      </c>
      <c r="E110" s="99">
        <v>2737680.0</v>
      </c>
      <c r="F110" s="100" t="s">
        <v>172</v>
      </c>
      <c r="G110" s="1"/>
      <c r="H110" s="1"/>
      <c r="I110" s="1"/>
      <c r="J110" s="1"/>
      <c r="K110" s="1"/>
      <c r="L110" s="1"/>
      <c r="M110" s="1"/>
      <c r="N110" s="1"/>
      <c r="O110" s="1"/>
      <c r="P110" s="1"/>
      <c r="Q110" s="1"/>
      <c r="R110" s="1"/>
      <c r="S110" s="1"/>
      <c r="T110" s="1"/>
      <c r="U110" s="1"/>
      <c r="V110" s="1"/>
      <c r="W110" s="1"/>
      <c r="X110" s="1"/>
      <c r="Y110" s="1"/>
      <c r="Z110" s="1"/>
      <c r="AA110" s="1"/>
      <c r="AB110" s="1"/>
    </row>
    <row r="111" ht="23.25" customHeight="1">
      <c r="A111" s="1"/>
      <c r="B111" s="79" t="s">
        <v>173</v>
      </c>
      <c r="C111" s="99" t="s">
        <v>174</v>
      </c>
      <c r="D111" s="79">
        <v>1.0</v>
      </c>
      <c r="E111" s="99">
        <v>3188680.0</v>
      </c>
      <c r="F111" s="100" t="s">
        <v>175</v>
      </c>
      <c r="G111" s="1"/>
      <c r="H111" s="1"/>
      <c r="I111" s="1"/>
      <c r="J111" s="1"/>
      <c r="K111" s="1"/>
      <c r="L111" s="1"/>
      <c r="M111" s="1"/>
      <c r="N111" s="1"/>
      <c r="O111" s="1"/>
      <c r="P111" s="1"/>
      <c r="Q111" s="1"/>
      <c r="R111" s="1"/>
      <c r="S111" s="1"/>
      <c r="T111" s="1"/>
      <c r="U111" s="1"/>
      <c r="V111" s="1"/>
      <c r="W111" s="1"/>
      <c r="X111" s="1"/>
      <c r="Y111" s="1"/>
      <c r="Z111" s="1"/>
      <c r="AA111" s="1"/>
      <c r="AB111" s="1"/>
    </row>
    <row r="112" ht="23.25" customHeight="1">
      <c r="A112" s="1"/>
      <c r="B112" s="79" t="s">
        <v>176</v>
      </c>
      <c r="C112" s="99" t="s">
        <v>177</v>
      </c>
      <c r="D112" s="79">
        <v>2.0</v>
      </c>
      <c r="E112" s="99">
        <v>1207360.0</v>
      </c>
      <c r="F112" s="100" t="s">
        <v>178</v>
      </c>
      <c r="G112" s="1"/>
      <c r="H112" s="1"/>
      <c r="I112" s="1"/>
      <c r="J112" s="1"/>
      <c r="K112" s="1"/>
      <c r="L112" s="1"/>
      <c r="M112" s="1"/>
      <c r="N112" s="1"/>
      <c r="O112" s="1"/>
      <c r="P112" s="1"/>
      <c r="Q112" s="1"/>
      <c r="R112" s="1"/>
      <c r="S112" s="1"/>
      <c r="T112" s="1"/>
      <c r="U112" s="1"/>
      <c r="V112" s="1"/>
      <c r="W112" s="1"/>
      <c r="X112" s="1"/>
      <c r="Y112" s="1"/>
      <c r="Z112" s="1"/>
      <c r="AA112" s="1"/>
      <c r="AB112" s="1"/>
    </row>
    <row r="113" ht="23.25" customHeight="1">
      <c r="A113" s="1"/>
      <c r="B113" s="79" t="s">
        <v>179</v>
      </c>
      <c r="C113" s="99" t="s">
        <v>180</v>
      </c>
      <c r="D113" s="79">
        <v>1.0</v>
      </c>
      <c r="E113" s="99">
        <v>999000.0</v>
      </c>
      <c r="F113" s="100" t="s">
        <v>181</v>
      </c>
      <c r="G113" s="1"/>
      <c r="H113" s="1"/>
      <c r="I113" s="1"/>
      <c r="J113" s="1"/>
      <c r="K113" s="1"/>
      <c r="L113" s="1"/>
      <c r="M113" s="1"/>
      <c r="N113" s="1"/>
      <c r="O113" s="1"/>
      <c r="P113" s="1"/>
      <c r="Q113" s="1"/>
      <c r="R113" s="1"/>
      <c r="S113" s="1"/>
      <c r="T113" s="1"/>
      <c r="U113" s="1"/>
      <c r="V113" s="1"/>
      <c r="W113" s="1"/>
      <c r="X113" s="1"/>
      <c r="Y113" s="1"/>
      <c r="Z113" s="1"/>
      <c r="AA113" s="1"/>
      <c r="AB113" s="1"/>
    </row>
    <row r="114" ht="23.25" customHeight="1">
      <c r="A114" s="1"/>
      <c r="B114" s="79" t="s">
        <v>182</v>
      </c>
      <c r="C114" s="99" t="s">
        <v>183</v>
      </c>
      <c r="D114" s="79">
        <v>1.0</v>
      </c>
      <c r="E114" s="99">
        <v>482177.0</v>
      </c>
      <c r="F114" s="90"/>
      <c r="G114" s="1"/>
      <c r="H114" s="1"/>
      <c r="I114" s="1"/>
      <c r="J114" s="1"/>
      <c r="K114" s="1"/>
      <c r="L114" s="1"/>
      <c r="M114" s="1"/>
      <c r="N114" s="1"/>
      <c r="O114" s="1"/>
      <c r="P114" s="1"/>
      <c r="Q114" s="1"/>
      <c r="R114" s="1"/>
      <c r="S114" s="1"/>
      <c r="T114" s="1"/>
      <c r="U114" s="1"/>
      <c r="V114" s="1"/>
      <c r="W114" s="1"/>
      <c r="X114" s="1"/>
      <c r="Y114" s="1"/>
      <c r="Z114" s="1"/>
      <c r="AA114" s="1"/>
      <c r="AB114" s="1"/>
    </row>
    <row r="115" ht="23.25" customHeight="1">
      <c r="A115" s="1"/>
      <c r="B115" s="79" t="s">
        <v>184</v>
      </c>
      <c r="C115" s="99" t="s">
        <v>185</v>
      </c>
      <c r="D115" s="79">
        <v>2.0</v>
      </c>
      <c r="E115" s="99">
        <v>1341998.0</v>
      </c>
      <c r="F115" s="100" t="s">
        <v>186</v>
      </c>
      <c r="G115" s="1"/>
      <c r="H115" s="1"/>
      <c r="I115" s="1"/>
      <c r="J115" s="1"/>
      <c r="K115" s="1"/>
      <c r="L115" s="1"/>
      <c r="M115" s="1"/>
      <c r="N115" s="1"/>
      <c r="O115" s="1"/>
      <c r="P115" s="1"/>
      <c r="Q115" s="1"/>
      <c r="R115" s="1"/>
      <c r="S115" s="1"/>
      <c r="T115" s="1"/>
      <c r="U115" s="1"/>
      <c r="V115" s="1"/>
      <c r="W115" s="1"/>
      <c r="X115" s="1"/>
      <c r="Y115" s="1"/>
      <c r="Z115" s="1"/>
      <c r="AA115" s="1"/>
      <c r="AB115" s="1"/>
    </row>
    <row r="116" ht="23.25" customHeight="1">
      <c r="A116" s="1"/>
      <c r="B116" s="79" t="s">
        <v>187</v>
      </c>
      <c r="C116" s="99" t="s">
        <v>188</v>
      </c>
      <c r="D116" s="79">
        <v>1.0</v>
      </c>
      <c r="E116" s="99">
        <v>530412.0</v>
      </c>
      <c r="F116" s="100" t="s">
        <v>189</v>
      </c>
      <c r="G116" s="1"/>
      <c r="H116" s="1"/>
      <c r="I116" s="1"/>
      <c r="J116" s="1"/>
      <c r="K116" s="1"/>
      <c r="L116" s="1"/>
      <c r="M116" s="1"/>
      <c r="N116" s="1"/>
      <c r="O116" s="1"/>
      <c r="P116" s="1"/>
      <c r="Q116" s="1"/>
      <c r="R116" s="1"/>
      <c r="S116" s="1"/>
      <c r="T116" s="1"/>
      <c r="U116" s="1"/>
      <c r="V116" s="1"/>
      <c r="W116" s="1"/>
      <c r="X116" s="1"/>
      <c r="Y116" s="1"/>
      <c r="Z116" s="1"/>
      <c r="AA116" s="1"/>
      <c r="AB116" s="1"/>
    </row>
    <row r="117" ht="23.25" customHeight="1">
      <c r="A117" s="1"/>
      <c r="B117" s="79" t="s">
        <v>190</v>
      </c>
      <c r="C117" s="99" t="s">
        <v>191</v>
      </c>
      <c r="D117" s="79">
        <v>1.0</v>
      </c>
      <c r="E117" s="99">
        <v>129990.0</v>
      </c>
      <c r="F117" s="100" t="s">
        <v>192</v>
      </c>
      <c r="G117" s="1"/>
      <c r="H117" s="1"/>
      <c r="I117" s="1"/>
      <c r="J117" s="1"/>
      <c r="K117" s="1"/>
      <c r="L117" s="1"/>
      <c r="M117" s="1"/>
      <c r="N117" s="1"/>
      <c r="O117" s="1"/>
      <c r="P117" s="1"/>
      <c r="Q117" s="1"/>
      <c r="R117" s="1"/>
      <c r="S117" s="1"/>
      <c r="T117" s="1"/>
      <c r="U117" s="1"/>
      <c r="V117" s="1"/>
      <c r="W117" s="1"/>
      <c r="X117" s="1"/>
      <c r="Y117" s="1"/>
      <c r="Z117" s="1"/>
      <c r="AA117" s="1"/>
      <c r="AB117" s="1"/>
    </row>
    <row r="118" ht="23.25" customHeight="1">
      <c r="A118" s="1"/>
      <c r="B118" s="79" t="s">
        <v>193</v>
      </c>
      <c r="C118" s="99" t="s">
        <v>194</v>
      </c>
      <c r="D118" s="79">
        <v>1.0</v>
      </c>
      <c r="E118" s="99">
        <v>1994080.0</v>
      </c>
      <c r="F118" s="100" t="s">
        <v>195</v>
      </c>
      <c r="G118" s="1"/>
      <c r="H118" s="1"/>
      <c r="I118" s="1"/>
      <c r="J118" s="1"/>
      <c r="K118" s="1"/>
      <c r="L118" s="1"/>
      <c r="M118" s="1"/>
      <c r="N118" s="1"/>
      <c r="O118" s="1"/>
      <c r="P118" s="1"/>
      <c r="Q118" s="1"/>
      <c r="R118" s="1"/>
      <c r="S118" s="1"/>
      <c r="T118" s="1"/>
      <c r="U118" s="1"/>
      <c r="V118" s="1"/>
      <c r="W118" s="1"/>
      <c r="X118" s="1"/>
      <c r="Y118" s="1"/>
      <c r="Z118" s="1"/>
      <c r="AA118" s="1"/>
      <c r="AB118" s="1"/>
    </row>
    <row r="119" ht="23.25" customHeight="1">
      <c r="A119" s="1"/>
      <c r="B119" s="79" t="s">
        <v>196</v>
      </c>
      <c r="C119" s="99" t="s">
        <v>197</v>
      </c>
      <c r="D119" s="79">
        <v>1.0</v>
      </c>
      <c r="E119" s="99">
        <v>1879680.0</v>
      </c>
      <c r="F119" s="100" t="s">
        <v>198</v>
      </c>
      <c r="G119" s="1"/>
      <c r="H119" s="1"/>
      <c r="I119" s="1"/>
      <c r="J119" s="1"/>
      <c r="K119" s="1"/>
      <c r="L119" s="1"/>
      <c r="M119" s="1"/>
      <c r="N119" s="1"/>
      <c r="O119" s="1"/>
      <c r="P119" s="1"/>
      <c r="Q119" s="1"/>
      <c r="R119" s="1"/>
      <c r="S119" s="1"/>
      <c r="T119" s="1"/>
      <c r="U119" s="1"/>
      <c r="V119" s="1"/>
      <c r="W119" s="1"/>
      <c r="X119" s="1"/>
      <c r="Y119" s="1"/>
      <c r="Z119" s="1"/>
      <c r="AA119" s="1"/>
      <c r="AB119" s="1"/>
    </row>
    <row r="120" ht="23.25" customHeight="1">
      <c r="A120" s="1"/>
      <c r="B120" s="79" t="s">
        <v>199</v>
      </c>
      <c r="C120" s="99" t="s">
        <v>200</v>
      </c>
      <c r="D120" s="79">
        <v>1.0</v>
      </c>
      <c r="E120" s="99">
        <v>1583999.0</v>
      </c>
      <c r="F120" s="100" t="s">
        <v>201</v>
      </c>
      <c r="G120" s="1"/>
      <c r="H120" s="1"/>
      <c r="I120" s="1"/>
      <c r="J120" s="1"/>
      <c r="K120" s="1"/>
      <c r="L120" s="1"/>
      <c r="M120" s="1"/>
      <c r="N120" s="1"/>
      <c r="O120" s="1"/>
      <c r="P120" s="1"/>
      <c r="Q120" s="1"/>
      <c r="R120" s="1"/>
      <c r="S120" s="1"/>
      <c r="T120" s="1"/>
      <c r="U120" s="1"/>
      <c r="V120" s="1"/>
      <c r="W120" s="1"/>
      <c r="X120" s="1"/>
      <c r="Y120" s="1"/>
      <c r="Z120" s="1"/>
      <c r="AA120" s="1"/>
      <c r="AB120" s="1"/>
    </row>
    <row r="121" ht="23.25" customHeight="1">
      <c r="A121" s="1"/>
      <c r="B121" s="79" t="s">
        <v>202</v>
      </c>
      <c r="C121" s="99" t="s">
        <v>203</v>
      </c>
      <c r="D121" s="79">
        <v>1.0</v>
      </c>
      <c r="E121" s="99">
        <v>183999.0</v>
      </c>
      <c r="F121" s="100" t="s">
        <v>204</v>
      </c>
      <c r="G121" s="1"/>
      <c r="H121" s="1"/>
      <c r="I121" s="1"/>
      <c r="J121" s="1"/>
      <c r="K121" s="1"/>
      <c r="L121" s="1"/>
      <c r="M121" s="1"/>
      <c r="N121" s="1"/>
      <c r="O121" s="1"/>
      <c r="P121" s="1"/>
      <c r="Q121" s="1"/>
      <c r="R121" s="1"/>
      <c r="S121" s="1"/>
      <c r="T121" s="1"/>
      <c r="U121" s="1"/>
      <c r="V121" s="1"/>
      <c r="W121" s="1"/>
      <c r="X121" s="1"/>
      <c r="Y121" s="1"/>
      <c r="Z121" s="1"/>
      <c r="AA121" s="1"/>
      <c r="AB121" s="1"/>
    </row>
    <row r="122" ht="23.25" customHeight="1">
      <c r="A122" s="1"/>
      <c r="B122" s="79" t="s">
        <v>205</v>
      </c>
      <c r="C122" s="99" t="s">
        <v>206</v>
      </c>
      <c r="D122" s="79">
        <v>2.0</v>
      </c>
      <c r="E122" s="99">
        <v>100000.0</v>
      </c>
      <c r="F122" s="100" t="s">
        <v>207</v>
      </c>
      <c r="G122" s="1"/>
      <c r="H122" s="1"/>
      <c r="I122" s="1"/>
      <c r="J122" s="1"/>
      <c r="K122" s="1"/>
      <c r="L122" s="1"/>
      <c r="M122" s="1"/>
      <c r="N122" s="1"/>
      <c r="O122" s="1"/>
      <c r="P122" s="1"/>
      <c r="Q122" s="1"/>
      <c r="R122" s="1"/>
      <c r="S122" s="1"/>
      <c r="T122" s="1"/>
      <c r="U122" s="1"/>
      <c r="V122" s="1"/>
      <c r="W122" s="1"/>
      <c r="X122" s="1"/>
      <c r="Y122" s="1"/>
      <c r="Z122" s="1"/>
      <c r="AA122" s="1"/>
      <c r="AB122" s="1"/>
    </row>
    <row r="123" ht="23.25" customHeight="1">
      <c r="A123" s="1"/>
      <c r="B123" s="79" t="s">
        <v>208</v>
      </c>
      <c r="C123" s="99" t="s">
        <v>209</v>
      </c>
      <c r="D123" s="79">
        <v>3.0</v>
      </c>
      <c r="E123" s="99">
        <v>69294.0</v>
      </c>
      <c r="F123" s="100" t="s">
        <v>210</v>
      </c>
      <c r="G123" s="1"/>
      <c r="H123" s="1"/>
      <c r="I123" s="1"/>
      <c r="J123" s="1"/>
      <c r="K123" s="1"/>
      <c r="L123" s="1"/>
      <c r="M123" s="1"/>
      <c r="N123" s="1"/>
      <c r="O123" s="1"/>
      <c r="P123" s="1"/>
      <c r="Q123" s="1"/>
      <c r="R123" s="1"/>
      <c r="S123" s="1"/>
      <c r="T123" s="1"/>
      <c r="U123" s="1"/>
      <c r="V123" s="1"/>
      <c r="W123" s="1"/>
      <c r="X123" s="1"/>
      <c r="Y123" s="1"/>
      <c r="Z123" s="1"/>
      <c r="AA123" s="1"/>
      <c r="AB123" s="1"/>
    </row>
    <row r="124" ht="23.25" customHeight="1">
      <c r="A124" s="1"/>
      <c r="B124" s="79" t="s">
        <v>211</v>
      </c>
      <c r="C124" s="99" t="s">
        <v>212</v>
      </c>
      <c r="D124" s="79">
        <v>4.0</v>
      </c>
      <c r="E124" s="99">
        <v>51304.0</v>
      </c>
      <c r="F124" s="100" t="s">
        <v>213</v>
      </c>
      <c r="G124" s="1"/>
      <c r="H124" s="1"/>
      <c r="I124" s="1"/>
      <c r="J124" s="1"/>
      <c r="K124" s="1"/>
      <c r="L124" s="1"/>
      <c r="M124" s="1"/>
      <c r="N124" s="1"/>
      <c r="O124" s="1"/>
      <c r="P124" s="1"/>
      <c r="Q124" s="1"/>
      <c r="R124" s="1"/>
      <c r="S124" s="1"/>
      <c r="T124" s="1"/>
      <c r="U124" s="1"/>
      <c r="V124" s="1"/>
      <c r="W124" s="1"/>
      <c r="X124" s="1"/>
      <c r="Y124" s="1"/>
      <c r="Z124" s="1"/>
      <c r="AA124" s="1"/>
      <c r="AB124" s="1"/>
    </row>
    <row r="125" ht="23.25" customHeight="1">
      <c r="A125" s="1"/>
      <c r="B125" s="79" t="s">
        <v>214</v>
      </c>
      <c r="C125" s="99" t="s">
        <v>215</v>
      </c>
      <c r="D125" s="79">
        <v>6.0</v>
      </c>
      <c r="E125" s="99">
        <v>122886.0</v>
      </c>
      <c r="F125" s="100" t="s">
        <v>216</v>
      </c>
      <c r="G125" s="1"/>
      <c r="H125" s="1"/>
      <c r="I125" s="1"/>
      <c r="J125" s="1"/>
      <c r="K125" s="1"/>
      <c r="L125" s="1"/>
      <c r="M125" s="1"/>
      <c r="N125" s="1"/>
      <c r="O125" s="1"/>
      <c r="P125" s="1"/>
      <c r="Q125" s="1"/>
      <c r="R125" s="1"/>
      <c r="S125" s="1"/>
      <c r="T125" s="1"/>
      <c r="U125" s="1"/>
      <c r="V125" s="1"/>
      <c r="W125" s="1"/>
      <c r="X125" s="1"/>
      <c r="Y125" s="1"/>
      <c r="Z125" s="1"/>
      <c r="AA125" s="1"/>
      <c r="AB125" s="1"/>
    </row>
    <row r="126" ht="23.25" customHeight="1">
      <c r="A126" s="1"/>
      <c r="B126" s="79" t="s">
        <v>217</v>
      </c>
      <c r="C126" s="99" t="s">
        <v>218</v>
      </c>
      <c r="D126" s="79">
        <v>2.0</v>
      </c>
      <c r="E126" s="99">
        <v>145250.0</v>
      </c>
      <c r="F126" s="100" t="s">
        <v>219</v>
      </c>
      <c r="G126" s="1"/>
      <c r="H126" s="1"/>
      <c r="I126" s="1"/>
      <c r="J126" s="1"/>
      <c r="K126" s="1"/>
      <c r="L126" s="1"/>
      <c r="M126" s="1"/>
      <c r="N126" s="1"/>
      <c r="O126" s="1"/>
      <c r="P126" s="1"/>
      <c r="Q126" s="1"/>
      <c r="R126" s="1"/>
      <c r="S126" s="1"/>
      <c r="T126" s="1"/>
      <c r="U126" s="1"/>
      <c r="V126" s="1"/>
      <c r="W126" s="1"/>
      <c r="X126" s="1"/>
      <c r="Y126" s="1"/>
      <c r="Z126" s="1"/>
      <c r="AA126" s="1"/>
      <c r="AB126" s="1"/>
    </row>
    <row r="127" ht="23.25" customHeight="1">
      <c r="A127" s="1"/>
      <c r="B127" s="79" t="s">
        <v>220</v>
      </c>
      <c r="C127" s="99" t="s">
        <v>221</v>
      </c>
      <c r="D127" s="79">
        <v>1.0</v>
      </c>
      <c r="E127" s="99">
        <v>155998.0</v>
      </c>
      <c r="F127" s="100" t="s">
        <v>222</v>
      </c>
      <c r="G127" s="1"/>
      <c r="H127" s="1"/>
      <c r="I127" s="1"/>
      <c r="J127" s="1"/>
      <c r="K127" s="1"/>
      <c r="L127" s="1"/>
      <c r="M127" s="1"/>
      <c r="N127" s="1"/>
      <c r="O127" s="1"/>
      <c r="P127" s="1"/>
      <c r="Q127" s="1"/>
      <c r="R127" s="1"/>
      <c r="S127" s="1"/>
      <c r="T127" s="1"/>
      <c r="U127" s="1"/>
      <c r="V127" s="1"/>
      <c r="W127" s="1"/>
      <c r="X127" s="1"/>
      <c r="Y127" s="1"/>
      <c r="Z127" s="1"/>
      <c r="AA127" s="1"/>
      <c r="AB127" s="1"/>
    </row>
    <row r="128" ht="23.25" customHeight="1">
      <c r="A128" s="1"/>
      <c r="B128" s="79" t="s">
        <v>223</v>
      </c>
      <c r="C128" s="99" t="s">
        <v>224</v>
      </c>
      <c r="D128" s="79">
        <v>1.0</v>
      </c>
      <c r="E128" s="99">
        <v>144420.0</v>
      </c>
      <c r="F128" s="100" t="s">
        <v>225</v>
      </c>
      <c r="G128" s="1"/>
      <c r="H128" s="1"/>
      <c r="I128" s="1"/>
      <c r="J128" s="1"/>
      <c r="K128" s="1"/>
      <c r="L128" s="1"/>
      <c r="M128" s="1"/>
      <c r="N128" s="1"/>
      <c r="O128" s="1"/>
      <c r="P128" s="1"/>
      <c r="Q128" s="1"/>
      <c r="R128" s="1"/>
      <c r="S128" s="1"/>
      <c r="T128" s="1"/>
      <c r="U128" s="1"/>
      <c r="V128" s="1"/>
      <c r="W128" s="1"/>
      <c r="X128" s="1"/>
      <c r="Y128" s="1"/>
      <c r="Z128" s="1"/>
      <c r="AA128" s="1"/>
      <c r="AB128" s="1"/>
    </row>
    <row r="129" ht="23.25" customHeight="1">
      <c r="A129" s="1"/>
      <c r="B129" s="79" t="s">
        <v>226</v>
      </c>
      <c r="C129" s="99" t="s">
        <v>227</v>
      </c>
      <c r="D129" s="79">
        <v>2.0</v>
      </c>
      <c r="E129" s="99">
        <v>84376.0</v>
      </c>
      <c r="F129" s="100" t="s">
        <v>228</v>
      </c>
      <c r="G129" s="1"/>
      <c r="H129" s="1"/>
      <c r="I129" s="1"/>
      <c r="J129" s="1"/>
      <c r="K129" s="1"/>
      <c r="L129" s="1"/>
      <c r="M129" s="1"/>
      <c r="N129" s="1"/>
      <c r="O129" s="1"/>
      <c r="P129" s="1"/>
      <c r="Q129" s="1"/>
      <c r="R129" s="1"/>
      <c r="S129" s="1"/>
      <c r="T129" s="1"/>
      <c r="U129" s="1"/>
      <c r="V129" s="1"/>
      <c r="W129" s="1"/>
      <c r="X129" s="1"/>
      <c r="Y129" s="1"/>
      <c r="Z129" s="1"/>
      <c r="AA129" s="1"/>
      <c r="AB129" s="1"/>
    </row>
    <row r="130" ht="23.25" customHeight="1">
      <c r="A130" s="1"/>
      <c r="B130" s="79" t="s">
        <v>229</v>
      </c>
      <c r="C130" s="99" t="s">
        <v>230</v>
      </c>
      <c r="D130" s="79">
        <v>4.0</v>
      </c>
      <c r="E130" s="99">
        <v>66240.0</v>
      </c>
      <c r="F130" s="100" t="s">
        <v>231</v>
      </c>
      <c r="G130" s="1"/>
      <c r="H130" s="1"/>
      <c r="I130" s="1"/>
      <c r="J130" s="1"/>
      <c r="K130" s="1"/>
      <c r="L130" s="1"/>
      <c r="M130" s="1"/>
      <c r="N130" s="1"/>
      <c r="O130" s="1"/>
      <c r="P130" s="1"/>
      <c r="Q130" s="1"/>
      <c r="R130" s="1"/>
      <c r="S130" s="1"/>
      <c r="T130" s="1"/>
      <c r="U130" s="1"/>
      <c r="V130" s="1"/>
      <c r="W130" s="1"/>
      <c r="X130" s="1"/>
      <c r="Y130" s="1"/>
      <c r="Z130" s="1"/>
      <c r="AA130" s="1"/>
      <c r="AB130" s="1"/>
    </row>
    <row r="131" ht="23.25" customHeight="1">
      <c r="A131" s="1"/>
      <c r="B131" s="79" t="s">
        <v>232</v>
      </c>
      <c r="C131" s="99" t="s">
        <v>233</v>
      </c>
      <c r="D131" s="79">
        <v>4.0</v>
      </c>
      <c r="E131" s="99">
        <v>19560.0</v>
      </c>
      <c r="F131" s="100" t="s">
        <v>234</v>
      </c>
      <c r="G131" s="1"/>
      <c r="H131" s="1"/>
      <c r="I131" s="1"/>
      <c r="J131" s="1"/>
      <c r="K131" s="1"/>
      <c r="L131" s="1"/>
      <c r="M131" s="1"/>
      <c r="N131" s="1"/>
      <c r="O131" s="1"/>
      <c r="P131" s="1"/>
      <c r="Q131" s="1"/>
      <c r="R131" s="1"/>
      <c r="S131" s="1"/>
      <c r="T131" s="1"/>
      <c r="U131" s="1"/>
      <c r="V131" s="1"/>
      <c r="W131" s="1"/>
      <c r="X131" s="1"/>
      <c r="Y131" s="1"/>
      <c r="Z131" s="1"/>
      <c r="AA131" s="1"/>
      <c r="AB131" s="1"/>
    </row>
    <row r="132" ht="23.25" customHeight="1">
      <c r="A132" s="1"/>
      <c r="B132" s="79" t="s">
        <v>235</v>
      </c>
      <c r="C132" s="99" t="s">
        <v>236</v>
      </c>
      <c r="D132" s="79">
        <v>3.0</v>
      </c>
      <c r="E132" s="99">
        <v>60243.0</v>
      </c>
      <c r="F132" s="100" t="s">
        <v>237</v>
      </c>
      <c r="G132" s="1"/>
      <c r="H132" s="1"/>
      <c r="I132" s="1"/>
      <c r="J132" s="1"/>
      <c r="K132" s="1"/>
      <c r="L132" s="1"/>
      <c r="M132" s="1"/>
      <c r="N132" s="1"/>
      <c r="O132" s="1"/>
      <c r="P132" s="1"/>
      <c r="Q132" s="1"/>
      <c r="R132" s="1"/>
      <c r="S132" s="1"/>
      <c r="T132" s="1"/>
      <c r="U132" s="1"/>
      <c r="V132" s="1"/>
      <c r="W132" s="1"/>
      <c r="X132" s="1"/>
      <c r="Y132" s="1"/>
      <c r="Z132" s="1"/>
      <c r="AA132" s="1"/>
      <c r="AB132" s="1"/>
    </row>
    <row r="133" ht="23.25" customHeight="1">
      <c r="A133" s="1"/>
      <c r="B133" s="79" t="s">
        <v>238</v>
      </c>
      <c r="C133" s="99" t="s">
        <v>239</v>
      </c>
      <c r="D133" s="102">
        <v>2.0</v>
      </c>
      <c r="E133" s="99">
        <v>29080.0</v>
      </c>
      <c r="F133" s="100" t="s">
        <v>240</v>
      </c>
      <c r="G133" s="1"/>
      <c r="H133" s="1"/>
      <c r="I133" s="1"/>
      <c r="J133" s="1"/>
      <c r="K133" s="1"/>
      <c r="L133" s="1"/>
      <c r="M133" s="1"/>
      <c r="N133" s="1"/>
      <c r="O133" s="1"/>
      <c r="P133" s="1"/>
      <c r="Q133" s="1"/>
      <c r="R133" s="1"/>
      <c r="S133" s="1"/>
      <c r="T133" s="1"/>
      <c r="U133" s="1"/>
      <c r="V133" s="1"/>
      <c r="W133" s="1"/>
      <c r="X133" s="1"/>
      <c r="Y133" s="1"/>
      <c r="Z133" s="1"/>
      <c r="AA133" s="1"/>
      <c r="AB133" s="1"/>
    </row>
    <row r="134" ht="23.25" customHeight="1">
      <c r="A134" s="1"/>
      <c r="B134" s="79" t="s">
        <v>241</v>
      </c>
      <c r="C134" s="99" t="s">
        <v>242</v>
      </c>
      <c r="D134" s="102">
        <v>1.0</v>
      </c>
      <c r="E134" s="99">
        <v>36100.0</v>
      </c>
      <c r="F134" s="100" t="s">
        <v>243</v>
      </c>
      <c r="G134" s="1"/>
      <c r="H134" s="1"/>
      <c r="I134" s="1"/>
      <c r="J134" s="1"/>
      <c r="K134" s="1"/>
      <c r="L134" s="1"/>
      <c r="M134" s="1"/>
      <c r="N134" s="1"/>
      <c r="O134" s="1"/>
      <c r="P134" s="1"/>
      <c r="Q134" s="1"/>
      <c r="R134" s="1"/>
      <c r="S134" s="1"/>
      <c r="T134" s="1"/>
      <c r="U134" s="1"/>
      <c r="V134" s="1"/>
      <c r="W134" s="1"/>
      <c r="X134" s="1"/>
      <c r="Y134" s="1"/>
      <c r="Z134" s="1"/>
      <c r="AA134" s="1"/>
      <c r="AB134" s="1"/>
    </row>
    <row r="135" ht="23.25" customHeight="1">
      <c r="A135" s="1"/>
      <c r="B135" s="79" t="s">
        <v>244</v>
      </c>
      <c r="C135" s="99" t="s">
        <v>245</v>
      </c>
      <c r="D135" s="102">
        <v>12.0</v>
      </c>
      <c r="E135" s="99">
        <v>197604.0</v>
      </c>
      <c r="F135" s="100" t="s">
        <v>246</v>
      </c>
      <c r="G135" s="1"/>
      <c r="H135" s="1"/>
      <c r="I135" s="1"/>
      <c r="J135" s="1"/>
      <c r="K135" s="1"/>
      <c r="L135" s="1"/>
      <c r="M135" s="1"/>
      <c r="N135" s="1"/>
      <c r="O135" s="1"/>
      <c r="P135" s="1"/>
      <c r="Q135" s="1"/>
      <c r="R135" s="1"/>
      <c r="S135" s="1"/>
      <c r="T135" s="1"/>
      <c r="U135" s="1"/>
      <c r="V135" s="1"/>
      <c r="W135" s="1"/>
      <c r="X135" s="1"/>
      <c r="Y135" s="1"/>
      <c r="Z135" s="1"/>
      <c r="AA135" s="1"/>
      <c r="AB135" s="1"/>
    </row>
    <row r="136" ht="23.25" customHeight="1">
      <c r="A136" s="1"/>
      <c r="B136" s="79" t="s">
        <v>247</v>
      </c>
      <c r="C136" s="99" t="s">
        <v>248</v>
      </c>
      <c r="D136" s="102">
        <v>1.0</v>
      </c>
      <c r="E136" s="99">
        <v>290029.0</v>
      </c>
      <c r="F136" s="100" t="s">
        <v>249</v>
      </c>
      <c r="G136" s="1"/>
      <c r="H136" s="1"/>
      <c r="I136" s="1"/>
      <c r="J136" s="1"/>
      <c r="K136" s="1"/>
      <c r="L136" s="1"/>
      <c r="M136" s="1"/>
      <c r="N136" s="1"/>
      <c r="O136" s="1"/>
      <c r="P136" s="1"/>
      <c r="Q136" s="1"/>
      <c r="R136" s="1"/>
      <c r="S136" s="1"/>
      <c r="T136" s="1"/>
      <c r="U136" s="1"/>
      <c r="V136" s="1"/>
      <c r="W136" s="1"/>
      <c r="X136" s="1"/>
      <c r="Y136" s="1"/>
      <c r="Z136" s="1"/>
      <c r="AA136" s="1"/>
      <c r="AB136" s="1"/>
    </row>
    <row r="137" ht="23.25" customHeight="1">
      <c r="A137" s="1"/>
      <c r="B137" s="79" t="s">
        <v>250</v>
      </c>
      <c r="C137" s="99">
        <v>86897.27</v>
      </c>
      <c r="D137" s="102">
        <v>6.0</v>
      </c>
      <c r="E137" s="99">
        <v>521383.5</v>
      </c>
      <c r="F137" s="100" t="s">
        <v>251</v>
      </c>
      <c r="G137" s="1"/>
      <c r="H137" s="1"/>
      <c r="I137" s="1"/>
      <c r="J137" s="1"/>
      <c r="K137" s="1"/>
      <c r="L137" s="1"/>
      <c r="M137" s="1"/>
      <c r="N137" s="1"/>
      <c r="O137" s="1"/>
      <c r="P137" s="1"/>
      <c r="Q137" s="1"/>
      <c r="R137" s="1"/>
      <c r="S137" s="1"/>
      <c r="T137" s="1"/>
      <c r="U137" s="1"/>
      <c r="V137" s="1"/>
      <c r="W137" s="1"/>
      <c r="X137" s="1"/>
      <c r="Y137" s="1"/>
      <c r="Z137" s="1"/>
      <c r="AA137" s="1"/>
      <c r="AB137" s="1"/>
    </row>
    <row r="138" ht="23.25" customHeight="1">
      <c r="A138" s="1"/>
      <c r="B138" s="79" t="s">
        <v>252</v>
      </c>
      <c r="C138" s="99" t="s">
        <v>253</v>
      </c>
      <c r="D138" s="102">
        <v>1.0</v>
      </c>
      <c r="E138" s="99">
        <v>159999.0</v>
      </c>
      <c r="F138" s="100" t="s">
        <v>254</v>
      </c>
      <c r="G138" s="1"/>
      <c r="H138" s="1"/>
      <c r="I138" s="1"/>
      <c r="J138" s="1"/>
      <c r="K138" s="1"/>
      <c r="L138" s="1"/>
      <c r="M138" s="1"/>
      <c r="N138" s="1"/>
      <c r="O138" s="1"/>
      <c r="P138" s="1"/>
      <c r="Q138" s="1"/>
      <c r="R138" s="1"/>
      <c r="S138" s="1"/>
      <c r="T138" s="1"/>
      <c r="U138" s="1"/>
      <c r="V138" s="1"/>
      <c r="W138" s="1"/>
      <c r="X138" s="1"/>
      <c r="Y138" s="1"/>
      <c r="Z138" s="1"/>
      <c r="AA138" s="1"/>
      <c r="AB138" s="1"/>
    </row>
    <row r="139" ht="23.25" customHeight="1">
      <c r="A139" s="1"/>
      <c r="B139" s="79" t="s">
        <v>255</v>
      </c>
      <c r="C139" s="99" t="s">
        <v>256</v>
      </c>
      <c r="D139" s="102">
        <v>3.0</v>
      </c>
      <c r="E139" s="99">
        <v>85284.0</v>
      </c>
      <c r="F139" s="100" t="s">
        <v>257</v>
      </c>
      <c r="G139" s="1"/>
      <c r="H139" s="1"/>
      <c r="I139" s="1"/>
      <c r="J139" s="1"/>
      <c r="K139" s="1"/>
      <c r="L139" s="1"/>
      <c r="M139" s="1"/>
      <c r="N139" s="1"/>
      <c r="O139" s="1"/>
      <c r="P139" s="1"/>
      <c r="Q139" s="1"/>
      <c r="R139" s="1"/>
      <c r="S139" s="1"/>
      <c r="T139" s="1"/>
      <c r="U139" s="1"/>
      <c r="V139" s="1"/>
      <c r="W139" s="1"/>
      <c r="X139" s="1"/>
      <c r="Y139" s="1"/>
      <c r="Z139" s="1"/>
      <c r="AA139" s="1"/>
      <c r="AB139" s="1"/>
    </row>
    <row r="140" ht="23.25" customHeight="1">
      <c r="A140" s="1"/>
      <c r="B140" s="79" t="s">
        <v>258</v>
      </c>
      <c r="C140" s="99" t="s">
        <v>259</v>
      </c>
      <c r="D140" s="102">
        <v>2.0</v>
      </c>
      <c r="E140" s="99">
        <v>99108.0</v>
      </c>
      <c r="F140" s="100" t="s">
        <v>260</v>
      </c>
      <c r="G140" s="1"/>
      <c r="H140" s="1"/>
      <c r="I140" s="1"/>
      <c r="J140" s="1"/>
      <c r="K140" s="1"/>
      <c r="L140" s="1"/>
      <c r="M140" s="1"/>
      <c r="N140" s="1"/>
      <c r="O140" s="1"/>
      <c r="P140" s="1"/>
      <c r="Q140" s="1"/>
      <c r="R140" s="1"/>
      <c r="S140" s="1"/>
      <c r="T140" s="1"/>
      <c r="U140" s="1"/>
      <c r="V140" s="1"/>
      <c r="W140" s="1"/>
      <c r="X140" s="1"/>
      <c r="Y140" s="1"/>
      <c r="Z140" s="1"/>
      <c r="AA140" s="1"/>
      <c r="AB140" s="1"/>
    </row>
    <row r="141" ht="23.25" customHeight="1">
      <c r="A141" s="1"/>
      <c r="B141" s="79" t="s">
        <v>261</v>
      </c>
      <c r="C141" s="99" t="s">
        <v>262</v>
      </c>
      <c r="D141" s="102">
        <v>3.0</v>
      </c>
      <c r="E141" s="99">
        <v>42579.0</v>
      </c>
      <c r="F141" s="100" t="s">
        <v>263</v>
      </c>
      <c r="G141" s="1"/>
      <c r="H141" s="1"/>
      <c r="I141" s="1"/>
      <c r="J141" s="1"/>
      <c r="K141" s="1"/>
      <c r="L141" s="1"/>
      <c r="M141" s="1"/>
      <c r="N141" s="1"/>
      <c r="O141" s="1"/>
      <c r="P141" s="1"/>
      <c r="Q141" s="1"/>
      <c r="R141" s="1"/>
      <c r="S141" s="1"/>
      <c r="T141" s="1"/>
      <c r="U141" s="1"/>
      <c r="V141" s="1"/>
      <c r="W141" s="1"/>
      <c r="X141" s="1"/>
      <c r="Y141" s="1"/>
      <c r="Z141" s="1"/>
      <c r="AA141" s="1"/>
      <c r="AB141" s="1"/>
    </row>
    <row r="142" ht="23.25" customHeight="1">
      <c r="A142" s="1" t="s">
        <v>48</v>
      </c>
      <c r="B142" s="79" t="s">
        <v>264</v>
      </c>
      <c r="C142" s="99" t="s">
        <v>265</v>
      </c>
      <c r="D142" s="102">
        <v>1.0</v>
      </c>
      <c r="E142" s="99">
        <v>95000.0</v>
      </c>
      <c r="F142" s="100" t="s">
        <v>266</v>
      </c>
      <c r="G142" s="1"/>
      <c r="H142" s="1"/>
      <c r="I142" s="1"/>
      <c r="J142" s="1"/>
      <c r="K142" s="1"/>
      <c r="L142" s="1"/>
      <c r="M142" s="1"/>
      <c r="N142" s="1"/>
      <c r="O142" s="1"/>
      <c r="P142" s="1"/>
      <c r="Q142" s="1"/>
      <c r="R142" s="1"/>
      <c r="S142" s="1"/>
      <c r="T142" s="1"/>
      <c r="U142" s="1"/>
      <c r="V142" s="1"/>
      <c r="W142" s="1"/>
      <c r="X142" s="1"/>
      <c r="Y142" s="1"/>
      <c r="Z142" s="1"/>
      <c r="AA142" s="1"/>
      <c r="AB142" s="1"/>
    </row>
    <row r="143" ht="23.25" customHeight="1">
      <c r="A143" s="1"/>
      <c r="B143" s="79" t="s">
        <v>267</v>
      </c>
      <c r="C143" s="99" t="s">
        <v>268</v>
      </c>
      <c r="D143" s="102">
        <v>1.0</v>
      </c>
      <c r="E143" s="99">
        <v>21600.0</v>
      </c>
      <c r="F143" s="100" t="s">
        <v>269</v>
      </c>
      <c r="G143" s="1"/>
      <c r="H143" s="1"/>
      <c r="I143" s="1"/>
      <c r="J143" s="1"/>
      <c r="K143" s="1"/>
      <c r="L143" s="1"/>
      <c r="M143" s="1"/>
      <c r="N143" s="1"/>
      <c r="O143" s="1"/>
      <c r="P143" s="1"/>
      <c r="Q143" s="1"/>
      <c r="R143" s="1"/>
      <c r="S143" s="1"/>
      <c r="T143" s="1"/>
      <c r="U143" s="1"/>
      <c r="V143" s="1"/>
      <c r="W143" s="1"/>
      <c r="X143" s="1"/>
      <c r="Y143" s="1"/>
      <c r="Z143" s="1"/>
      <c r="AA143" s="1"/>
      <c r="AB143" s="1"/>
    </row>
    <row r="144" ht="23.25" customHeight="1">
      <c r="A144" s="1"/>
      <c r="B144" s="79" t="s">
        <v>270</v>
      </c>
      <c r="C144" s="99" t="s">
        <v>271</v>
      </c>
      <c r="D144" s="102">
        <v>1.0</v>
      </c>
      <c r="E144" s="99">
        <v>311080.0</v>
      </c>
      <c r="F144" s="100" t="s">
        <v>272</v>
      </c>
      <c r="G144" s="1"/>
      <c r="H144" s="1"/>
      <c r="I144" s="1"/>
      <c r="J144" s="1"/>
      <c r="K144" s="1"/>
      <c r="L144" s="1"/>
      <c r="M144" s="1"/>
      <c r="N144" s="1"/>
      <c r="O144" s="1"/>
      <c r="P144" s="1"/>
      <c r="Q144" s="1"/>
      <c r="R144" s="1"/>
      <c r="S144" s="1"/>
      <c r="T144" s="1"/>
      <c r="U144" s="1"/>
      <c r="V144" s="1"/>
      <c r="W144" s="1"/>
      <c r="X144" s="1"/>
      <c r="Y144" s="1"/>
      <c r="Z144" s="1"/>
      <c r="AA144" s="1"/>
      <c r="AB144" s="1"/>
    </row>
    <row r="145" ht="23.25" customHeight="1">
      <c r="A145" s="1"/>
      <c r="B145" s="79" t="s">
        <v>273</v>
      </c>
      <c r="C145" s="99" t="s">
        <v>274</v>
      </c>
      <c r="D145" s="102">
        <v>1.0</v>
      </c>
      <c r="E145" s="99">
        <v>795080.0</v>
      </c>
      <c r="F145" s="100" t="s">
        <v>275</v>
      </c>
      <c r="G145" s="1"/>
      <c r="H145" s="1"/>
      <c r="I145" s="1"/>
      <c r="J145" s="1"/>
      <c r="K145" s="1"/>
      <c r="L145" s="1"/>
      <c r="M145" s="1"/>
      <c r="N145" s="1"/>
      <c r="O145" s="1"/>
      <c r="P145" s="1"/>
      <c r="Q145" s="1"/>
      <c r="R145" s="1"/>
      <c r="S145" s="1"/>
      <c r="T145" s="1"/>
      <c r="U145" s="1"/>
      <c r="V145" s="1"/>
      <c r="W145" s="1"/>
      <c r="X145" s="1"/>
      <c r="Y145" s="1"/>
      <c r="Z145" s="1"/>
      <c r="AA145" s="1"/>
      <c r="AB145" s="1"/>
    </row>
    <row r="146" ht="23.25" customHeight="1">
      <c r="A146" s="1"/>
      <c r="B146" s="79" t="s">
        <v>276</v>
      </c>
      <c r="C146" s="99" t="s">
        <v>277</v>
      </c>
      <c r="D146" s="102">
        <v>1.0</v>
      </c>
      <c r="E146" s="99">
        <v>96580.0</v>
      </c>
      <c r="F146" s="100" t="s">
        <v>278</v>
      </c>
      <c r="G146" s="1"/>
      <c r="H146" s="1"/>
      <c r="I146" s="1"/>
      <c r="J146" s="1"/>
      <c r="K146" s="1"/>
      <c r="L146" s="1"/>
      <c r="M146" s="1"/>
      <c r="N146" s="1"/>
      <c r="O146" s="1"/>
      <c r="P146" s="1"/>
      <c r="Q146" s="1"/>
      <c r="R146" s="1"/>
      <c r="S146" s="1"/>
      <c r="T146" s="1"/>
      <c r="U146" s="1"/>
      <c r="V146" s="1"/>
      <c r="W146" s="1"/>
      <c r="X146" s="1"/>
      <c r="Y146" s="1"/>
      <c r="Z146" s="1"/>
      <c r="AA146" s="1"/>
      <c r="AB146" s="1"/>
    </row>
    <row r="147" ht="23.25" customHeight="1">
      <c r="A147" s="1"/>
      <c r="B147" s="79" t="s">
        <v>279</v>
      </c>
      <c r="C147" s="99" t="s">
        <v>280</v>
      </c>
      <c r="D147" s="102">
        <v>1.0</v>
      </c>
      <c r="E147" s="99">
        <v>482680.0</v>
      </c>
      <c r="F147" s="100" t="s">
        <v>281</v>
      </c>
      <c r="G147" s="1"/>
      <c r="H147" s="1"/>
      <c r="I147" s="1"/>
      <c r="J147" s="1"/>
      <c r="K147" s="1"/>
      <c r="L147" s="1"/>
      <c r="M147" s="1"/>
      <c r="N147" s="1"/>
      <c r="O147" s="1"/>
      <c r="P147" s="1"/>
      <c r="Q147" s="1"/>
      <c r="R147" s="1"/>
      <c r="S147" s="1"/>
      <c r="T147" s="1"/>
      <c r="U147" s="1"/>
      <c r="V147" s="1"/>
      <c r="W147" s="1"/>
      <c r="X147" s="1"/>
      <c r="Y147" s="1"/>
      <c r="Z147" s="1"/>
      <c r="AA147" s="1"/>
      <c r="AB147" s="1"/>
    </row>
    <row r="148" ht="23.25" customHeight="1">
      <c r="A148" s="1"/>
      <c r="B148" s="79" t="s">
        <v>282</v>
      </c>
      <c r="C148" s="99" t="s">
        <v>283</v>
      </c>
      <c r="D148" s="102">
        <v>1.0</v>
      </c>
      <c r="E148" s="99">
        <v>2364999.0</v>
      </c>
      <c r="F148" s="100" t="s">
        <v>284</v>
      </c>
      <c r="G148" s="1"/>
      <c r="H148" s="1"/>
      <c r="I148" s="1"/>
      <c r="J148" s="1"/>
      <c r="K148" s="1"/>
      <c r="L148" s="1"/>
      <c r="M148" s="1"/>
      <c r="N148" s="1"/>
      <c r="O148" s="1"/>
      <c r="P148" s="1"/>
      <c r="Q148" s="1"/>
      <c r="R148" s="1"/>
      <c r="S148" s="1"/>
      <c r="T148" s="1"/>
      <c r="U148" s="1"/>
      <c r="V148" s="1"/>
      <c r="W148" s="1"/>
      <c r="X148" s="1"/>
      <c r="Y148" s="1"/>
      <c r="Z148" s="1"/>
      <c r="AA148" s="1"/>
      <c r="AB148" s="1"/>
    </row>
    <row r="149" ht="23.25" customHeight="1">
      <c r="A149" s="1"/>
      <c r="B149" s="79" t="s">
        <v>285</v>
      </c>
      <c r="C149" s="99">
        <v>12187.0</v>
      </c>
      <c r="D149" s="102">
        <v>5.0</v>
      </c>
      <c r="E149" s="99">
        <f t="shared" ref="E149:E150" si="7">C149*D149</f>
        <v>60935</v>
      </c>
      <c r="F149" s="83" t="s">
        <v>286</v>
      </c>
      <c r="G149" s="1"/>
      <c r="H149" s="1"/>
      <c r="I149" s="1"/>
      <c r="J149" s="1"/>
      <c r="K149" s="1"/>
      <c r="L149" s="1"/>
      <c r="M149" s="1"/>
      <c r="N149" s="1"/>
      <c r="O149" s="1"/>
      <c r="P149" s="1"/>
      <c r="Q149" s="1"/>
      <c r="R149" s="1"/>
      <c r="S149" s="1"/>
      <c r="T149" s="1"/>
      <c r="U149" s="1"/>
      <c r="V149" s="1"/>
      <c r="W149" s="1"/>
      <c r="X149" s="1"/>
      <c r="Y149" s="1"/>
      <c r="Z149" s="1"/>
      <c r="AA149" s="1"/>
      <c r="AB149" s="1"/>
    </row>
    <row r="150" ht="23.25" customHeight="1">
      <c r="A150" s="1"/>
      <c r="B150" s="79" t="s">
        <v>128</v>
      </c>
      <c r="C150" s="80">
        <v>7232.82</v>
      </c>
      <c r="D150" s="81">
        <v>15.0</v>
      </c>
      <c r="E150" s="82">
        <f t="shared" si="7"/>
        <v>108492.3</v>
      </c>
      <c r="F150" s="83" t="s">
        <v>74</v>
      </c>
      <c r="G150" s="1"/>
      <c r="H150" s="1"/>
      <c r="I150" s="1"/>
      <c r="J150" s="1"/>
      <c r="K150" s="1"/>
      <c r="L150" s="1"/>
      <c r="M150" s="1"/>
      <c r="N150" s="1"/>
      <c r="O150" s="1"/>
      <c r="P150" s="1"/>
      <c r="Q150" s="1"/>
      <c r="R150" s="1"/>
      <c r="S150" s="1"/>
      <c r="T150" s="1"/>
      <c r="U150" s="1"/>
      <c r="V150" s="1"/>
      <c r="W150" s="1"/>
      <c r="X150" s="1"/>
      <c r="Y150" s="1"/>
      <c r="Z150" s="1"/>
      <c r="AA150" s="1"/>
      <c r="AB150" s="1"/>
    </row>
    <row r="151" ht="23.25" customHeight="1">
      <c r="A151" s="1"/>
      <c r="B151" s="79" t="s">
        <v>287</v>
      </c>
      <c r="C151" s="99">
        <v>3471199.0</v>
      </c>
      <c r="D151" s="102">
        <v>1.0</v>
      </c>
      <c r="E151" s="99">
        <v>3471199.0</v>
      </c>
      <c r="F151" s="83" t="s">
        <v>288</v>
      </c>
      <c r="G151" s="1"/>
      <c r="H151" s="1"/>
      <c r="I151" s="1"/>
      <c r="J151" s="1"/>
      <c r="K151" s="1"/>
      <c r="L151" s="1"/>
      <c r="M151" s="1"/>
      <c r="N151" s="1"/>
      <c r="O151" s="1"/>
      <c r="P151" s="1"/>
      <c r="Q151" s="1"/>
      <c r="R151" s="1"/>
      <c r="S151" s="1"/>
      <c r="T151" s="1"/>
      <c r="U151" s="1"/>
      <c r="V151" s="1"/>
      <c r="W151" s="1"/>
      <c r="X151" s="1"/>
      <c r="Y151" s="1"/>
      <c r="Z151" s="1"/>
      <c r="AA151" s="1"/>
      <c r="AB151" s="1"/>
    </row>
    <row r="152" ht="23.25" customHeight="1">
      <c r="A152" s="1"/>
      <c r="B152" s="94"/>
      <c r="C152" s="103"/>
      <c r="D152" s="104"/>
      <c r="E152" s="80"/>
      <c r="F152" s="90"/>
      <c r="G152" s="1"/>
      <c r="H152" s="1"/>
      <c r="I152" s="1"/>
      <c r="J152" s="1"/>
      <c r="K152" s="1"/>
      <c r="L152" s="1"/>
      <c r="M152" s="1"/>
      <c r="N152" s="1"/>
      <c r="O152" s="1"/>
      <c r="P152" s="1"/>
      <c r="Q152" s="1"/>
      <c r="R152" s="1"/>
      <c r="S152" s="1"/>
      <c r="T152" s="1"/>
      <c r="U152" s="1"/>
      <c r="V152" s="1"/>
      <c r="W152" s="1"/>
      <c r="X152" s="1"/>
      <c r="Y152" s="1"/>
      <c r="Z152" s="1"/>
      <c r="AA152" s="1"/>
      <c r="AB152" s="1"/>
    </row>
    <row r="153" ht="23.25" customHeight="1">
      <c r="A153" s="1"/>
      <c r="B153" s="90"/>
      <c r="C153" s="103"/>
      <c r="D153" s="104"/>
      <c r="E153" s="80"/>
      <c r="F153" s="90"/>
      <c r="G153" s="1"/>
      <c r="H153" s="1"/>
      <c r="I153" s="1"/>
      <c r="J153" s="1"/>
      <c r="K153" s="1"/>
      <c r="L153" s="1"/>
      <c r="M153" s="1"/>
      <c r="N153" s="1"/>
      <c r="O153" s="1"/>
      <c r="P153" s="1"/>
      <c r="Q153" s="1"/>
      <c r="R153" s="1"/>
      <c r="S153" s="1"/>
      <c r="T153" s="1"/>
      <c r="U153" s="1"/>
      <c r="V153" s="1"/>
      <c r="W153" s="1"/>
      <c r="X153" s="1"/>
      <c r="Y153" s="1"/>
      <c r="Z153" s="1"/>
      <c r="AA153" s="1"/>
      <c r="AB153" s="1"/>
    </row>
    <row r="154" ht="23.25" customHeight="1">
      <c r="A154" s="1"/>
      <c r="B154" s="90"/>
      <c r="C154" s="103"/>
      <c r="D154" s="104"/>
      <c r="E154" s="80"/>
      <c r="F154" s="90"/>
      <c r="G154" s="1"/>
      <c r="H154" s="1"/>
      <c r="I154" s="1"/>
      <c r="J154" s="1"/>
      <c r="K154" s="1"/>
      <c r="L154" s="1"/>
      <c r="M154" s="1"/>
      <c r="N154" s="1"/>
      <c r="O154" s="1"/>
      <c r="P154" s="1"/>
      <c r="Q154" s="1"/>
      <c r="R154" s="1"/>
      <c r="S154" s="1"/>
      <c r="T154" s="1"/>
      <c r="U154" s="1"/>
      <c r="V154" s="1"/>
      <c r="W154" s="1"/>
      <c r="X154" s="1"/>
      <c r="Y154" s="1"/>
      <c r="Z154" s="1"/>
      <c r="AA154" s="1"/>
      <c r="AB154" s="1"/>
    </row>
    <row r="155" ht="23.25" customHeight="1">
      <c r="A155" s="1"/>
      <c r="B155" s="96" t="s">
        <v>289</v>
      </c>
      <c r="C155" s="47"/>
      <c r="D155" s="12"/>
      <c r="E155" s="17">
        <f>SUM(E104:E154)</f>
        <v>42066892.4</v>
      </c>
      <c r="F155" s="65" t="s">
        <v>5</v>
      </c>
      <c r="G155" s="1"/>
      <c r="H155" s="1"/>
      <c r="I155" s="1"/>
      <c r="J155" s="1"/>
      <c r="K155" s="1"/>
      <c r="L155" s="1"/>
      <c r="M155" s="1"/>
      <c r="N155" s="1"/>
      <c r="O155" s="1"/>
      <c r="P155" s="1"/>
      <c r="Q155" s="1"/>
      <c r="R155" s="1"/>
      <c r="S155" s="1"/>
      <c r="T155" s="1"/>
      <c r="U155" s="1"/>
      <c r="V155" s="1"/>
      <c r="W155" s="1"/>
      <c r="X155" s="1"/>
      <c r="Y155" s="1"/>
      <c r="Z155" s="1"/>
      <c r="AA155" s="1"/>
      <c r="AB155" s="1"/>
    </row>
    <row r="156" ht="23.25" customHeight="1">
      <c r="A156" s="1"/>
      <c r="B156" s="105" t="s">
        <v>290</v>
      </c>
      <c r="C156" s="47"/>
      <c r="D156" s="12"/>
      <c r="E156" s="106">
        <f>SUM(E96,E102,E155)</f>
        <v>48278470.4</v>
      </c>
      <c r="F156" s="65" t="s">
        <v>5</v>
      </c>
      <c r="G156" s="1"/>
      <c r="H156" s="1"/>
      <c r="I156" s="1"/>
      <c r="J156" s="1"/>
      <c r="K156" s="1"/>
      <c r="L156" s="1"/>
      <c r="M156" s="1"/>
      <c r="N156" s="1"/>
      <c r="O156" s="1"/>
      <c r="P156" s="1"/>
      <c r="Q156" s="1"/>
      <c r="R156" s="1"/>
      <c r="S156" s="1"/>
      <c r="T156" s="1"/>
      <c r="U156" s="1"/>
      <c r="V156" s="1"/>
      <c r="W156" s="1"/>
      <c r="X156" s="1"/>
      <c r="Y156" s="1"/>
      <c r="Z156" s="1"/>
      <c r="AA156" s="1"/>
      <c r="AB156" s="1"/>
    </row>
    <row r="157" ht="23.25" customHeight="1">
      <c r="A157" s="1"/>
      <c r="B157" s="1"/>
      <c r="C157" s="34"/>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ht="23.25" customHeight="1">
      <c r="A158" s="1"/>
      <c r="B158" s="107" t="s">
        <v>7</v>
      </c>
      <c r="C158" s="47"/>
      <c r="D158" s="47"/>
      <c r="E158" s="47"/>
      <c r="F158" s="12"/>
      <c r="G158" s="1"/>
      <c r="H158" s="1"/>
      <c r="I158" s="1"/>
      <c r="J158" s="1"/>
      <c r="K158" s="1"/>
      <c r="L158" s="1"/>
      <c r="M158" s="1"/>
      <c r="N158" s="1"/>
      <c r="O158" s="1"/>
      <c r="P158" s="1"/>
      <c r="Q158" s="1"/>
      <c r="R158" s="1"/>
      <c r="S158" s="1"/>
      <c r="T158" s="1"/>
      <c r="U158" s="1"/>
      <c r="V158" s="1"/>
      <c r="W158" s="1"/>
      <c r="X158" s="1"/>
      <c r="Y158" s="1"/>
      <c r="Z158" s="1"/>
      <c r="AA158" s="1"/>
      <c r="AB158" s="1"/>
    </row>
    <row r="159" ht="33.0" customHeight="1">
      <c r="A159" s="1"/>
      <c r="B159" s="108" t="s">
        <v>291</v>
      </c>
      <c r="C159" s="49" t="s">
        <v>22</v>
      </c>
      <c r="D159" s="50" t="s">
        <v>23</v>
      </c>
      <c r="E159" s="50" t="s">
        <v>24</v>
      </c>
      <c r="F159" s="50" t="s">
        <v>25</v>
      </c>
      <c r="G159" s="1"/>
      <c r="H159" s="1"/>
      <c r="I159" s="1"/>
      <c r="J159" s="1"/>
      <c r="K159" s="1"/>
      <c r="L159" s="1"/>
      <c r="M159" s="1"/>
      <c r="N159" s="1"/>
      <c r="O159" s="1"/>
      <c r="P159" s="1"/>
      <c r="Q159" s="1"/>
      <c r="R159" s="1"/>
      <c r="S159" s="1"/>
      <c r="T159" s="1"/>
      <c r="U159" s="1"/>
      <c r="V159" s="1"/>
      <c r="W159" s="1"/>
      <c r="X159" s="1"/>
      <c r="Y159" s="1"/>
      <c r="Z159" s="1"/>
      <c r="AA159" s="1"/>
      <c r="AB159" s="1"/>
    </row>
    <row r="160" ht="23.25" customHeight="1">
      <c r="A160" s="1"/>
      <c r="B160" s="109" t="s">
        <v>292</v>
      </c>
      <c r="C160" s="110">
        <v>130000.0</v>
      </c>
      <c r="D160" s="111">
        <v>15.0</v>
      </c>
      <c r="E160" s="112">
        <f t="shared" ref="E160:E166" si="8">C160*D160</f>
        <v>1950000</v>
      </c>
      <c r="F160" s="113" t="s">
        <v>293</v>
      </c>
      <c r="G160" s="1"/>
      <c r="H160" s="1"/>
      <c r="I160" s="1"/>
      <c r="J160" s="1"/>
      <c r="K160" s="1"/>
      <c r="L160" s="1"/>
      <c r="M160" s="1"/>
      <c r="N160" s="1"/>
      <c r="O160" s="1"/>
      <c r="P160" s="1"/>
      <c r="Q160" s="1"/>
      <c r="R160" s="1"/>
      <c r="S160" s="1"/>
      <c r="T160" s="1"/>
      <c r="U160" s="1"/>
      <c r="V160" s="1"/>
      <c r="W160" s="1"/>
      <c r="X160" s="1"/>
      <c r="Y160" s="1"/>
      <c r="Z160" s="1"/>
      <c r="AA160" s="1"/>
      <c r="AB160" s="1"/>
    </row>
    <row r="161" ht="23.25" customHeight="1">
      <c r="A161" s="1"/>
      <c r="B161" s="114" t="s">
        <v>294</v>
      </c>
      <c r="C161" s="115">
        <v>295605.0</v>
      </c>
      <c r="D161" s="111">
        <v>30.0</v>
      </c>
      <c r="E161" s="116">
        <f t="shared" si="8"/>
        <v>8868150</v>
      </c>
      <c r="F161" s="113" t="s">
        <v>295</v>
      </c>
      <c r="G161" s="1"/>
      <c r="H161" s="1"/>
      <c r="I161" s="1"/>
      <c r="J161" s="1"/>
      <c r="K161" s="1"/>
      <c r="L161" s="1"/>
      <c r="M161" s="1"/>
      <c r="N161" s="1"/>
      <c r="O161" s="1"/>
      <c r="P161" s="1"/>
      <c r="Q161" s="1"/>
      <c r="R161" s="1"/>
      <c r="S161" s="1"/>
      <c r="T161" s="1"/>
      <c r="U161" s="1"/>
      <c r="V161" s="1"/>
      <c r="W161" s="1"/>
      <c r="X161" s="1"/>
      <c r="Y161" s="1"/>
      <c r="Z161" s="1"/>
      <c r="AA161" s="1"/>
      <c r="AB161" s="1"/>
    </row>
    <row r="162" ht="23.25" customHeight="1">
      <c r="A162" s="1"/>
      <c r="B162" s="112" t="s">
        <v>296</v>
      </c>
      <c r="C162" s="110">
        <v>13999.0</v>
      </c>
      <c r="D162" s="111">
        <v>15.0</v>
      </c>
      <c r="E162" s="112">
        <f t="shared" si="8"/>
        <v>209985</v>
      </c>
      <c r="F162" s="113" t="s">
        <v>297</v>
      </c>
      <c r="G162" s="1"/>
      <c r="H162" s="1"/>
      <c r="I162" s="1"/>
      <c r="J162" s="1"/>
      <c r="K162" s="1"/>
      <c r="L162" s="1"/>
      <c r="M162" s="1"/>
      <c r="N162" s="1"/>
      <c r="O162" s="1"/>
      <c r="P162" s="1"/>
      <c r="Q162" s="1"/>
      <c r="R162" s="1"/>
      <c r="S162" s="1"/>
      <c r="T162" s="1"/>
      <c r="U162" s="1"/>
      <c r="V162" s="1"/>
      <c r="W162" s="1"/>
      <c r="X162" s="1"/>
      <c r="Y162" s="1"/>
      <c r="Z162" s="1"/>
      <c r="AA162" s="1"/>
      <c r="AB162" s="1"/>
    </row>
    <row r="163" ht="23.25" customHeight="1">
      <c r="A163" s="1"/>
      <c r="B163" s="112" t="s">
        <v>298</v>
      </c>
      <c r="C163" s="110">
        <v>5382.7</v>
      </c>
      <c r="D163" s="111">
        <v>20.0</v>
      </c>
      <c r="E163" s="112">
        <f t="shared" si="8"/>
        <v>107654</v>
      </c>
      <c r="F163" s="113" t="s">
        <v>299</v>
      </c>
      <c r="G163" s="1"/>
      <c r="H163" s="1"/>
      <c r="I163" s="1"/>
      <c r="J163" s="1"/>
      <c r="K163" s="1"/>
      <c r="L163" s="1"/>
      <c r="M163" s="1"/>
      <c r="N163" s="1"/>
      <c r="O163" s="1"/>
      <c r="P163" s="1"/>
      <c r="Q163" s="1"/>
      <c r="R163" s="1"/>
      <c r="S163" s="1"/>
      <c r="T163" s="1"/>
      <c r="U163" s="1"/>
      <c r="V163" s="1"/>
      <c r="W163" s="1"/>
      <c r="X163" s="1"/>
      <c r="Y163" s="1"/>
      <c r="Z163" s="1"/>
      <c r="AA163" s="1"/>
      <c r="AB163" s="1"/>
    </row>
    <row r="164" ht="23.25" customHeight="1">
      <c r="A164" s="1"/>
      <c r="B164" s="109" t="s">
        <v>285</v>
      </c>
      <c r="C164" s="117">
        <v>183249.0</v>
      </c>
      <c r="D164" s="111">
        <v>1.0</v>
      </c>
      <c r="E164" s="112">
        <f t="shared" si="8"/>
        <v>183249</v>
      </c>
      <c r="F164" s="113" t="s">
        <v>300</v>
      </c>
      <c r="G164" s="1"/>
      <c r="H164" s="1"/>
      <c r="I164" s="1"/>
      <c r="J164" s="1"/>
      <c r="K164" s="1"/>
      <c r="L164" s="1"/>
      <c r="M164" s="1"/>
      <c r="N164" s="1"/>
      <c r="O164" s="1"/>
      <c r="P164" s="1"/>
      <c r="Q164" s="1"/>
      <c r="R164" s="1"/>
      <c r="S164" s="1"/>
      <c r="T164" s="1"/>
      <c r="U164" s="1"/>
      <c r="V164" s="1"/>
      <c r="W164" s="1"/>
      <c r="X164" s="1"/>
      <c r="Y164" s="1"/>
      <c r="Z164" s="1"/>
      <c r="AA164" s="1"/>
      <c r="AB164" s="1"/>
    </row>
    <row r="165" ht="23.25" customHeight="1">
      <c r="A165" s="1"/>
      <c r="B165" s="109" t="s">
        <v>128</v>
      </c>
      <c r="C165" s="117">
        <v>7232.82</v>
      </c>
      <c r="D165" s="111">
        <v>20.0</v>
      </c>
      <c r="E165" s="112">
        <f t="shared" si="8"/>
        <v>144656.4</v>
      </c>
      <c r="F165" s="118" t="s">
        <v>74</v>
      </c>
      <c r="G165" s="1"/>
      <c r="H165" s="1"/>
      <c r="I165" s="1"/>
      <c r="J165" s="1"/>
      <c r="K165" s="1"/>
      <c r="L165" s="1"/>
      <c r="M165" s="1"/>
      <c r="N165" s="1"/>
      <c r="O165" s="1"/>
      <c r="P165" s="1"/>
      <c r="Q165" s="1"/>
      <c r="R165" s="1"/>
      <c r="S165" s="1"/>
      <c r="T165" s="1"/>
      <c r="U165" s="1"/>
      <c r="V165" s="1"/>
      <c r="W165" s="1"/>
      <c r="X165" s="1"/>
      <c r="Y165" s="1"/>
      <c r="Z165" s="1"/>
      <c r="AA165" s="1"/>
      <c r="AB165" s="1"/>
    </row>
    <row r="166" ht="23.25" customHeight="1">
      <c r="A166" s="1"/>
      <c r="B166" s="109" t="s">
        <v>301</v>
      </c>
      <c r="C166" s="119">
        <v>70000.0</v>
      </c>
      <c r="D166" s="111">
        <v>1.0</v>
      </c>
      <c r="E166" s="112">
        <f t="shared" si="8"/>
        <v>70000</v>
      </c>
      <c r="F166" s="113" t="s">
        <v>302</v>
      </c>
      <c r="G166" s="1"/>
      <c r="H166" s="1"/>
      <c r="I166" s="1"/>
      <c r="J166" s="1"/>
      <c r="K166" s="1"/>
      <c r="L166" s="1"/>
      <c r="M166" s="1"/>
      <c r="N166" s="1"/>
      <c r="O166" s="1"/>
      <c r="P166" s="1"/>
      <c r="Q166" s="1"/>
      <c r="R166" s="1"/>
      <c r="S166" s="1"/>
      <c r="T166" s="1"/>
      <c r="U166" s="1"/>
      <c r="V166" s="1"/>
      <c r="W166" s="1"/>
      <c r="X166" s="1"/>
      <c r="Y166" s="1"/>
      <c r="Z166" s="1"/>
      <c r="AA166" s="1"/>
      <c r="AB166" s="1"/>
    </row>
    <row r="167" ht="23.25" customHeight="1">
      <c r="A167" s="1"/>
      <c r="B167" s="120" t="s">
        <v>303</v>
      </c>
      <c r="C167" s="47"/>
      <c r="D167" s="12"/>
      <c r="E167" s="121">
        <f>SUM(E160:E166)</f>
        <v>11533694.4</v>
      </c>
      <c r="F167" s="65" t="s">
        <v>5</v>
      </c>
      <c r="G167" s="1"/>
      <c r="H167" s="1"/>
      <c r="I167" s="1"/>
      <c r="J167" s="1"/>
      <c r="K167" s="1"/>
      <c r="L167" s="1"/>
      <c r="M167" s="1"/>
      <c r="N167" s="1"/>
      <c r="O167" s="1"/>
      <c r="P167" s="1"/>
      <c r="Q167" s="1"/>
      <c r="R167" s="1"/>
      <c r="S167" s="1"/>
      <c r="T167" s="1"/>
      <c r="U167" s="1"/>
      <c r="V167" s="1"/>
      <c r="W167" s="1"/>
      <c r="X167" s="1"/>
      <c r="Y167" s="1"/>
      <c r="Z167" s="1"/>
      <c r="AA167" s="1"/>
      <c r="AB167" s="1"/>
    </row>
    <row r="168" ht="33.0" customHeight="1">
      <c r="A168" s="1"/>
      <c r="B168" s="108" t="s">
        <v>304</v>
      </c>
      <c r="C168" s="49" t="s">
        <v>22</v>
      </c>
      <c r="D168" s="50" t="s">
        <v>23</v>
      </c>
      <c r="E168" s="50" t="s">
        <v>24</v>
      </c>
      <c r="F168" s="50" t="s">
        <v>25</v>
      </c>
      <c r="G168" s="1"/>
      <c r="H168" s="1"/>
      <c r="I168" s="1"/>
      <c r="J168" s="1"/>
      <c r="K168" s="1"/>
      <c r="L168" s="1"/>
      <c r="M168" s="1"/>
      <c r="N168" s="1"/>
      <c r="O168" s="1"/>
      <c r="P168" s="1"/>
      <c r="Q168" s="1"/>
      <c r="R168" s="1"/>
      <c r="S168" s="1"/>
      <c r="T168" s="1"/>
      <c r="U168" s="1"/>
      <c r="V168" s="1"/>
      <c r="W168" s="1"/>
      <c r="X168" s="1"/>
      <c r="Y168" s="1"/>
      <c r="Z168" s="1"/>
      <c r="AA168" s="1"/>
      <c r="AB168" s="1"/>
    </row>
    <row r="169" ht="23.25" customHeight="1">
      <c r="A169" s="1"/>
      <c r="B169" s="122" t="s">
        <v>305</v>
      </c>
      <c r="C169" s="110">
        <v>1858323.0</v>
      </c>
      <c r="D169" s="111">
        <v>8.0</v>
      </c>
      <c r="E169" s="112">
        <f t="shared" ref="E169:E171" si="9">C169*D169</f>
        <v>14866584</v>
      </c>
      <c r="F169" s="113" t="s">
        <v>306</v>
      </c>
      <c r="G169" s="1"/>
      <c r="H169" s="1"/>
      <c r="I169" s="1"/>
      <c r="J169" s="1"/>
      <c r="K169" s="1"/>
      <c r="L169" s="1"/>
      <c r="M169" s="1"/>
      <c r="N169" s="1"/>
      <c r="O169" s="1"/>
      <c r="P169" s="1"/>
      <c r="Q169" s="1"/>
      <c r="R169" s="1"/>
      <c r="S169" s="1"/>
      <c r="T169" s="1"/>
      <c r="U169" s="1"/>
      <c r="V169" s="1"/>
      <c r="W169" s="1"/>
      <c r="X169" s="1"/>
      <c r="Y169" s="1"/>
      <c r="Z169" s="1"/>
      <c r="AA169" s="1"/>
      <c r="AB169" s="1"/>
    </row>
    <row r="170" ht="23.25" customHeight="1">
      <c r="A170" s="1"/>
      <c r="B170" s="114" t="s">
        <v>307</v>
      </c>
      <c r="C170" s="110">
        <v>19999.0</v>
      </c>
      <c r="D170" s="111">
        <v>15.0</v>
      </c>
      <c r="E170" s="112">
        <f t="shared" si="9"/>
        <v>299985</v>
      </c>
      <c r="F170" s="113" t="s">
        <v>308</v>
      </c>
      <c r="G170" s="1"/>
      <c r="H170" s="1"/>
      <c r="I170" s="1"/>
      <c r="J170" s="1"/>
      <c r="K170" s="1"/>
      <c r="L170" s="1"/>
      <c r="M170" s="1"/>
      <c r="N170" s="1"/>
      <c r="O170" s="1"/>
      <c r="P170" s="1"/>
      <c r="Q170" s="1"/>
      <c r="R170" s="1"/>
      <c r="S170" s="1"/>
      <c r="T170" s="1"/>
      <c r="U170" s="1"/>
      <c r="V170" s="1"/>
      <c r="W170" s="1"/>
      <c r="X170" s="1"/>
      <c r="Y170" s="1"/>
      <c r="Z170" s="1"/>
      <c r="AA170" s="1"/>
      <c r="AB170" s="1"/>
    </row>
    <row r="171" ht="23.25" customHeight="1">
      <c r="A171" s="1"/>
      <c r="B171" s="122"/>
      <c r="C171" s="123"/>
      <c r="D171" s="112"/>
      <c r="E171" s="112">
        <f t="shared" si="9"/>
        <v>0</v>
      </c>
      <c r="F171" s="112"/>
      <c r="G171" s="1"/>
      <c r="H171" s="1"/>
      <c r="I171" s="1"/>
      <c r="J171" s="1"/>
      <c r="K171" s="1"/>
      <c r="L171" s="1"/>
      <c r="M171" s="1"/>
      <c r="N171" s="1"/>
      <c r="O171" s="1"/>
      <c r="P171" s="1"/>
      <c r="Q171" s="1"/>
      <c r="R171" s="1"/>
      <c r="S171" s="1"/>
      <c r="T171" s="1"/>
      <c r="U171" s="1"/>
      <c r="V171" s="1"/>
      <c r="W171" s="1"/>
      <c r="X171" s="1"/>
      <c r="Y171" s="1"/>
      <c r="Z171" s="1"/>
      <c r="AA171" s="1"/>
      <c r="AB171" s="1"/>
    </row>
    <row r="172" ht="23.25" customHeight="1">
      <c r="A172" s="1"/>
      <c r="B172" s="120" t="s">
        <v>309</v>
      </c>
      <c r="C172" s="47"/>
      <c r="D172" s="12"/>
      <c r="E172" s="121">
        <f>SUM(E169:E171)</f>
        <v>15166569</v>
      </c>
      <c r="F172" s="65" t="s">
        <v>5</v>
      </c>
      <c r="G172" s="1"/>
      <c r="H172" s="1"/>
      <c r="I172" s="1"/>
      <c r="J172" s="1"/>
      <c r="K172" s="1"/>
      <c r="L172" s="1"/>
      <c r="M172" s="1"/>
      <c r="N172" s="1"/>
      <c r="O172" s="1"/>
      <c r="P172" s="1"/>
      <c r="Q172" s="1"/>
      <c r="R172" s="1"/>
      <c r="S172" s="1"/>
      <c r="T172" s="1"/>
      <c r="U172" s="1"/>
      <c r="V172" s="1"/>
      <c r="W172" s="1"/>
      <c r="X172" s="1"/>
      <c r="Y172" s="1"/>
      <c r="Z172" s="1"/>
      <c r="AA172" s="1"/>
      <c r="AB172" s="1"/>
    </row>
    <row r="173" ht="23.25" customHeight="1">
      <c r="A173" s="1"/>
      <c r="B173" s="108" t="s">
        <v>310</v>
      </c>
      <c r="C173" s="49" t="s">
        <v>22</v>
      </c>
      <c r="D173" s="50" t="s">
        <v>23</v>
      </c>
      <c r="E173" s="50" t="s">
        <v>24</v>
      </c>
      <c r="F173" s="50" t="s">
        <v>25</v>
      </c>
      <c r="G173" s="1"/>
      <c r="H173" s="1"/>
      <c r="I173" s="1"/>
      <c r="J173" s="1"/>
      <c r="K173" s="1"/>
      <c r="L173" s="1"/>
      <c r="M173" s="1"/>
      <c r="N173" s="1"/>
      <c r="O173" s="1"/>
      <c r="P173" s="1"/>
      <c r="Q173" s="1"/>
      <c r="R173" s="1"/>
      <c r="S173" s="1"/>
      <c r="T173" s="1"/>
      <c r="U173" s="1"/>
      <c r="V173" s="1"/>
      <c r="W173" s="1"/>
      <c r="X173" s="1"/>
      <c r="Y173" s="1"/>
      <c r="Z173" s="1"/>
      <c r="AA173" s="1"/>
      <c r="AB173" s="1"/>
    </row>
    <row r="174" ht="23.25" customHeight="1">
      <c r="A174" s="1"/>
      <c r="B174" s="122" t="s">
        <v>311</v>
      </c>
      <c r="C174" s="110">
        <v>1153974.0</v>
      </c>
      <c r="D174" s="111">
        <v>1.0</v>
      </c>
      <c r="E174" s="112">
        <f t="shared" ref="E174:E178" si="10">C174*D174</f>
        <v>1153974</v>
      </c>
      <c r="F174" s="113" t="s">
        <v>312</v>
      </c>
      <c r="G174" s="1"/>
      <c r="H174" s="1"/>
      <c r="I174" s="1"/>
      <c r="J174" s="1"/>
      <c r="K174" s="1"/>
      <c r="L174" s="1"/>
      <c r="M174" s="1"/>
      <c r="N174" s="1"/>
      <c r="O174" s="1"/>
      <c r="P174" s="1"/>
      <c r="Q174" s="1"/>
      <c r="R174" s="1"/>
      <c r="S174" s="1"/>
      <c r="T174" s="1"/>
      <c r="U174" s="1"/>
      <c r="V174" s="1"/>
      <c r="W174" s="1"/>
      <c r="X174" s="1"/>
      <c r="Y174" s="1"/>
      <c r="Z174" s="1"/>
      <c r="AA174" s="1"/>
      <c r="AB174" s="1"/>
    </row>
    <row r="175" ht="23.25" customHeight="1">
      <c r="A175" s="1"/>
      <c r="B175" s="114" t="s">
        <v>313</v>
      </c>
      <c r="C175" s="110">
        <v>59399.0</v>
      </c>
      <c r="D175" s="111">
        <v>16.0</v>
      </c>
      <c r="E175" s="112">
        <f t="shared" si="10"/>
        <v>950384</v>
      </c>
      <c r="F175" s="113" t="s">
        <v>314</v>
      </c>
      <c r="G175" s="1"/>
      <c r="H175" s="1"/>
      <c r="I175" s="1"/>
      <c r="J175" s="1"/>
      <c r="K175" s="1"/>
      <c r="L175" s="1"/>
      <c r="M175" s="1"/>
      <c r="N175" s="1"/>
      <c r="O175" s="1"/>
      <c r="P175" s="1"/>
      <c r="Q175" s="1"/>
      <c r="R175" s="1"/>
      <c r="S175" s="1"/>
      <c r="T175" s="1"/>
      <c r="U175" s="1"/>
      <c r="V175" s="1"/>
      <c r="W175" s="1"/>
      <c r="X175" s="1"/>
      <c r="Y175" s="1"/>
      <c r="Z175" s="1"/>
      <c r="AA175" s="1"/>
      <c r="AB175" s="1"/>
    </row>
    <row r="176" ht="23.25" customHeight="1">
      <c r="A176" s="1"/>
      <c r="B176" s="122" t="s">
        <v>315</v>
      </c>
      <c r="C176" s="110">
        <v>1567599.0</v>
      </c>
      <c r="D176" s="111">
        <v>1.0</v>
      </c>
      <c r="E176" s="112">
        <f t="shared" si="10"/>
        <v>1567599</v>
      </c>
      <c r="F176" s="112"/>
      <c r="G176" s="1"/>
      <c r="H176" s="1"/>
      <c r="I176" s="1"/>
      <c r="J176" s="1"/>
      <c r="K176" s="1"/>
      <c r="L176" s="1"/>
      <c r="M176" s="1"/>
      <c r="N176" s="1"/>
      <c r="O176" s="1"/>
      <c r="P176" s="1"/>
      <c r="Q176" s="1"/>
      <c r="R176" s="1"/>
      <c r="S176" s="1"/>
      <c r="T176" s="1"/>
      <c r="U176" s="1"/>
      <c r="V176" s="1"/>
      <c r="W176" s="1"/>
      <c r="X176" s="1"/>
      <c r="Y176" s="1"/>
      <c r="Z176" s="1"/>
      <c r="AA176" s="1"/>
      <c r="AB176" s="1"/>
    </row>
    <row r="177" ht="23.25" customHeight="1">
      <c r="A177" s="1"/>
      <c r="B177" s="114" t="s">
        <v>316</v>
      </c>
      <c r="C177" s="110">
        <v>450000.0</v>
      </c>
      <c r="D177" s="111">
        <v>1.0</v>
      </c>
      <c r="E177" s="112">
        <f t="shared" si="10"/>
        <v>450000</v>
      </c>
      <c r="F177" s="113" t="s">
        <v>317</v>
      </c>
      <c r="G177" s="1"/>
      <c r="H177" s="1"/>
      <c r="I177" s="1"/>
      <c r="J177" s="1"/>
      <c r="K177" s="1"/>
      <c r="L177" s="1"/>
      <c r="M177" s="1"/>
      <c r="N177" s="1"/>
      <c r="O177" s="1"/>
      <c r="P177" s="1"/>
      <c r="Q177" s="1"/>
      <c r="R177" s="1"/>
      <c r="S177" s="1"/>
      <c r="T177" s="1"/>
      <c r="U177" s="1"/>
      <c r="V177" s="1"/>
      <c r="W177" s="1"/>
      <c r="X177" s="1"/>
      <c r="Y177" s="1"/>
      <c r="Z177" s="1"/>
      <c r="AA177" s="1"/>
      <c r="AB177" s="1"/>
    </row>
    <row r="178" ht="23.25" customHeight="1">
      <c r="A178" s="1"/>
      <c r="B178" s="114" t="s">
        <v>285</v>
      </c>
      <c r="C178" s="110">
        <v>183249.0</v>
      </c>
      <c r="D178" s="111">
        <v>1.0</v>
      </c>
      <c r="E178" s="112">
        <f t="shared" si="10"/>
        <v>183249</v>
      </c>
      <c r="F178" s="113" t="s">
        <v>300</v>
      </c>
      <c r="G178" s="1"/>
      <c r="H178" s="1"/>
      <c r="I178" s="1"/>
      <c r="J178" s="1"/>
      <c r="K178" s="1"/>
      <c r="L178" s="1"/>
      <c r="M178" s="1"/>
      <c r="N178" s="1"/>
      <c r="O178" s="1"/>
      <c r="P178" s="1"/>
      <c r="Q178" s="1"/>
      <c r="R178" s="1"/>
      <c r="S178" s="1"/>
      <c r="T178" s="1"/>
      <c r="U178" s="1"/>
      <c r="V178" s="1"/>
      <c r="W178" s="1"/>
      <c r="X178" s="1"/>
      <c r="Y178" s="1"/>
      <c r="Z178" s="1"/>
      <c r="AA178" s="1"/>
      <c r="AB178" s="1"/>
    </row>
    <row r="179" ht="23.25" customHeight="1">
      <c r="A179" s="1"/>
      <c r="B179" s="122" t="s">
        <v>318</v>
      </c>
      <c r="C179" s="110">
        <v>1649999.0</v>
      </c>
      <c r="D179" s="111">
        <v>1.0</v>
      </c>
      <c r="E179" s="110">
        <v>1649999.0</v>
      </c>
      <c r="F179" s="113" t="s">
        <v>140</v>
      </c>
      <c r="G179" s="1"/>
      <c r="H179" s="1"/>
      <c r="I179" s="1"/>
      <c r="J179" s="1"/>
      <c r="K179" s="1"/>
      <c r="L179" s="1"/>
      <c r="M179" s="1"/>
      <c r="N179" s="1"/>
      <c r="O179" s="1"/>
      <c r="P179" s="1"/>
      <c r="Q179" s="1"/>
      <c r="R179" s="1"/>
      <c r="S179" s="1"/>
      <c r="T179" s="1"/>
      <c r="U179" s="1"/>
      <c r="V179" s="1"/>
      <c r="W179" s="1"/>
      <c r="X179" s="1"/>
      <c r="Y179" s="1"/>
      <c r="Z179" s="1"/>
      <c r="AA179" s="1"/>
      <c r="AB179" s="1"/>
    </row>
    <row r="180" ht="23.25" customHeight="1">
      <c r="A180" s="1"/>
      <c r="B180" s="114" t="s">
        <v>319</v>
      </c>
      <c r="C180" s="117">
        <v>239000.0</v>
      </c>
      <c r="D180" s="111">
        <v>1.0</v>
      </c>
      <c r="E180" s="112">
        <f t="shared" ref="E180:E183" si="11">D180*C180</f>
        <v>239000</v>
      </c>
      <c r="F180" s="113" t="s">
        <v>320</v>
      </c>
      <c r="G180" s="1"/>
      <c r="H180" s="1"/>
      <c r="I180" s="1"/>
      <c r="J180" s="1"/>
      <c r="K180" s="1"/>
      <c r="L180" s="1"/>
      <c r="M180" s="1"/>
      <c r="N180" s="1"/>
      <c r="O180" s="1"/>
      <c r="P180" s="1"/>
      <c r="Q180" s="1"/>
      <c r="R180" s="1"/>
      <c r="S180" s="1"/>
      <c r="T180" s="1"/>
      <c r="U180" s="1"/>
      <c r="V180" s="1"/>
      <c r="W180" s="1"/>
      <c r="X180" s="1"/>
      <c r="Y180" s="1"/>
      <c r="Z180" s="1"/>
      <c r="AA180" s="1"/>
      <c r="AB180" s="1"/>
    </row>
    <row r="181" ht="23.25" customHeight="1">
      <c r="A181" s="1"/>
      <c r="B181" s="114" t="s">
        <v>301</v>
      </c>
      <c r="C181" s="117">
        <v>70000.0</v>
      </c>
      <c r="D181" s="111">
        <v>1.0</v>
      </c>
      <c r="E181" s="112">
        <f t="shared" si="11"/>
        <v>70000</v>
      </c>
      <c r="F181" s="113" t="s">
        <v>302</v>
      </c>
      <c r="G181" s="1"/>
      <c r="H181" s="1"/>
      <c r="I181" s="1"/>
      <c r="J181" s="1"/>
      <c r="K181" s="1"/>
      <c r="L181" s="1"/>
      <c r="M181" s="1"/>
      <c r="N181" s="1"/>
      <c r="O181" s="1"/>
      <c r="P181" s="1"/>
      <c r="Q181" s="1"/>
      <c r="R181" s="1"/>
      <c r="S181" s="1"/>
      <c r="T181" s="1"/>
      <c r="U181" s="1"/>
      <c r="V181" s="1"/>
      <c r="W181" s="1"/>
      <c r="X181" s="1"/>
      <c r="Y181" s="1"/>
      <c r="Z181" s="1"/>
      <c r="AA181" s="1"/>
      <c r="AB181" s="1"/>
    </row>
    <row r="182" ht="23.25" customHeight="1">
      <c r="A182" s="1"/>
      <c r="B182" s="109"/>
      <c r="C182" s="124"/>
      <c r="D182" s="19"/>
      <c r="E182" s="112">
        <f t="shared" si="11"/>
        <v>0</v>
      </c>
      <c r="F182" s="112"/>
      <c r="G182" s="1"/>
      <c r="H182" s="1"/>
      <c r="I182" s="1"/>
      <c r="J182" s="1"/>
      <c r="K182" s="1"/>
      <c r="L182" s="1"/>
      <c r="M182" s="1"/>
      <c r="N182" s="1"/>
      <c r="O182" s="1"/>
      <c r="P182" s="1"/>
      <c r="Q182" s="1"/>
      <c r="R182" s="1"/>
      <c r="S182" s="1"/>
      <c r="T182" s="1"/>
      <c r="U182" s="1"/>
      <c r="V182" s="1"/>
      <c r="W182" s="1"/>
      <c r="X182" s="1"/>
      <c r="Y182" s="1"/>
      <c r="Z182" s="1"/>
      <c r="AA182" s="1"/>
      <c r="AB182" s="1"/>
    </row>
    <row r="183" ht="23.25" customHeight="1">
      <c r="A183" s="1"/>
      <c r="B183" s="112"/>
      <c r="C183" s="124"/>
      <c r="D183" s="19"/>
      <c r="E183" s="112">
        <f t="shared" si="11"/>
        <v>0</v>
      </c>
      <c r="F183" s="112"/>
      <c r="G183" s="1"/>
      <c r="H183" s="1"/>
      <c r="I183" s="1"/>
      <c r="J183" s="1"/>
      <c r="K183" s="1"/>
      <c r="L183" s="1"/>
      <c r="M183" s="1"/>
      <c r="N183" s="1"/>
      <c r="O183" s="1"/>
      <c r="P183" s="1"/>
      <c r="Q183" s="1"/>
      <c r="R183" s="1"/>
      <c r="S183" s="1"/>
      <c r="T183" s="1"/>
      <c r="U183" s="1"/>
      <c r="V183" s="1"/>
      <c r="W183" s="1"/>
      <c r="X183" s="1"/>
      <c r="Y183" s="1"/>
      <c r="Z183" s="1"/>
      <c r="AA183" s="1"/>
      <c r="AB183" s="1"/>
    </row>
    <row r="184" ht="23.25" customHeight="1">
      <c r="A184" s="1"/>
      <c r="B184" s="120" t="s">
        <v>321</v>
      </c>
      <c r="C184" s="47"/>
      <c r="D184" s="12"/>
      <c r="E184" s="121">
        <f>SUM(E174:E183)</f>
        <v>6264205</v>
      </c>
      <c r="F184" s="65" t="s">
        <v>5</v>
      </c>
      <c r="G184" s="1"/>
      <c r="H184" s="1"/>
      <c r="I184" s="1"/>
      <c r="J184" s="1"/>
      <c r="K184" s="1"/>
      <c r="L184" s="1"/>
      <c r="M184" s="1"/>
      <c r="N184" s="1"/>
      <c r="O184" s="1"/>
      <c r="P184" s="1"/>
      <c r="Q184" s="1"/>
      <c r="R184" s="1"/>
      <c r="S184" s="1"/>
      <c r="T184" s="1"/>
      <c r="U184" s="1"/>
      <c r="V184" s="1"/>
      <c r="W184" s="1"/>
      <c r="X184" s="1"/>
      <c r="Y184" s="1"/>
      <c r="Z184" s="1"/>
      <c r="AA184" s="1"/>
      <c r="AB184" s="1"/>
    </row>
    <row r="185" ht="23.25" customHeight="1">
      <c r="A185" s="1"/>
      <c r="B185" s="108" t="s">
        <v>322</v>
      </c>
      <c r="C185" s="49" t="s">
        <v>22</v>
      </c>
      <c r="D185" s="50" t="s">
        <v>23</v>
      </c>
      <c r="E185" s="50" t="s">
        <v>24</v>
      </c>
      <c r="F185" s="50" t="s">
        <v>25</v>
      </c>
      <c r="G185" s="1"/>
      <c r="H185" s="1"/>
      <c r="I185" s="1"/>
      <c r="J185" s="1"/>
      <c r="K185" s="1"/>
      <c r="L185" s="1"/>
      <c r="M185" s="1"/>
      <c r="N185" s="1"/>
      <c r="O185" s="1"/>
      <c r="P185" s="1"/>
      <c r="Q185" s="1"/>
      <c r="R185" s="1"/>
      <c r="S185" s="1"/>
      <c r="T185" s="1"/>
      <c r="U185" s="1"/>
      <c r="V185" s="1"/>
      <c r="W185" s="1"/>
      <c r="X185" s="1"/>
      <c r="Y185" s="1"/>
      <c r="Z185" s="1"/>
      <c r="AA185" s="1"/>
      <c r="AB185" s="1"/>
    </row>
    <row r="186" ht="23.25" customHeight="1">
      <c r="A186" s="1"/>
      <c r="B186" s="122" t="s">
        <v>323</v>
      </c>
      <c r="C186" s="110">
        <v>4350000.0</v>
      </c>
      <c r="D186" s="125">
        <v>1.0</v>
      </c>
      <c r="E186" s="112">
        <f t="shared" ref="E186:E218" si="12">C186*D186</f>
        <v>4350000</v>
      </c>
      <c r="F186" s="113" t="s">
        <v>324</v>
      </c>
      <c r="G186" s="1"/>
      <c r="H186" s="1"/>
      <c r="I186" s="1"/>
      <c r="J186" s="1"/>
      <c r="K186" s="1"/>
      <c r="L186" s="1"/>
      <c r="M186" s="1"/>
      <c r="N186" s="1"/>
      <c r="O186" s="1"/>
      <c r="P186" s="1"/>
      <c r="Q186" s="1"/>
      <c r="R186" s="1"/>
      <c r="S186" s="1"/>
      <c r="T186" s="1"/>
      <c r="U186" s="1"/>
      <c r="V186" s="1"/>
      <c r="W186" s="1"/>
      <c r="X186" s="1"/>
      <c r="Y186" s="1"/>
      <c r="Z186" s="1"/>
      <c r="AA186" s="1"/>
      <c r="AB186" s="1"/>
    </row>
    <row r="187" ht="23.25" customHeight="1">
      <c r="A187" s="1"/>
      <c r="B187" s="114" t="s">
        <v>325</v>
      </c>
      <c r="C187" s="110">
        <v>450000.0</v>
      </c>
      <c r="D187" s="125">
        <v>1.0</v>
      </c>
      <c r="E187" s="112">
        <f t="shared" si="12"/>
        <v>450000</v>
      </c>
      <c r="F187" s="113" t="s">
        <v>326</v>
      </c>
      <c r="G187" s="1"/>
      <c r="H187" s="1"/>
      <c r="I187" s="1"/>
      <c r="J187" s="1"/>
      <c r="K187" s="1"/>
      <c r="L187" s="1"/>
      <c r="M187" s="1"/>
      <c r="N187" s="1"/>
      <c r="O187" s="1"/>
      <c r="P187" s="1"/>
      <c r="Q187" s="1"/>
      <c r="R187" s="1"/>
      <c r="S187" s="1"/>
      <c r="T187" s="1"/>
      <c r="U187" s="1"/>
      <c r="V187" s="1"/>
      <c r="W187" s="1"/>
      <c r="X187" s="1"/>
      <c r="Y187" s="1"/>
      <c r="Z187" s="1"/>
      <c r="AA187" s="1"/>
      <c r="AB187" s="1"/>
    </row>
    <row r="188" ht="23.25" customHeight="1">
      <c r="A188" s="1"/>
      <c r="B188" s="122" t="s">
        <v>327</v>
      </c>
      <c r="C188" s="110">
        <v>97000.0</v>
      </c>
      <c r="D188" s="125">
        <v>3.0</v>
      </c>
      <c r="E188" s="112">
        <f t="shared" si="12"/>
        <v>291000</v>
      </c>
      <c r="F188" s="113" t="s">
        <v>328</v>
      </c>
      <c r="G188" s="1"/>
      <c r="H188" s="1"/>
      <c r="I188" s="1"/>
      <c r="J188" s="1"/>
      <c r="K188" s="1"/>
      <c r="L188" s="1"/>
      <c r="M188" s="1"/>
      <c r="N188" s="1"/>
      <c r="O188" s="1"/>
      <c r="P188" s="1"/>
      <c r="Q188" s="1"/>
      <c r="R188" s="1"/>
      <c r="S188" s="1"/>
      <c r="T188" s="1"/>
      <c r="U188" s="1"/>
      <c r="V188" s="1"/>
      <c r="W188" s="1"/>
      <c r="X188" s="1"/>
      <c r="Y188" s="1"/>
      <c r="Z188" s="1"/>
      <c r="AA188" s="1"/>
      <c r="AB188" s="1"/>
    </row>
    <row r="189" ht="23.25" customHeight="1">
      <c r="A189" s="1"/>
      <c r="B189" s="122" t="s">
        <v>329</v>
      </c>
      <c r="C189" s="110">
        <v>10011.2</v>
      </c>
      <c r="D189" s="125">
        <v>4.0</v>
      </c>
      <c r="E189" s="112">
        <f t="shared" si="12"/>
        <v>40044.8</v>
      </c>
      <c r="F189" s="113" t="s">
        <v>330</v>
      </c>
      <c r="G189" s="1"/>
      <c r="H189" s="1"/>
      <c r="I189" s="1"/>
      <c r="J189" s="1"/>
      <c r="K189" s="1"/>
      <c r="L189" s="1"/>
      <c r="M189" s="1"/>
      <c r="N189" s="1"/>
      <c r="O189" s="1"/>
      <c r="P189" s="1"/>
      <c r="Q189" s="1"/>
      <c r="R189" s="1"/>
      <c r="S189" s="1"/>
      <c r="T189" s="1"/>
      <c r="U189" s="1"/>
      <c r="V189" s="1"/>
      <c r="W189" s="1"/>
      <c r="X189" s="1"/>
      <c r="Y189" s="1"/>
      <c r="Z189" s="1"/>
      <c r="AA189" s="1"/>
      <c r="AB189" s="1"/>
    </row>
    <row r="190" ht="23.25" customHeight="1">
      <c r="A190" s="1"/>
      <c r="B190" s="122" t="s">
        <v>331</v>
      </c>
      <c r="C190" s="122">
        <v>4510.0</v>
      </c>
      <c r="D190" s="125">
        <v>4.0</v>
      </c>
      <c r="E190" s="112">
        <f t="shared" si="12"/>
        <v>18040</v>
      </c>
      <c r="F190" s="113" t="s">
        <v>332</v>
      </c>
      <c r="G190" s="1"/>
      <c r="H190" s="1"/>
      <c r="I190" s="1"/>
      <c r="J190" s="1"/>
      <c r="K190" s="1"/>
      <c r="L190" s="1"/>
      <c r="M190" s="1"/>
      <c r="N190" s="1"/>
      <c r="O190" s="1"/>
      <c r="P190" s="1"/>
      <c r="Q190" s="1"/>
      <c r="R190" s="1"/>
      <c r="S190" s="1"/>
      <c r="T190" s="1"/>
      <c r="U190" s="1"/>
      <c r="V190" s="1"/>
      <c r="W190" s="1"/>
      <c r="X190" s="1"/>
      <c r="Y190" s="1"/>
      <c r="Z190" s="1"/>
      <c r="AA190" s="1"/>
      <c r="AB190" s="1"/>
    </row>
    <row r="191" ht="23.25" customHeight="1">
      <c r="A191" s="1"/>
      <c r="B191" s="122" t="s">
        <v>67</v>
      </c>
      <c r="C191" s="122">
        <v>899999.0</v>
      </c>
      <c r="D191" s="125">
        <v>1.0</v>
      </c>
      <c r="E191" s="112">
        <f t="shared" si="12"/>
        <v>899999</v>
      </c>
      <c r="F191" s="113" t="s">
        <v>68</v>
      </c>
      <c r="G191" s="1"/>
      <c r="H191" s="1"/>
      <c r="I191" s="1"/>
      <c r="J191" s="1"/>
      <c r="K191" s="1"/>
      <c r="L191" s="1"/>
      <c r="M191" s="1"/>
      <c r="N191" s="1"/>
      <c r="O191" s="1"/>
      <c r="P191" s="1"/>
      <c r="Q191" s="1"/>
      <c r="R191" s="1"/>
      <c r="S191" s="1"/>
      <c r="T191" s="1"/>
      <c r="U191" s="1"/>
      <c r="V191" s="1"/>
      <c r="W191" s="1"/>
      <c r="X191" s="1"/>
      <c r="Y191" s="1"/>
      <c r="Z191" s="1"/>
      <c r="AA191" s="1"/>
      <c r="AB191" s="1"/>
    </row>
    <row r="192" ht="23.25" customHeight="1">
      <c r="A192" s="1"/>
      <c r="B192" s="114" t="s">
        <v>333</v>
      </c>
      <c r="C192" s="110">
        <v>50999.0</v>
      </c>
      <c r="D192" s="125">
        <v>1.0</v>
      </c>
      <c r="E192" s="112">
        <f t="shared" si="12"/>
        <v>50999</v>
      </c>
      <c r="F192" s="113" t="s">
        <v>334</v>
      </c>
      <c r="G192" s="1"/>
      <c r="H192" s="1"/>
      <c r="I192" s="1"/>
      <c r="J192" s="1"/>
      <c r="K192" s="1"/>
      <c r="L192" s="1"/>
      <c r="M192" s="1"/>
      <c r="N192" s="1"/>
      <c r="O192" s="1"/>
      <c r="P192" s="1"/>
      <c r="Q192" s="1"/>
      <c r="R192" s="1"/>
      <c r="S192" s="1"/>
      <c r="T192" s="1"/>
      <c r="U192" s="1"/>
      <c r="V192" s="1"/>
      <c r="W192" s="1"/>
      <c r="X192" s="1"/>
      <c r="Y192" s="1"/>
      <c r="Z192" s="1"/>
      <c r="AA192" s="1"/>
      <c r="AB192" s="1"/>
    </row>
    <row r="193" ht="23.25" customHeight="1">
      <c r="A193" s="1"/>
      <c r="B193" s="114" t="s">
        <v>335</v>
      </c>
      <c r="C193" s="110">
        <v>11001.0</v>
      </c>
      <c r="D193" s="125">
        <v>1.0</v>
      </c>
      <c r="E193" s="112">
        <f t="shared" si="12"/>
        <v>11001</v>
      </c>
      <c r="F193" s="113" t="s">
        <v>336</v>
      </c>
      <c r="G193" s="1"/>
      <c r="H193" s="1"/>
      <c r="I193" s="1"/>
      <c r="J193" s="1"/>
      <c r="K193" s="1"/>
      <c r="L193" s="1"/>
      <c r="M193" s="1"/>
      <c r="N193" s="1"/>
      <c r="O193" s="1"/>
      <c r="P193" s="1"/>
      <c r="Q193" s="1"/>
      <c r="R193" s="1"/>
      <c r="S193" s="1"/>
      <c r="T193" s="1"/>
      <c r="U193" s="1"/>
      <c r="V193" s="1"/>
      <c r="W193" s="1"/>
      <c r="X193" s="1"/>
      <c r="Y193" s="1"/>
      <c r="Z193" s="1"/>
      <c r="AA193" s="1"/>
      <c r="AB193" s="1"/>
    </row>
    <row r="194" ht="23.25" customHeight="1">
      <c r="A194" s="1"/>
      <c r="B194" s="114" t="s">
        <v>337</v>
      </c>
      <c r="C194" s="117">
        <v>41999.0</v>
      </c>
      <c r="D194" s="126">
        <v>1.0</v>
      </c>
      <c r="E194" s="112">
        <f t="shared" si="12"/>
        <v>41999</v>
      </c>
      <c r="F194" s="113" t="s">
        <v>338</v>
      </c>
      <c r="G194" s="1"/>
      <c r="H194" s="1"/>
      <c r="I194" s="1"/>
      <c r="J194" s="1"/>
      <c r="K194" s="1"/>
      <c r="L194" s="1"/>
      <c r="M194" s="1"/>
      <c r="N194" s="1"/>
      <c r="O194" s="1"/>
      <c r="P194" s="1"/>
      <c r="Q194" s="1"/>
      <c r="R194" s="1"/>
      <c r="S194" s="1"/>
      <c r="T194" s="1"/>
      <c r="U194" s="1"/>
      <c r="V194" s="1"/>
      <c r="W194" s="1"/>
      <c r="X194" s="1"/>
      <c r="Y194" s="1"/>
      <c r="Z194" s="1"/>
      <c r="AA194" s="1"/>
      <c r="AB194" s="1"/>
    </row>
    <row r="195" ht="23.25" customHeight="1">
      <c r="A195" s="1"/>
      <c r="B195" s="114" t="s">
        <v>339</v>
      </c>
      <c r="C195" s="117">
        <v>13990.0</v>
      </c>
      <c r="D195" s="126">
        <v>5.0</v>
      </c>
      <c r="E195" s="112">
        <f t="shared" si="12"/>
        <v>69950</v>
      </c>
      <c r="F195" s="113" t="s">
        <v>340</v>
      </c>
      <c r="G195" s="1"/>
      <c r="H195" s="1"/>
      <c r="I195" s="1"/>
      <c r="J195" s="1"/>
      <c r="K195" s="1"/>
      <c r="L195" s="1"/>
      <c r="M195" s="1"/>
      <c r="N195" s="1"/>
      <c r="O195" s="1"/>
      <c r="P195" s="1"/>
      <c r="Q195" s="1"/>
      <c r="R195" s="1"/>
      <c r="S195" s="1"/>
      <c r="T195" s="1"/>
      <c r="U195" s="1"/>
      <c r="V195" s="1"/>
      <c r="W195" s="1"/>
      <c r="X195" s="1"/>
      <c r="Y195" s="1"/>
      <c r="Z195" s="1"/>
      <c r="AA195" s="1"/>
      <c r="AB195" s="1"/>
    </row>
    <row r="196" ht="23.25" customHeight="1">
      <c r="A196" s="1"/>
      <c r="B196" s="122" t="s">
        <v>341</v>
      </c>
      <c r="C196" s="117">
        <v>232030.0</v>
      </c>
      <c r="D196" s="126">
        <v>2.0</v>
      </c>
      <c r="E196" s="112">
        <f t="shared" si="12"/>
        <v>464060</v>
      </c>
      <c r="F196" s="113" t="s">
        <v>342</v>
      </c>
      <c r="G196" s="1"/>
      <c r="H196" s="1"/>
      <c r="I196" s="1"/>
      <c r="J196" s="1"/>
      <c r="K196" s="1"/>
      <c r="L196" s="1"/>
      <c r="M196" s="1"/>
      <c r="N196" s="1"/>
      <c r="O196" s="1"/>
      <c r="P196" s="1"/>
      <c r="Q196" s="1"/>
      <c r="R196" s="1"/>
      <c r="S196" s="1"/>
      <c r="T196" s="1"/>
      <c r="U196" s="1"/>
      <c r="V196" s="1"/>
      <c r="W196" s="1"/>
      <c r="X196" s="1"/>
      <c r="Y196" s="1"/>
      <c r="Z196" s="1"/>
      <c r="AA196" s="1"/>
      <c r="AB196" s="1"/>
    </row>
    <row r="197" ht="23.25" customHeight="1">
      <c r="A197" s="1"/>
      <c r="B197" s="122" t="s">
        <v>343</v>
      </c>
      <c r="C197" s="117">
        <v>45681.84</v>
      </c>
      <c r="D197" s="126">
        <v>6.0</v>
      </c>
      <c r="E197" s="112">
        <f t="shared" si="12"/>
        <v>274091.04</v>
      </c>
      <c r="F197" s="113" t="s">
        <v>344</v>
      </c>
      <c r="G197" s="1"/>
      <c r="H197" s="1"/>
      <c r="I197" s="1"/>
      <c r="J197" s="1"/>
      <c r="K197" s="1"/>
      <c r="L197" s="1"/>
      <c r="M197" s="1"/>
      <c r="N197" s="1"/>
      <c r="O197" s="1"/>
      <c r="P197" s="1"/>
      <c r="Q197" s="1"/>
      <c r="R197" s="1"/>
      <c r="S197" s="1"/>
      <c r="T197" s="1"/>
      <c r="U197" s="1"/>
      <c r="V197" s="1"/>
      <c r="W197" s="1"/>
      <c r="X197" s="1"/>
      <c r="Y197" s="1"/>
      <c r="Z197" s="1"/>
      <c r="AA197" s="1"/>
      <c r="AB197" s="1"/>
    </row>
    <row r="198" ht="23.25" customHeight="1">
      <c r="A198" s="1"/>
      <c r="B198" s="122" t="s">
        <v>345</v>
      </c>
      <c r="C198" s="117">
        <v>45681.84</v>
      </c>
      <c r="D198" s="126">
        <v>6.0</v>
      </c>
      <c r="E198" s="112">
        <f t="shared" si="12"/>
        <v>274091.04</v>
      </c>
      <c r="F198" s="113" t="s">
        <v>344</v>
      </c>
      <c r="G198" s="1"/>
      <c r="H198" s="1"/>
      <c r="I198" s="1"/>
      <c r="J198" s="1"/>
      <c r="K198" s="1"/>
      <c r="L198" s="1"/>
      <c r="M198" s="1"/>
      <c r="N198" s="1"/>
      <c r="O198" s="1"/>
      <c r="P198" s="1"/>
      <c r="Q198" s="1"/>
      <c r="R198" s="1"/>
      <c r="S198" s="1"/>
      <c r="T198" s="1"/>
      <c r="U198" s="1"/>
      <c r="V198" s="1"/>
      <c r="W198" s="1"/>
      <c r="X198" s="1"/>
      <c r="Y198" s="1"/>
      <c r="Z198" s="1"/>
      <c r="AA198" s="1"/>
      <c r="AB198" s="1"/>
    </row>
    <row r="199" ht="23.25" customHeight="1">
      <c r="A199" s="1"/>
      <c r="B199" s="122" t="s">
        <v>346</v>
      </c>
      <c r="C199" s="117">
        <v>45681.84</v>
      </c>
      <c r="D199" s="126">
        <v>6.0</v>
      </c>
      <c r="E199" s="122">
        <f t="shared" si="12"/>
        <v>274091.04</v>
      </c>
      <c r="F199" s="113" t="s">
        <v>344</v>
      </c>
      <c r="G199" s="1"/>
      <c r="H199" s="1"/>
      <c r="I199" s="1"/>
      <c r="J199" s="1"/>
      <c r="K199" s="1"/>
      <c r="L199" s="1"/>
      <c r="M199" s="1"/>
      <c r="N199" s="1"/>
      <c r="O199" s="1"/>
      <c r="P199" s="1"/>
      <c r="Q199" s="1"/>
      <c r="R199" s="1"/>
      <c r="S199" s="1"/>
      <c r="T199" s="1"/>
      <c r="U199" s="1"/>
      <c r="V199" s="1"/>
      <c r="W199" s="1"/>
      <c r="X199" s="1"/>
      <c r="Y199" s="1"/>
      <c r="Z199" s="1"/>
      <c r="AA199" s="1"/>
      <c r="AB199" s="1"/>
    </row>
    <row r="200" ht="23.25" customHeight="1">
      <c r="A200" s="1"/>
      <c r="B200" s="122" t="s">
        <v>347</v>
      </c>
      <c r="C200" s="117">
        <v>52440.0</v>
      </c>
      <c r="D200" s="126">
        <v>3.0</v>
      </c>
      <c r="E200" s="122">
        <f t="shared" si="12"/>
        <v>157320</v>
      </c>
      <c r="F200" s="113" t="s">
        <v>348</v>
      </c>
      <c r="G200" s="1"/>
      <c r="H200" s="1"/>
      <c r="I200" s="1"/>
      <c r="J200" s="1"/>
      <c r="K200" s="1"/>
      <c r="L200" s="1"/>
      <c r="M200" s="1"/>
      <c r="N200" s="1"/>
      <c r="O200" s="1"/>
      <c r="P200" s="1"/>
      <c r="Q200" s="1"/>
      <c r="R200" s="1"/>
      <c r="S200" s="1"/>
      <c r="T200" s="1"/>
      <c r="U200" s="1"/>
      <c r="V200" s="1"/>
      <c r="W200" s="1"/>
      <c r="X200" s="1"/>
      <c r="Y200" s="1"/>
      <c r="Z200" s="1"/>
      <c r="AA200" s="1"/>
      <c r="AB200" s="1"/>
    </row>
    <row r="201" ht="23.25" customHeight="1">
      <c r="A201" s="1"/>
      <c r="B201" s="122" t="s">
        <v>89</v>
      </c>
      <c r="C201" s="117">
        <v>5919.81</v>
      </c>
      <c r="D201" s="126">
        <v>12.0</v>
      </c>
      <c r="E201" s="112">
        <f t="shared" si="12"/>
        <v>71037.72</v>
      </c>
      <c r="F201" s="113" t="s">
        <v>90</v>
      </c>
      <c r="G201" s="1"/>
      <c r="H201" s="1"/>
      <c r="I201" s="1"/>
      <c r="J201" s="1"/>
      <c r="K201" s="1"/>
      <c r="L201" s="1"/>
      <c r="M201" s="1"/>
      <c r="N201" s="1"/>
      <c r="O201" s="1"/>
      <c r="P201" s="1"/>
      <c r="Q201" s="1"/>
      <c r="R201" s="1"/>
      <c r="S201" s="1"/>
      <c r="T201" s="1"/>
      <c r="U201" s="1"/>
      <c r="V201" s="1"/>
      <c r="W201" s="1"/>
      <c r="X201" s="1"/>
      <c r="Y201" s="1"/>
      <c r="Z201" s="1"/>
      <c r="AA201" s="1"/>
      <c r="AB201" s="1"/>
    </row>
    <row r="202" ht="23.25" customHeight="1">
      <c r="A202" s="1"/>
      <c r="B202" s="122" t="s">
        <v>91</v>
      </c>
      <c r="C202" s="117">
        <v>5919.81</v>
      </c>
      <c r="D202" s="126">
        <v>12.0</v>
      </c>
      <c r="E202" s="112">
        <f t="shared" si="12"/>
        <v>71037.72</v>
      </c>
      <c r="F202" s="113" t="s">
        <v>90</v>
      </c>
      <c r="G202" s="1"/>
      <c r="H202" s="1"/>
      <c r="I202" s="1"/>
      <c r="J202" s="1"/>
      <c r="K202" s="1"/>
      <c r="L202" s="1"/>
      <c r="M202" s="1"/>
      <c r="N202" s="1"/>
      <c r="O202" s="1"/>
      <c r="P202" s="1"/>
      <c r="Q202" s="1"/>
      <c r="R202" s="1"/>
      <c r="S202" s="1"/>
      <c r="T202" s="1"/>
      <c r="U202" s="1"/>
      <c r="V202" s="1"/>
      <c r="W202" s="1"/>
      <c r="X202" s="1"/>
      <c r="Y202" s="1"/>
      <c r="Z202" s="1"/>
      <c r="AA202" s="1"/>
      <c r="AB202" s="1"/>
    </row>
    <row r="203" ht="23.25" customHeight="1">
      <c r="A203" s="127" t="s">
        <v>349</v>
      </c>
      <c r="B203" s="122" t="s">
        <v>350</v>
      </c>
      <c r="C203" s="117">
        <v>63650.0</v>
      </c>
      <c r="D203" s="126">
        <v>1.0</v>
      </c>
      <c r="E203" s="112">
        <f t="shared" si="12"/>
        <v>63650</v>
      </c>
      <c r="F203" s="113" t="s">
        <v>351</v>
      </c>
      <c r="G203" s="1"/>
      <c r="H203" s="1"/>
      <c r="I203" s="1"/>
      <c r="J203" s="1"/>
      <c r="K203" s="1"/>
      <c r="L203" s="1"/>
      <c r="M203" s="1"/>
      <c r="N203" s="1"/>
      <c r="O203" s="1"/>
      <c r="P203" s="1"/>
      <c r="Q203" s="1"/>
      <c r="R203" s="1"/>
      <c r="S203" s="1"/>
      <c r="T203" s="1"/>
      <c r="U203" s="1"/>
      <c r="V203" s="1"/>
      <c r="W203" s="1"/>
      <c r="X203" s="1"/>
      <c r="Y203" s="1"/>
      <c r="Z203" s="1"/>
      <c r="AA203" s="1"/>
      <c r="AB203" s="1"/>
    </row>
    <row r="204" ht="23.25" customHeight="1">
      <c r="B204" s="122" t="s">
        <v>352</v>
      </c>
      <c r="C204" s="117">
        <v>100000.0</v>
      </c>
      <c r="D204" s="126">
        <v>1.0</v>
      </c>
      <c r="E204" s="112">
        <f t="shared" si="12"/>
        <v>100000</v>
      </c>
      <c r="F204" s="113" t="s">
        <v>353</v>
      </c>
      <c r="G204" s="1"/>
      <c r="H204" s="1"/>
      <c r="I204" s="1"/>
      <c r="J204" s="1"/>
      <c r="K204" s="1"/>
      <c r="L204" s="1"/>
      <c r="M204" s="1"/>
      <c r="N204" s="1"/>
      <c r="O204" s="1"/>
      <c r="P204" s="1"/>
      <c r="Q204" s="1"/>
      <c r="R204" s="1"/>
      <c r="S204" s="1"/>
      <c r="T204" s="1"/>
      <c r="U204" s="1"/>
      <c r="V204" s="1"/>
      <c r="W204" s="1"/>
      <c r="X204" s="1"/>
      <c r="Y204" s="1"/>
      <c r="Z204" s="1"/>
      <c r="AA204" s="1"/>
      <c r="AB204" s="1"/>
    </row>
    <row r="205" ht="23.25" customHeight="1">
      <c r="A205" s="1"/>
      <c r="B205" s="122" t="s">
        <v>354</v>
      </c>
      <c r="C205" s="117">
        <v>345290.0</v>
      </c>
      <c r="D205" s="126">
        <v>1.0</v>
      </c>
      <c r="E205" s="112">
        <f t="shared" si="12"/>
        <v>345290</v>
      </c>
      <c r="F205" s="113" t="s">
        <v>355</v>
      </c>
      <c r="G205" s="1"/>
      <c r="H205" s="1"/>
      <c r="I205" s="1"/>
      <c r="J205" s="1"/>
      <c r="K205" s="1"/>
      <c r="L205" s="1"/>
      <c r="M205" s="1"/>
      <c r="N205" s="1"/>
      <c r="O205" s="1"/>
      <c r="P205" s="1"/>
      <c r="Q205" s="1"/>
      <c r="R205" s="1"/>
      <c r="S205" s="1"/>
      <c r="T205" s="1"/>
      <c r="U205" s="1"/>
      <c r="V205" s="1"/>
      <c r="W205" s="1"/>
      <c r="X205" s="1"/>
      <c r="Y205" s="1"/>
      <c r="Z205" s="1"/>
      <c r="AA205" s="1"/>
      <c r="AB205" s="1"/>
    </row>
    <row r="206" ht="23.25" customHeight="1">
      <c r="A206" s="1"/>
      <c r="B206" s="122" t="s">
        <v>356</v>
      </c>
      <c r="C206" s="117">
        <v>89761.52</v>
      </c>
      <c r="D206" s="126">
        <v>1.0</v>
      </c>
      <c r="E206" s="112">
        <f t="shared" si="12"/>
        <v>89761.52</v>
      </c>
      <c r="F206" s="113" t="s">
        <v>357</v>
      </c>
      <c r="G206" s="1"/>
      <c r="H206" s="1"/>
      <c r="I206" s="1"/>
      <c r="J206" s="1"/>
      <c r="K206" s="1"/>
      <c r="L206" s="1"/>
      <c r="M206" s="1"/>
      <c r="N206" s="1"/>
      <c r="O206" s="1"/>
      <c r="P206" s="1"/>
      <c r="Q206" s="1"/>
      <c r="R206" s="1"/>
      <c r="S206" s="1"/>
      <c r="T206" s="1"/>
      <c r="U206" s="1"/>
      <c r="V206" s="1"/>
      <c r="W206" s="1"/>
      <c r="X206" s="1"/>
      <c r="Y206" s="1"/>
      <c r="Z206" s="1"/>
      <c r="AA206" s="1"/>
      <c r="AB206" s="1"/>
    </row>
    <row r="207" ht="23.25" customHeight="1">
      <c r="A207" s="1"/>
      <c r="B207" s="122" t="s">
        <v>109</v>
      </c>
      <c r="C207" s="117">
        <v>7098.0</v>
      </c>
      <c r="D207" s="126">
        <v>1.0</v>
      </c>
      <c r="E207" s="112">
        <f t="shared" si="12"/>
        <v>7098</v>
      </c>
      <c r="F207" s="113" t="s">
        <v>110</v>
      </c>
      <c r="G207" s="1"/>
      <c r="H207" s="1"/>
      <c r="I207" s="1"/>
      <c r="J207" s="1"/>
      <c r="K207" s="1"/>
      <c r="L207" s="1"/>
      <c r="M207" s="1"/>
      <c r="N207" s="1"/>
      <c r="O207" s="1"/>
      <c r="P207" s="1"/>
      <c r="Q207" s="1"/>
      <c r="R207" s="1"/>
      <c r="S207" s="1"/>
      <c r="T207" s="1"/>
      <c r="U207" s="1"/>
      <c r="V207" s="1"/>
      <c r="W207" s="1"/>
      <c r="X207" s="1"/>
      <c r="Y207" s="1"/>
      <c r="Z207" s="1"/>
      <c r="AA207" s="1"/>
      <c r="AB207" s="1"/>
    </row>
    <row r="208" ht="23.25" customHeight="1">
      <c r="A208" s="1"/>
      <c r="B208" s="122" t="s">
        <v>111</v>
      </c>
      <c r="C208" s="122">
        <v>21493.0</v>
      </c>
      <c r="D208" s="122">
        <v>1.0</v>
      </c>
      <c r="E208" s="112">
        <f t="shared" si="12"/>
        <v>21493</v>
      </c>
      <c r="F208" s="113" t="s">
        <v>112</v>
      </c>
      <c r="G208" s="1"/>
      <c r="H208" s="1"/>
      <c r="I208" s="1"/>
      <c r="J208" s="1"/>
      <c r="K208" s="1"/>
      <c r="L208" s="1"/>
      <c r="M208" s="1"/>
      <c r="N208" s="1"/>
      <c r="O208" s="1"/>
      <c r="P208" s="1"/>
      <c r="Q208" s="1"/>
      <c r="R208" s="1"/>
      <c r="S208" s="1"/>
      <c r="T208" s="1"/>
      <c r="U208" s="1"/>
      <c r="V208" s="1"/>
      <c r="W208" s="1"/>
      <c r="X208" s="1"/>
      <c r="Y208" s="1"/>
      <c r="Z208" s="1"/>
      <c r="AA208" s="1"/>
      <c r="AB208" s="1"/>
    </row>
    <row r="209" ht="23.25" customHeight="1">
      <c r="A209" s="1"/>
      <c r="B209" s="122" t="s">
        <v>358</v>
      </c>
      <c r="C209" s="117">
        <v>16194.0</v>
      </c>
      <c r="D209" s="126">
        <v>1.0</v>
      </c>
      <c r="E209" s="112">
        <f t="shared" si="12"/>
        <v>16194</v>
      </c>
      <c r="F209" s="113" t="s">
        <v>359</v>
      </c>
      <c r="G209" s="1"/>
      <c r="H209" s="1"/>
      <c r="I209" s="1"/>
      <c r="J209" s="1"/>
      <c r="K209" s="1"/>
      <c r="L209" s="1"/>
      <c r="M209" s="1"/>
      <c r="N209" s="1"/>
      <c r="O209" s="1"/>
      <c r="P209" s="1"/>
      <c r="Q209" s="1"/>
      <c r="R209" s="1"/>
      <c r="S209" s="1"/>
      <c r="T209" s="1"/>
      <c r="U209" s="1"/>
      <c r="V209" s="1"/>
      <c r="W209" s="1"/>
      <c r="X209" s="1"/>
      <c r="Y209" s="1"/>
      <c r="Z209" s="1"/>
      <c r="AA209" s="1"/>
      <c r="AB209" s="1"/>
    </row>
    <row r="210" ht="23.25" customHeight="1">
      <c r="A210" s="1"/>
      <c r="B210" s="122" t="s">
        <v>360</v>
      </c>
      <c r="C210" s="117">
        <v>144257.2</v>
      </c>
      <c r="D210" s="126">
        <v>1.0</v>
      </c>
      <c r="E210" s="112">
        <f t="shared" si="12"/>
        <v>144257.2</v>
      </c>
      <c r="F210" s="113" t="s">
        <v>361</v>
      </c>
      <c r="G210" s="1"/>
      <c r="H210" s="1"/>
      <c r="I210" s="1"/>
      <c r="J210" s="1"/>
      <c r="K210" s="1"/>
      <c r="L210" s="1"/>
      <c r="M210" s="1"/>
      <c r="N210" s="1"/>
      <c r="O210" s="1"/>
      <c r="P210" s="1"/>
      <c r="Q210" s="1"/>
      <c r="R210" s="1"/>
      <c r="S210" s="1"/>
      <c r="T210" s="1"/>
      <c r="U210" s="1"/>
      <c r="V210" s="1"/>
      <c r="W210" s="1"/>
      <c r="X210" s="1"/>
      <c r="Y210" s="1"/>
      <c r="Z210" s="1"/>
      <c r="AA210" s="1"/>
      <c r="AB210" s="1"/>
    </row>
    <row r="211" ht="23.25" customHeight="1">
      <c r="A211" s="1"/>
      <c r="B211" s="122" t="s">
        <v>69</v>
      </c>
      <c r="C211" s="122">
        <v>323619.01</v>
      </c>
      <c r="D211" s="122">
        <v>2.0</v>
      </c>
      <c r="E211" s="112">
        <f t="shared" si="12"/>
        <v>647238.02</v>
      </c>
      <c r="F211" s="113" t="s">
        <v>70</v>
      </c>
      <c r="G211" s="1"/>
      <c r="H211" s="1"/>
      <c r="I211" s="1"/>
      <c r="J211" s="1"/>
      <c r="K211" s="1"/>
      <c r="L211" s="1"/>
      <c r="M211" s="1"/>
      <c r="N211" s="1"/>
      <c r="O211" s="1"/>
      <c r="P211" s="1"/>
      <c r="Q211" s="1"/>
      <c r="R211" s="1"/>
      <c r="S211" s="1"/>
      <c r="T211" s="1"/>
      <c r="U211" s="1"/>
      <c r="V211" s="1"/>
      <c r="W211" s="1"/>
      <c r="X211" s="1"/>
      <c r="Y211" s="1"/>
      <c r="Z211" s="1"/>
      <c r="AA211" s="1"/>
      <c r="AB211" s="1"/>
    </row>
    <row r="212" ht="23.25" customHeight="1">
      <c r="A212" s="1"/>
      <c r="B212" s="122" t="s">
        <v>133</v>
      </c>
      <c r="C212" s="117">
        <v>62000.0</v>
      </c>
      <c r="D212" s="126">
        <v>1.0</v>
      </c>
      <c r="E212" s="112">
        <f t="shared" si="12"/>
        <v>62000</v>
      </c>
      <c r="F212" s="113" t="s">
        <v>362</v>
      </c>
      <c r="G212" s="1"/>
      <c r="H212" s="1"/>
      <c r="I212" s="1"/>
      <c r="J212" s="1"/>
      <c r="K212" s="1"/>
      <c r="L212" s="1"/>
      <c r="M212" s="1"/>
      <c r="N212" s="1"/>
      <c r="O212" s="1"/>
      <c r="P212" s="1"/>
      <c r="Q212" s="1"/>
      <c r="R212" s="1"/>
      <c r="S212" s="1"/>
      <c r="T212" s="1"/>
      <c r="U212" s="1"/>
      <c r="V212" s="1"/>
      <c r="W212" s="1"/>
      <c r="X212" s="1"/>
      <c r="Y212" s="1"/>
      <c r="Z212" s="1"/>
      <c r="AA212" s="1"/>
      <c r="AB212" s="1"/>
    </row>
    <row r="213" ht="23.25" customHeight="1">
      <c r="A213" s="1"/>
      <c r="B213" s="122" t="s">
        <v>46</v>
      </c>
      <c r="C213" s="117">
        <v>46075.0</v>
      </c>
      <c r="D213" s="126">
        <v>1.0</v>
      </c>
      <c r="E213" s="112">
        <f t="shared" si="12"/>
        <v>46075</v>
      </c>
      <c r="F213" s="113" t="s">
        <v>363</v>
      </c>
      <c r="G213" s="1"/>
      <c r="H213" s="1"/>
      <c r="I213" s="1"/>
      <c r="J213" s="1"/>
      <c r="K213" s="1"/>
      <c r="L213" s="1"/>
      <c r="M213" s="1"/>
      <c r="N213" s="1"/>
      <c r="O213" s="1"/>
      <c r="P213" s="1"/>
      <c r="Q213" s="1"/>
      <c r="R213" s="1"/>
      <c r="S213" s="1"/>
      <c r="T213" s="1"/>
      <c r="U213" s="1"/>
      <c r="V213" s="1"/>
      <c r="W213" s="1"/>
      <c r="X213" s="1"/>
      <c r="Y213" s="1"/>
      <c r="Z213" s="1"/>
      <c r="AA213" s="1"/>
      <c r="AB213" s="1"/>
    </row>
    <row r="214" ht="23.25" customHeight="1">
      <c r="A214" s="1"/>
      <c r="B214" s="122" t="s">
        <v>364</v>
      </c>
      <c r="C214" s="117">
        <v>67000.0</v>
      </c>
      <c r="D214" s="126">
        <v>1.0</v>
      </c>
      <c r="E214" s="112">
        <f t="shared" si="12"/>
        <v>67000</v>
      </c>
      <c r="F214" s="113" t="s">
        <v>365</v>
      </c>
      <c r="G214" s="1"/>
      <c r="H214" s="1"/>
      <c r="I214" s="1"/>
      <c r="J214" s="1"/>
      <c r="K214" s="1"/>
      <c r="L214" s="1"/>
      <c r="M214" s="1"/>
      <c r="N214" s="1"/>
      <c r="O214" s="1"/>
      <c r="P214" s="1"/>
      <c r="Q214" s="1"/>
      <c r="R214" s="1"/>
      <c r="S214" s="1"/>
      <c r="T214" s="1"/>
      <c r="U214" s="1"/>
      <c r="V214" s="1"/>
      <c r="W214" s="1"/>
      <c r="X214" s="1"/>
      <c r="Y214" s="1"/>
      <c r="Z214" s="1"/>
      <c r="AA214" s="1"/>
      <c r="AB214" s="1"/>
    </row>
    <row r="215" ht="23.25" customHeight="1">
      <c r="A215" s="1"/>
      <c r="B215" s="122" t="s">
        <v>285</v>
      </c>
      <c r="C215" s="117">
        <v>24899.0</v>
      </c>
      <c r="D215" s="126">
        <v>5.0</v>
      </c>
      <c r="E215" s="112">
        <f t="shared" si="12"/>
        <v>124495</v>
      </c>
      <c r="F215" s="113" t="s">
        <v>366</v>
      </c>
      <c r="G215" s="1"/>
      <c r="H215" s="1"/>
      <c r="I215" s="1"/>
      <c r="J215" s="1"/>
      <c r="K215" s="1"/>
      <c r="L215" s="1"/>
      <c r="M215" s="1"/>
      <c r="N215" s="1"/>
      <c r="O215" s="1"/>
      <c r="P215" s="1"/>
      <c r="Q215" s="1"/>
      <c r="R215" s="1"/>
      <c r="S215" s="1"/>
      <c r="T215" s="1"/>
      <c r="U215" s="1"/>
      <c r="V215" s="1"/>
      <c r="W215" s="1"/>
      <c r="X215" s="1"/>
      <c r="Y215" s="1"/>
      <c r="Z215" s="1"/>
      <c r="AA215" s="1"/>
      <c r="AB215" s="1"/>
    </row>
    <row r="216" ht="23.25" customHeight="1">
      <c r="A216" s="1"/>
      <c r="B216" s="122" t="s">
        <v>296</v>
      </c>
      <c r="C216" s="117">
        <v>14600.0</v>
      </c>
      <c r="D216" s="126">
        <v>4.0</v>
      </c>
      <c r="E216" s="112">
        <f t="shared" si="12"/>
        <v>58400</v>
      </c>
      <c r="F216" s="113" t="s">
        <v>367</v>
      </c>
      <c r="G216" s="1"/>
      <c r="H216" s="1"/>
      <c r="I216" s="1"/>
      <c r="J216" s="1"/>
      <c r="K216" s="1"/>
      <c r="L216" s="1"/>
      <c r="M216" s="1"/>
      <c r="N216" s="1"/>
      <c r="O216" s="1"/>
      <c r="P216" s="1"/>
      <c r="Q216" s="1"/>
      <c r="R216" s="1"/>
      <c r="S216" s="1"/>
      <c r="T216" s="1"/>
      <c r="U216" s="1"/>
      <c r="V216" s="1"/>
      <c r="W216" s="1"/>
      <c r="X216" s="1"/>
      <c r="Y216" s="1"/>
      <c r="Z216" s="1"/>
      <c r="AA216" s="1"/>
      <c r="AB216" s="1"/>
    </row>
    <row r="217" ht="23.25" customHeight="1">
      <c r="A217" s="1"/>
      <c r="B217" s="122" t="s">
        <v>83</v>
      </c>
      <c r="C217" s="122">
        <v>55250.0</v>
      </c>
      <c r="D217" s="122">
        <v>2.0</v>
      </c>
      <c r="E217" s="122">
        <f t="shared" si="12"/>
        <v>110500</v>
      </c>
      <c r="F217" s="113" t="s">
        <v>84</v>
      </c>
      <c r="G217" s="1"/>
      <c r="H217" s="1"/>
      <c r="I217" s="1"/>
      <c r="J217" s="1"/>
      <c r="K217" s="1"/>
      <c r="L217" s="1"/>
      <c r="M217" s="1"/>
      <c r="N217" s="1"/>
      <c r="O217" s="1"/>
      <c r="P217" s="1"/>
      <c r="Q217" s="1"/>
      <c r="R217" s="1"/>
      <c r="S217" s="1"/>
      <c r="T217" s="1"/>
      <c r="U217" s="1"/>
      <c r="V217" s="1"/>
      <c r="W217" s="1"/>
      <c r="X217" s="1"/>
      <c r="Y217" s="1"/>
      <c r="Z217" s="1"/>
      <c r="AA217" s="1"/>
      <c r="AB217" s="1"/>
    </row>
    <row r="218" ht="23.25" customHeight="1">
      <c r="A218" s="1"/>
      <c r="B218" s="122" t="s">
        <v>85</v>
      </c>
      <c r="C218" s="122">
        <v>18000.0</v>
      </c>
      <c r="D218" s="122">
        <v>2.0</v>
      </c>
      <c r="E218" s="122">
        <f t="shared" si="12"/>
        <v>36000</v>
      </c>
      <c r="F218" s="113" t="s">
        <v>86</v>
      </c>
      <c r="G218" s="1"/>
      <c r="H218" s="1"/>
      <c r="I218" s="1"/>
      <c r="J218" s="1"/>
      <c r="K218" s="1"/>
      <c r="L218" s="1"/>
      <c r="M218" s="1"/>
      <c r="N218" s="1"/>
      <c r="O218" s="1"/>
      <c r="P218" s="1"/>
      <c r="Q218" s="1"/>
      <c r="R218" s="1"/>
      <c r="S218" s="1"/>
      <c r="T218" s="1"/>
      <c r="U218" s="1"/>
      <c r="V218" s="1"/>
      <c r="W218" s="1"/>
      <c r="X218" s="1"/>
      <c r="Y218" s="1"/>
      <c r="Z218" s="1"/>
      <c r="AA218" s="1"/>
      <c r="AB218" s="1"/>
    </row>
    <row r="219" ht="23.25" customHeight="1">
      <c r="A219" s="1"/>
      <c r="B219" s="122" t="s">
        <v>368</v>
      </c>
      <c r="C219" s="117">
        <v>21592.0</v>
      </c>
      <c r="D219" s="126">
        <v>3.0</v>
      </c>
      <c r="E219" s="112">
        <f>D219*C219</f>
        <v>64776</v>
      </c>
      <c r="F219" s="113" t="s">
        <v>369</v>
      </c>
      <c r="G219" s="1"/>
      <c r="H219" s="1"/>
      <c r="I219" s="1"/>
      <c r="J219" s="1"/>
      <c r="K219" s="1"/>
      <c r="L219" s="1"/>
      <c r="M219" s="1"/>
      <c r="N219" s="1"/>
      <c r="O219" s="1"/>
      <c r="P219" s="1"/>
      <c r="Q219" s="1"/>
      <c r="R219" s="1"/>
      <c r="S219" s="1"/>
      <c r="T219" s="1"/>
      <c r="U219" s="1"/>
      <c r="V219" s="1"/>
      <c r="W219" s="1"/>
      <c r="X219" s="1"/>
      <c r="Y219" s="1"/>
      <c r="Z219" s="1"/>
      <c r="AA219" s="1"/>
      <c r="AB219" s="1"/>
    </row>
    <row r="220" ht="23.25" customHeight="1">
      <c r="A220" s="1"/>
      <c r="B220" s="120" t="s">
        <v>370</v>
      </c>
      <c r="C220" s="47"/>
      <c r="D220" s="12"/>
      <c r="E220" s="121">
        <f>SUM(E186:E219)</f>
        <v>9812989.1</v>
      </c>
      <c r="F220" s="65" t="s">
        <v>5</v>
      </c>
      <c r="G220" s="1"/>
      <c r="H220" s="1"/>
      <c r="I220" s="1"/>
      <c r="J220" s="1"/>
      <c r="K220" s="1"/>
      <c r="L220" s="1"/>
      <c r="M220" s="1"/>
      <c r="N220" s="1"/>
      <c r="O220" s="1"/>
      <c r="P220" s="1"/>
      <c r="Q220" s="1"/>
      <c r="R220" s="1"/>
      <c r="S220" s="1"/>
      <c r="T220" s="1"/>
      <c r="U220" s="1"/>
      <c r="V220" s="1"/>
      <c r="W220" s="1"/>
      <c r="X220" s="1"/>
      <c r="Y220" s="1"/>
      <c r="Z220" s="1"/>
      <c r="AA220" s="1"/>
      <c r="AB220" s="1"/>
    </row>
    <row r="221" ht="23.25" customHeight="1">
      <c r="A221" s="1"/>
      <c r="B221" s="107" t="s">
        <v>371</v>
      </c>
      <c r="C221" s="47"/>
      <c r="D221" s="12"/>
      <c r="E221" s="128">
        <f>E167+E172+E220+E184</f>
        <v>42777457.5</v>
      </c>
      <c r="F221" s="65" t="s">
        <v>5</v>
      </c>
      <c r="G221" s="1"/>
      <c r="H221" s="1"/>
      <c r="I221" s="1"/>
      <c r="J221" s="1"/>
      <c r="K221" s="1"/>
      <c r="L221" s="1"/>
      <c r="M221" s="1"/>
      <c r="N221" s="1"/>
      <c r="O221" s="1"/>
      <c r="P221" s="1"/>
      <c r="Q221" s="1"/>
      <c r="R221" s="1"/>
      <c r="S221" s="1"/>
      <c r="T221" s="1"/>
      <c r="U221" s="1"/>
      <c r="V221" s="1"/>
      <c r="W221" s="1"/>
      <c r="X221" s="1"/>
      <c r="Y221" s="1"/>
      <c r="Z221" s="1"/>
      <c r="AA221" s="1"/>
      <c r="AB221" s="1"/>
    </row>
    <row r="222" ht="23.25" customHeight="1">
      <c r="A222" s="1"/>
      <c r="B222" s="1"/>
      <c r="C222" s="34"/>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ht="23.25" customHeight="1">
      <c r="A223" s="1"/>
      <c r="B223" s="1"/>
      <c r="C223" s="34"/>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ht="23.25" customHeight="1">
      <c r="A224" s="1"/>
      <c r="B224" s="1"/>
      <c r="C224" s="34"/>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ht="23.25" customHeight="1">
      <c r="A225" s="1"/>
      <c r="B225" s="129" t="s">
        <v>8</v>
      </c>
      <c r="C225" s="47"/>
      <c r="D225" s="47"/>
      <c r="E225" s="47"/>
      <c r="F225" s="12"/>
      <c r="G225" s="1"/>
      <c r="H225" s="1"/>
      <c r="I225" s="1"/>
      <c r="J225" s="1"/>
      <c r="K225" s="1"/>
      <c r="L225" s="1"/>
      <c r="M225" s="1"/>
      <c r="N225" s="1"/>
      <c r="O225" s="1"/>
      <c r="P225" s="1"/>
      <c r="Q225" s="1"/>
      <c r="R225" s="1"/>
      <c r="S225" s="1"/>
      <c r="T225" s="1"/>
      <c r="U225" s="1"/>
      <c r="V225" s="1"/>
      <c r="W225" s="1"/>
      <c r="X225" s="1"/>
      <c r="Y225" s="1"/>
      <c r="Z225" s="1"/>
      <c r="AA225" s="1"/>
      <c r="AB225" s="1"/>
    </row>
    <row r="226" ht="36.0" customHeight="1">
      <c r="A226" s="1"/>
      <c r="B226" s="67" t="s">
        <v>8</v>
      </c>
      <c r="C226" s="49" t="s">
        <v>22</v>
      </c>
      <c r="D226" s="50" t="s">
        <v>23</v>
      </c>
      <c r="E226" s="50" t="s">
        <v>24</v>
      </c>
      <c r="F226" s="50" t="s">
        <v>25</v>
      </c>
      <c r="G226" s="1"/>
      <c r="H226" s="1"/>
      <c r="I226" s="1"/>
      <c r="J226" s="1"/>
      <c r="K226" s="1"/>
      <c r="L226" s="1"/>
      <c r="M226" s="1"/>
      <c r="N226" s="1"/>
      <c r="O226" s="1"/>
      <c r="P226" s="1"/>
      <c r="Q226" s="1"/>
      <c r="R226" s="1"/>
      <c r="S226" s="1"/>
      <c r="T226" s="1"/>
      <c r="U226" s="1"/>
      <c r="V226" s="1"/>
      <c r="W226" s="1"/>
      <c r="X226" s="1"/>
      <c r="Y226" s="1"/>
      <c r="Z226" s="1"/>
      <c r="AA226" s="1"/>
      <c r="AB226" s="1"/>
    </row>
    <row r="227" ht="23.25" customHeight="1">
      <c r="A227" s="1"/>
      <c r="B227" s="130" t="s">
        <v>372</v>
      </c>
      <c r="C227" s="131">
        <v>1.76175E7</v>
      </c>
      <c r="D227" s="130">
        <v>6.0</v>
      </c>
      <c r="E227" s="132">
        <v>1.05705E8</v>
      </c>
      <c r="F227" s="133" t="s">
        <v>373</v>
      </c>
      <c r="G227" s="9" t="s">
        <v>374</v>
      </c>
      <c r="H227" s="1"/>
      <c r="I227" s="1"/>
      <c r="J227" s="1"/>
      <c r="K227" s="1"/>
      <c r="L227" s="1"/>
      <c r="M227" s="1"/>
      <c r="N227" s="1"/>
      <c r="O227" s="1"/>
      <c r="P227" s="1"/>
      <c r="Q227" s="1"/>
      <c r="R227" s="1"/>
      <c r="S227" s="1"/>
      <c r="T227" s="1"/>
      <c r="U227" s="1"/>
      <c r="V227" s="1"/>
      <c r="W227" s="1"/>
      <c r="X227" s="1"/>
      <c r="Y227" s="1"/>
      <c r="Z227" s="1"/>
      <c r="AA227" s="1"/>
      <c r="AB227" s="1"/>
    </row>
    <row r="228" ht="23.25" customHeight="1">
      <c r="A228" s="1"/>
      <c r="B228" s="130" t="s">
        <v>375</v>
      </c>
      <c r="C228" s="131">
        <v>2871000.0</v>
      </c>
      <c r="D228" s="130">
        <v>6.0</v>
      </c>
      <c r="E228" s="134">
        <f t="shared" ref="E228:E245" si="13">C228*D228</f>
        <v>17226000</v>
      </c>
      <c r="F228" s="135" t="s">
        <v>373</v>
      </c>
      <c r="G228" s="9" t="s">
        <v>374</v>
      </c>
      <c r="H228" s="1"/>
      <c r="I228" s="1"/>
      <c r="J228" s="1"/>
      <c r="K228" s="1"/>
      <c r="L228" s="1"/>
      <c r="M228" s="1"/>
      <c r="N228" s="1"/>
      <c r="O228" s="1"/>
      <c r="P228" s="1"/>
      <c r="Q228" s="1"/>
      <c r="R228" s="1"/>
      <c r="S228" s="1"/>
      <c r="T228" s="1"/>
      <c r="U228" s="1"/>
      <c r="V228" s="1"/>
      <c r="W228" s="1"/>
      <c r="X228" s="1"/>
      <c r="Y228" s="1"/>
      <c r="Z228" s="1"/>
      <c r="AA228" s="1"/>
      <c r="AB228" s="1"/>
    </row>
    <row r="229" ht="23.25" customHeight="1">
      <c r="A229" s="1"/>
      <c r="B229" s="130" t="s">
        <v>376</v>
      </c>
      <c r="C229" s="131">
        <v>1.305E7</v>
      </c>
      <c r="D229" s="130">
        <v>9.0</v>
      </c>
      <c r="E229" s="134">
        <f t="shared" si="13"/>
        <v>117450000</v>
      </c>
      <c r="F229" s="135" t="s">
        <v>373</v>
      </c>
      <c r="G229" s="9" t="s">
        <v>374</v>
      </c>
      <c r="H229" s="1"/>
      <c r="I229" s="1"/>
      <c r="J229" s="1"/>
      <c r="K229" s="1"/>
      <c r="L229" s="1"/>
      <c r="M229" s="1"/>
      <c r="N229" s="1"/>
      <c r="O229" s="1"/>
      <c r="P229" s="1"/>
      <c r="Q229" s="1"/>
      <c r="R229" s="1"/>
      <c r="S229" s="1"/>
      <c r="T229" s="1"/>
      <c r="U229" s="1"/>
      <c r="V229" s="1"/>
      <c r="W229" s="1"/>
      <c r="X229" s="1"/>
      <c r="Y229" s="1"/>
      <c r="Z229" s="1"/>
      <c r="AA229" s="1"/>
      <c r="AB229" s="1"/>
    </row>
    <row r="230" ht="23.25" customHeight="1">
      <c r="A230" s="1"/>
      <c r="B230" s="130" t="s">
        <v>377</v>
      </c>
      <c r="C230" s="131">
        <v>3.625E7</v>
      </c>
      <c r="D230" s="130">
        <v>1.0</v>
      </c>
      <c r="E230" s="134">
        <f t="shared" si="13"/>
        <v>36250000</v>
      </c>
      <c r="F230" s="135" t="s">
        <v>378</v>
      </c>
      <c r="G230" s="9"/>
      <c r="H230" s="1"/>
      <c r="I230" s="1"/>
      <c r="J230" s="1"/>
      <c r="K230" s="1"/>
      <c r="L230" s="1"/>
      <c r="M230" s="1"/>
      <c r="N230" s="1"/>
      <c r="O230" s="1"/>
      <c r="P230" s="1"/>
      <c r="Q230" s="1"/>
      <c r="R230" s="1"/>
      <c r="S230" s="1"/>
      <c r="T230" s="1"/>
      <c r="U230" s="1"/>
      <c r="V230" s="1"/>
      <c r="W230" s="1"/>
      <c r="X230" s="1"/>
      <c r="Y230" s="1"/>
      <c r="Z230" s="1"/>
      <c r="AA230" s="1"/>
      <c r="AB230" s="1"/>
    </row>
    <row r="231" ht="23.25" customHeight="1">
      <c r="A231" s="1"/>
      <c r="B231" s="130" t="s">
        <v>379</v>
      </c>
      <c r="C231" s="131">
        <v>3.21175E7</v>
      </c>
      <c r="D231" s="130">
        <v>1.0</v>
      </c>
      <c r="E231" s="134">
        <f t="shared" si="13"/>
        <v>32117500</v>
      </c>
      <c r="F231" s="135" t="s">
        <v>380</v>
      </c>
      <c r="G231" s="136"/>
      <c r="H231" s="1"/>
      <c r="I231" s="1"/>
      <c r="J231" s="1"/>
      <c r="K231" s="1"/>
      <c r="L231" s="1"/>
      <c r="M231" s="1"/>
      <c r="N231" s="1"/>
      <c r="O231" s="1"/>
      <c r="P231" s="1"/>
      <c r="Q231" s="1"/>
      <c r="R231" s="1"/>
      <c r="S231" s="1"/>
      <c r="T231" s="1"/>
      <c r="U231" s="1"/>
      <c r="V231" s="1"/>
      <c r="W231" s="1"/>
      <c r="X231" s="1"/>
      <c r="Y231" s="1"/>
      <c r="Z231" s="1"/>
      <c r="AA231" s="1"/>
      <c r="AB231" s="1"/>
    </row>
    <row r="232" ht="23.25" customHeight="1">
      <c r="A232" s="1"/>
      <c r="B232" s="130" t="s">
        <v>381</v>
      </c>
      <c r="C232" s="137">
        <f>7000*C2</f>
        <v>10150000</v>
      </c>
      <c r="D232" s="130">
        <v>1.0</v>
      </c>
      <c r="E232" s="134">
        <f t="shared" si="13"/>
        <v>10150000</v>
      </c>
      <c r="F232" s="135" t="s">
        <v>382</v>
      </c>
      <c r="G232" s="1"/>
      <c r="H232" s="1"/>
      <c r="I232" s="1"/>
      <c r="J232" s="1"/>
      <c r="K232" s="1"/>
      <c r="L232" s="1"/>
      <c r="M232" s="1"/>
      <c r="N232" s="1"/>
      <c r="O232" s="1"/>
      <c r="P232" s="1"/>
      <c r="Q232" s="1"/>
      <c r="R232" s="1"/>
      <c r="S232" s="1"/>
      <c r="T232" s="1"/>
      <c r="U232" s="1"/>
      <c r="V232" s="1"/>
      <c r="W232" s="1"/>
      <c r="X232" s="1"/>
      <c r="Y232" s="1"/>
      <c r="Z232" s="1"/>
      <c r="AA232" s="1"/>
      <c r="AB232" s="1"/>
    </row>
    <row r="233" ht="23.25" customHeight="1">
      <c r="A233" s="1"/>
      <c r="B233" s="130" t="s">
        <v>383</v>
      </c>
      <c r="C233" s="131">
        <v>5.8E7</v>
      </c>
      <c r="D233" s="130">
        <v>1.0</v>
      </c>
      <c r="E233" s="134">
        <f t="shared" si="13"/>
        <v>58000000</v>
      </c>
      <c r="F233" s="135" t="s">
        <v>384</v>
      </c>
      <c r="G233" s="9" t="s">
        <v>385</v>
      </c>
      <c r="H233" s="1"/>
      <c r="I233" s="1"/>
      <c r="J233" s="1"/>
      <c r="K233" s="1"/>
      <c r="L233" s="1"/>
      <c r="M233" s="1"/>
      <c r="N233" s="1"/>
      <c r="O233" s="1"/>
      <c r="P233" s="1"/>
      <c r="Q233" s="1"/>
      <c r="R233" s="1"/>
      <c r="S233" s="1"/>
      <c r="T233" s="1"/>
      <c r="U233" s="1"/>
      <c r="V233" s="1"/>
      <c r="W233" s="1"/>
      <c r="X233" s="1"/>
      <c r="Y233" s="1"/>
      <c r="Z233" s="1"/>
      <c r="AA233" s="1"/>
      <c r="AB233" s="1"/>
    </row>
    <row r="234" ht="23.25" customHeight="1">
      <c r="A234" s="1"/>
      <c r="B234" s="130" t="s">
        <v>386</v>
      </c>
      <c r="C234" s="137">
        <f>6000*C2</f>
        <v>8700000</v>
      </c>
      <c r="D234" s="130">
        <v>1.0</v>
      </c>
      <c r="E234" s="134">
        <f t="shared" si="13"/>
        <v>8700000</v>
      </c>
      <c r="F234" s="133" t="s">
        <v>387</v>
      </c>
      <c r="G234" s="1"/>
      <c r="H234" s="1"/>
      <c r="I234" s="1"/>
      <c r="J234" s="1"/>
      <c r="K234" s="1"/>
      <c r="L234" s="1"/>
      <c r="M234" s="1"/>
      <c r="N234" s="1"/>
      <c r="O234" s="1"/>
      <c r="P234" s="1"/>
      <c r="Q234" s="1"/>
      <c r="R234" s="1"/>
      <c r="S234" s="1"/>
      <c r="T234" s="1"/>
      <c r="U234" s="1"/>
      <c r="V234" s="1"/>
      <c r="W234" s="1"/>
      <c r="X234" s="1"/>
      <c r="Y234" s="1"/>
      <c r="Z234" s="1"/>
      <c r="AA234" s="1"/>
      <c r="AB234" s="1"/>
    </row>
    <row r="235" ht="23.25" customHeight="1">
      <c r="A235" s="1"/>
      <c r="B235" s="130" t="s">
        <v>388</v>
      </c>
      <c r="C235" s="131">
        <v>2812699.0</v>
      </c>
      <c r="D235" s="130">
        <v>2.0</v>
      </c>
      <c r="E235" s="134">
        <f t="shared" si="13"/>
        <v>5625398</v>
      </c>
      <c r="F235" s="133" t="s">
        <v>389</v>
      </c>
      <c r="G235" s="1"/>
      <c r="H235" s="1"/>
      <c r="I235" s="1"/>
      <c r="J235" s="1"/>
      <c r="K235" s="1"/>
      <c r="L235" s="1"/>
      <c r="M235" s="1"/>
      <c r="N235" s="1"/>
      <c r="O235" s="1"/>
      <c r="P235" s="1"/>
      <c r="Q235" s="1"/>
      <c r="R235" s="1"/>
      <c r="S235" s="1"/>
      <c r="T235" s="1"/>
      <c r="U235" s="1"/>
      <c r="V235" s="1"/>
      <c r="W235" s="1"/>
      <c r="X235" s="1"/>
      <c r="Y235" s="1"/>
      <c r="Z235" s="1"/>
      <c r="AA235" s="1"/>
      <c r="AB235" s="1"/>
    </row>
    <row r="236" ht="23.25" customHeight="1">
      <c r="A236" s="1"/>
      <c r="B236" s="130" t="s">
        <v>390</v>
      </c>
      <c r="C236" s="137">
        <f>4000*C2</f>
        <v>5800000</v>
      </c>
      <c r="D236" s="130">
        <v>1.0</v>
      </c>
      <c r="E236" s="134">
        <f t="shared" si="13"/>
        <v>5800000</v>
      </c>
      <c r="F236" s="130" t="s">
        <v>391</v>
      </c>
      <c r="G236" s="1"/>
      <c r="H236" s="1"/>
      <c r="I236" s="1"/>
      <c r="J236" s="1"/>
      <c r="K236" s="1"/>
      <c r="L236" s="1"/>
      <c r="M236" s="1"/>
      <c r="N236" s="1"/>
      <c r="O236" s="1"/>
      <c r="P236" s="1"/>
      <c r="Q236" s="1"/>
      <c r="R236" s="1"/>
      <c r="S236" s="1"/>
      <c r="T236" s="1"/>
      <c r="U236" s="1"/>
      <c r="V236" s="1"/>
      <c r="W236" s="1"/>
      <c r="X236" s="1"/>
      <c r="Y236" s="1"/>
      <c r="Z236" s="1"/>
      <c r="AA236" s="1"/>
      <c r="AB236" s="1"/>
    </row>
    <row r="237" ht="23.25" customHeight="1">
      <c r="A237" s="1"/>
      <c r="B237" s="130" t="s">
        <v>392</v>
      </c>
      <c r="C237" s="137">
        <f>20000*C2</f>
        <v>29000000</v>
      </c>
      <c r="D237" s="130">
        <v>1.0</v>
      </c>
      <c r="E237" s="134">
        <f t="shared" si="13"/>
        <v>29000000</v>
      </c>
      <c r="F237" s="138" t="s">
        <v>393</v>
      </c>
      <c r="G237" s="1"/>
      <c r="H237" s="1"/>
      <c r="I237" s="1"/>
      <c r="J237" s="1"/>
      <c r="K237" s="1"/>
      <c r="L237" s="1"/>
      <c r="M237" s="1"/>
      <c r="N237" s="1"/>
      <c r="O237" s="1"/>
      <c r="P237" s="1"/>
      <c r="Q237" s="1"/>
      <c r="R237" s="1"/>
      <c r="S237" s="1"/>
      <c r="T237" s="1"/>
      <c r="U237" s="1"/>
      <c r="V237" s="1"/>
      <c r="W237" s="1"/>
      <c r="X237" s="1"/>
      <c r="Y237" s="1"/>
      <c r="Z237" s="1"/>
      <c r="AA237" s="1"/>
      <c r="AB237" s="1"/>
    </row>
    <row r="238" ht="23.25" customHeight="1">
      <c r="A238" s="1"/>
      <c r="B238" s="130" t="s">
        <v>394</v>
      </c>
      <c r="C238" s="131">
        <v>2.262E7</v>
      </c>
      <c r="D238" s="130">
        <v>1.0</v>
      </c>
      <c r="E238" s="134">
        <f t="shared" si="13"/>
        <v>22620000</v>
      </c>
      <c r="F238" s="133" t="s">
        <v>395</v>
      </c>
      <c r="G238" s="1"/>
      <c r="H238" s="1"/>
      <c r="I238" s="1"/>
      <c r="J238" s="1"/>
      <c r="K238" s="1"/>
      <c r="L238" s="1"/>
      <c r="M238" s="1"/>
      <c r="N238" s="1"/>
      <c r="O238" s="1"/>
      <c r="P238" s="1"/>
      <c r="Q238" s="1"/>
      <c r="R238" s="1"/>
      <c r="S238" s="1"/>
      <c r="T238" s="1"/>
      <c r="U238" s="1"/>
      <c r="V238" s="1"/>
      <c r="W238" s="1"/>
      <c r="X238" s="1"/>
      <c r="Y238" s="1"/>
      <c r="Z238" s="1"/>
      <c r="AA238" s="1"/>
      <c r="AB238" s="1"/>
    </row>
    <row r="239" ht="23.25" customHeight="1">
      <c r="A239" s="1"/>
      <c r="B239" s="130" t="s">
        <v>396</v>
      </c>
      <c r="C239" s="131">
        <v>70000.0</v>
      </c>
      <c r="D239" s="130">
        <v>10.0</v>
      </c>
      <c r="E239" s="134">
        <f t="shared" si="13"/>
        <v>700000</v>
      </c>
      <c r="F239" s="133" t="s">
        <v>302</v>
      </c>
      <c r="G239" s="1"/>
      <c r="H239" s="1"/>
      <c r="I239" s="1"/>
      <c r="J239" s="1"/>
      <c r="K239" s="1"/>
      <c r="L239" s="1"/>
      <c r="M239" s="1"/>
      <c r="N239" s="1"/>
      <c r="O239" s="1"/>
      <c r="P239" s="1"/>
      <c r="Q239" s="1"/>
      <c r="R239" s="1"/>
      <c r="S239" s="1"/>
      <c r="T239" s="1"/>
      <c r="U239" s="1"/>
      <c r="V239" s="1"/>
      <c r="W239" s="1"/>
      <c r="X239" s="1"/>
      <c r="Y239" s="1"/>
      <c r="Z239" s="1"/>
      <c r="AA239" s="1"/>
      <c r="AB239" s="1"/>
    </row>
    <row r="240" ht="23.25" customHeight="1">
      <c r="A240" s="1"/>
      <c r="B240" s="130" t="s">
        <v>397</v>
      </c>
      <c r="C240" s="131">
        <v>230000.0</v>
      </c>
      <c r="D240" s="130">
        <v>1.0</v>
      </c>
      <c r="E240" s="134">
        <f t="shared" si="13"/>
        <v>230000</v>
      </c>
      <c r="F240" s="133" t="s">
        <v>398</v>
      </c>
      <c r="G240" s="1"/>
      <c r="H240" s="1"/>
      <c r="I240" s="1"/>
      <c r="J240" s="1"/>
      <c r="K240" s="1"/>
      <c r="L240" s="1"/>
      <c r="M240" s="1"/>
      <c r="N240" s="1"/>
      <c r="O240" s="1"/>
      <c r="P240" s="1"/>
      <c r="Q240" s="1"/>
      <c r="R240" s="1"/>
      <c r="S240" s="1"/>
      <c r="T240" s="1"/>
      <c r="U240" s="1"/>
      <c r="V240" s="1"/>
      <c r="W240" s="1"/>
      <c r="X240" s="1"/>
      <c r="Y240" s="1"/>
      <c r="Z240" s="1"/>
      <c r="AA240" s="1"/>
      <c r="AB240" s="1"/>
    </row>
    <row r="241" ht="23.25" customHeight="1">
      <c r="A241" s="1"/>
      <c r="B241" s="130" t="s">
        <v>399</v>
      </c>
      <c r="C241" s="131">
        <v>67000.0</v>
      </c>
      <c r="D241" s="130">
        <v>1.0</v>
      </c>
      <c r="E241" s="134">
        <f t="shared" si="13"/>
        <v>67000</v>
      </c>
      <c r="F241" s="133" t="s">
        <v>400</v>
      </c>
      <c r="G241" s="1"/>
      <c r="H241" s="1"/>
      <c r="I241" s="1"/>
      <c r="J241" s="1"/>
      <c r="K241" s="1"/>
      <c r="L241" s="1"/>
      <c r="M241" s="1"/>
      <c r="N241" s="1"/>
      <c r="O241" s="1"/>
      <c r="P241" s="1"/>
      <c r="Q241" s="1"/>
      <c r="R241" s="1"/>
      <c r="S241" s="1"/>
      <c r="T241" s="1"/>
      <c r="U241" s="1"/>
      <c r="V241" s="1"/>
      <c r="W241" s="1"/>
      <c r="X241" s="1"/>
      <c r="Y241" s="1"/>
      <c r="Z241" s="1"/>
      <c r="AA241" s="1"/>
      <c r="AB241" s="1"/>
    </row>
    <row r="242" ht="23.25" customHeight="1">
      <c r="A242" s="1"/>
      <c r="B242" s="130" t="s">
        <v>401</v>
      </c>
      <c r="C242" s="131">
        <v>43000.0</v>
      </c>
      <c r="D242" s="130">
        <v>1.0</v>
      </c>
      <c r="E242" s="134">
        <f t="shared" si="13"/>
        <v>43000</v>
      </c>
      <c r="F242" s="139" t="s">
        <v>402</v>
      </c>
      <c r="G242" s="1"/>
      <c r="H242" s="1"/>
      <c r="I242" s="1"/>
      <c r="J242" s="1"/>
      <c r="K242" s="1"/>
      <c r="L242" s="1"/>
      <c r="M242" s="1"/>
      <c r="N242" s="1"/>
      <c r="O242" s="1"/>
      <c r="P242" s="1"/>
      <c r="Q242" s="1"/>
      <c r="R242" s="1"/>
      <c r="S242" s="1"/>
      <c r="T242" s="1"/>
      <c r="U242" s="1"/>
      <c r="V242" s="1"/>
      <c r="W242" s="1"/>
      <c r="X242" s="1"/>
      <c r="Y242" s="1"/>
      <c r="Z242" s="1"/>
      <c r="AA242" s="1"/>
      <c r="AB242" s="1"/>
    </row>
    <row r="243" ht="23.25" customHeight="1">
      <c r="A243" s="1"/>
      <c r="B243" s="130" t="s">
        <v>403</v>
      </c>
      <c r="C243" s="131">
        <v>319900.0</v>
      </c>
      <c r="D243" s="130">
        <v>1.0</v>
      </c>
      <c r="E243" s="134">
        <f t="shared" si="13"/>
        <v>319900</v>
      </c>
      <c r="F243" s="133" t="s">
        <v>404</v>
      </c>
      <c r="G243" s="1"/>
      <c r="H243" s="1"/>
      <c r="I243" s="1"/>
      <c r="J243" s="1"/>
      <c r="K243" s="1"/>
      <c r="L243" s="1"/>
      <c r="M243" s="1"/>
      <c r="N243" s="1"/>
      <c r="O243" s="1"/>
      <c r="P243" s="1"/>
      <c r="Q243" s="1"/>
      <c r="R243" s="1"/>
      <c r="S243" s="1"/>
      <c r="T243" s="1"/>
      <c r="U243" s="1"/>
      <c r="V243" s="1"/>
      <c r="W243" s="1"/>
      <c r="X243" s="1"/>
      <c r="Y243" s="1"/>
      <c r="Z243" s="1"/>
      <c r="AA243" s="1"/>
      <c r="AB243" s="1"/>
    </row>
    <row r="244" ht="23.25" customHeight="1">
      <c r="A244" s="1"/>
      <c r="B244" s="130" t="s">
        <v>405</v>
      </c>
      <c r="C244" s="131">
        <v>800000.0</v>
      </c>
      <c r="D244" s="130">
        <v>1.0</v>
      </c>
      <c r="E244" s="134">
        <f t="shared" si="13"/>
        <v>800000</v>
      </c>
      <c r="F244" s="130" t="s">
        <v>406</v>
      </c>
      <c r="G244" s="1"/>
      <c r="H244" s="1"/>
      <c r="I244" s="1"/>
      <c r="J244" s="1"/>
      <c r="K244" s="1"/>
      <c r="L244" s="1"/>
      <c r="M244" s="1"/>
      <c r="N244" s="1"/>
      <c r="O244" s="1"/>
      <c r="P244" s="1"/>
      <c r="Q244" s="1"/>
      <c r="R244" s="1"/>
      <c r="S244" s="1"/>
      <c r="T244" s="1"/>
      <c r="U244" s="1"/>
      <c r="V244" s="1"/>
      <c r="W244" s="1"/>
      <c r="X244" s="1"/>
      <c r="Y244" s="1"/>
      <c r="Z244" s="1"/>
      <c r="AA244" s="1"/>
      <c r="AB244" s="1"/>
    </row>
    <row r="245" ht="23.25" customHeight="1">
      <c r="A245" s="1"/>
      <c r="B245" s="130" t="s">
        <v>407</v>
      </c>
      <c r="C245" s="131">
        <v>218817.0</v>
      </c>
      <c r="D245" s="130">
        <v>100.0</v>
      </c>
      <c r="E245" s="134">
        <f t="shared" si="13"/>
        <v>21881700</v>
      </c>
      <c r="F245" s="139" t="s">
        <v>408</v>
      </c>
      <c r="G245" s="1"/>
      <c r="H245" s="1"/>
      <c r="I245" s="1"/>
      <c r="J245" s="1"/>
      <c r="K245" s="1"/>
      <c r="L245" s="1"/>
      <c r="M245" s="1"/>
      <c r="N245" s="1"/>
      <c r="O245" s="1"/>
      <c r="P245" s="1"/>
      <c r="Q245" s="1"/>
      <c r="R245" s="1"/>
      <c r="S245" s="1"/>
      <c r="T245" s="1"/>
      <c r="U245" s="1"/>
      <c r="V245" s="1"/>
      <c r="W245" s="1"/>
      <c r="X245" s="1"/>
      <c r="Y245" s="1"/>
      <c r="Z245" s="1"/>
      <c r="AA245" s="1"/>
      <c r="AB245" s="1"/>
    </row>
    <row r="246" ht="23.25" customHeight="1">
      <c r="A246" s="1"/>
      <c r="B246" s="140" t="s">
        <v>409</v>
      </c>
      <c r="C246" s="47"/>
      <c r="D246" s="12"/>
      <c r="E246" s="141">
        <f>SUM(E227:E245)</f>
        <v>472685498</v>
      </c>
      <c r="F246" s="65" t="s">
        <v>5</v>
      </c>
      <c r="G246" s="1"/>
      <c r="H246" s="1"/>
      <c r="I246" s="1"/>
      <c r="J246" s="1"/>
      <c r="K246" s="1"/>
      <c r="L246" s="1"/>
      <c r="M246" s="1"/>
      <c r="N246" s="1"/>
      <c r="O246" s="1"/>
      <c r="P246" s="1"/>
      <c r="Q246" s="1"/>
      <c r="R246" s="1"/>
      <c r="S246" s="1"/>
      <c r="T246" s="1"/>
      <c r="U246" s="1"/>
      <c r="V246" s="1"/>
      <c r="W246" s="1"/>
      <c r="X246" s="1"/>
      <c r="Y246" s="1"/>
      <c r="Z246" s="1"/>
      <c r="AA246" s="1"/>
      <c r="AB246" s="1"/>
    </row>
    <row r="247" ht="23.25" customHeight="1">
      <c r="A247" s="1"/>
      <c r="B247" s="1"/>
      <c r="C247" s="34"/>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ht="23.25" customHeight="1">
      <c r="A248" s="1"/>
      <c r="B248" s="142" t="s">
        <v>410</v>
      </c>
      <c r="C248" s="47"/>
      <c r="D248" s="47"/>
      <c r="E248" s="47"/>
      <c r="F248" s="12"/>
      <c r="G248" s="1"/>
      <c r="H248" s="1"/>
      <c r="I248" s="1"/>
      <c r="J248" s="1"/>
      <c r="K248" s="1"/>
      <c r="L248" s="1"/>
      <c r="M248" s="1"/>
      <c r="N248" s="1"/>
      <c r="O248" s="1"/>
      <c r="P248" s="1"/>
      <c r="Q248" s="1"/>
      <c r="R248" s="1"/>
      <c r="S248" s="1"/>
      <c r="T248" s="1"/>
      <c r="U248" s="1"/>
      <c r="V248" s="1"/>
      <c r="W248" s="1"/>
      <c r="X248" s="1"/>
      <c r="Y248" s="1"/>
      <c r="Z248" s="1"/>
      <c r="AA248" s="1"/>
      <c r="AB248" s="1"/>
    </row>
    <row r="249" ht="37.5" customHeight="1">
      <c r="A249" s="1"/>
      <c r="B249" s="67" t="s">
        <v>411</v>
      </c>
      <c r="C249" s="49" t="s">
        <v>22</v>
      </c>
      <c r="D249" s="50" t="s">
        <v>23</v>
      </c>
      <c r="E249" s="50" t="s">
        <v>24</v>
      </c>
      <c r="F249" s="50" t="s">
        <v>25</v>
      </c>
      <c r="G249" s="1"/>
      <c r="H249" s="1"/>
      <c r="I249" s="1"/>
      <c r="J249" s="1"/>
      <c r="K249" s="1"/>
      <c r="L249" s="1"/>
      <c r="M249" s="1"/>
      <c r="N249" s="1"/>
      <c r="O249" s="1"/>
      <c r="P249" s="1"/>
      <c r="Q249" s="1"/>
      <c r="R249" s="1"/>
      <c r="S249" s="1"/>
      <c r="T249" s="1"/>
      <c r="U249" s="1"/>
      <c r="V249" s="1"/>
      <c r="W249" s="1"/>
      <c r="X249" s="1"/>
      <c r="Y249" s="1"/>
      <c r="Z249" s="1"/>
      <c r="AA249" s="1"/>
      <c r="AB249" s="1"/>
    </row>
    <row r="250" ht="23.25" customHeight="1">
      <c r="A250" s="1"/>
      <c r="B250" s="143" t="s">
        <v>412</v>
      </c>
      <c r="C250" s="144">
        <f>180000*C2</f>
        <v>261000000</v>
      </c>
      <c r="D250" s="145">
        <v>1.0</v>
      </c>
      <c r="E250" s="146">
        <f t="shared" ref="E250:E254" si="14">C250*D250</f>
        <v>261000000</v>
      </c>
      <c r="F250" s="146"/>
      <c r="G250" s="1"/>
      <c r="H250" s="1"/>
      <c r="I250" s="1"/>
      <c r="J250" s="1"/>
      <c r="K250" s="1"/>
      <c r="L250" s="1"/>
      <c r="M250" s="1"/>
      <c r="N250" s="1"/>
      <c r="O250" s="1"/>
      <c r="P250" s="1"/>
      <c r="Q250" s="1"/>
      <c r="R250" s="1"/>
      <c r="S250" s="1"/>
      <c r="T250" s="1"/>
      <c r="U250" s="1"/>
      <c r="V250" s="1"/>
      <c r="W250" s="1"/>
      <c r="X250" s="1"/>
      <c r="Y250" s="1"/>
      <c r="Z250" s="1"/>
      <c r="AA250" s="1"/>
      <c r="AB250" s="1"/>
    </row>
    <row r="251" ht="31.5" customHeight="1">
      <c r="A251" s="1"/>
      <c r="B251" s="147" t="s">
        <v>413</v>
      </c>
      <c r="C251" s="144">
        <f>2700*C2</f>
        <v>3915000</v>
      </c>
      <c r="D251" s="145">
        <v>1.0</v>
      </c>
      <c r="E251" s="146">
        <f t="shared" si="14"/>
        <v>3915000</v>
      </c>
      <c r="F251" s="146"/>
      <c r="G251" s="1"/>
      <c r="H251" s="1"/>
      <c r="I251" s="1"/>
      <c r="J251" s="1"/>
      <c r="K251" s="1"/>
      <c r="L251" s="1"/>
      <c r="M251" s="1"/>
      <c r="N251" s="1"/>
      <c r="O251" s="1"/>
      <c r="P251" s="1"/>
      <c r="Q251" s="1"/>
      <c r="R251" s="1"/>
      <c r="S251" s="1"/>
      <c r="T251" s="1"/>
      <c r="U251" s="1"/>
      <c r="V251" s="1"/>
      <c r="W251" s="1"/>
      <c r="X251" s="1"/>
      <c r="Y251" s="1"/>
      <c r="Z251" s="1"/>
      <c r="AA251" s="1"/>
      <c r="AB251" s="1"/>
    </row>
    <row r="252" ht="31.5" customHeight="1">
      <c r="A252" s="1"/>
      <c r="B252" s="147" t="s">
        <v>414</v>
      </c>
      <c r="C252" s="144">
        <f>1800*C2</f>
        <v>2610000</v>
      </c>
      <c r="D252" s="145">
        <v>1.0</v>
      </c>
      <c r="E252" s="146">
        <f t="shared" si="14"/>
        <v>2610000</v>
      </c>
      <c r="F252" s="146"/>
      <c r="G252" s="1"/>
      <c r="H252" s="1"/>
      <c r="I252" s="1"/>
      <c r="J252" s="1"/>
      <c r="K252" s="1"/>
      <c r="L252" s="1"/>
      <c r="M252" s="1"/>
      <c r="N252" s="1"/>
      <c r="O252" s="1"/>
      <c r="P252" s="1"/>
      <c r="Q252" s="1"/>
      <c r="R252" s="1"/>
      <c r="S252" s="1"/>
      <c r="T252" s="1"/>
      <c r="U252" s="1"/>
      <c r="V252" s="1"/>
      <c r="W252" s="1"/>
      <c r="X252" s="1"/>
      <c r="Y252" s="1"/>
      <c r="Z252" s="1"/>
      <c r="AA252" s="1"/>
      <c r="AB252" s="1"/>
    </row>
    <row r="253" ht="31.5" customHeight="1">
      <c r="A253" s="1"/>
      <c r="B253" s="147" t="s">
        <v>415</v>
      </c>
      <c r="C253" s="144">
        <f>(6534*C2)</f>
        <v>9474300</v>
      </c>
      <c r="D253" s="145">
        <v>1.0</v>
      </c>
      <c r="E253" s="146">
        <f t="shared" si="14"/>
        <v>9474300</v>
      </c>
      <c r="F253" s="146"/>
      <c r="G253" s="1"/>
      <c r="H253" s="1"/>
      <c r="I253" s="1"/>
      <c r="J253" s="1"/>
      <c r="K253" s="1"/>
      <c r="L253" s="1"/>
      <c r="M253" s="1"/>
      <c r="N253" s="1"/>
      <c r="O253" s="1"/>
      <c r="P253" s="1"/>
      <c r="Q253" s="1"/>
      <c r="R253" s="1"/>
      <c r="S253" s="1"/>
      <c r="T253" s="1"/>
      <c r="U253" s="1"/>
      <c r="V253" s="1"/>
      <c r="W253" s="1"/>
      <c r="X253" s="1"/>
      <c r="Y253" s="1"/>
      <c r="Z253" s="1"/>
      <c r="AA253" s="1"/>
      <c r="AB253" s="1"/>
    </row>
    <row r="254" ht="31.5" customHeight="1">
      <c r="A254" s="1"/>
      <c r="B254" s="147" t="s">
        <v>416</v>
      </c>
      <c r="C254" s="144">
        <f>51749*20</f>
        <v>1034980</v>
      </c>
      <c r="D254" s="145">
        <v>1.0</v>
      </c>
      <c r="E254" s="146">
        <f t="shared" si="14"/>
        <v>1034980</v>
      </c>
      <c r="F254" s="148" t="s">
        <v>417</v>
      </c>
      <c r="G254" s="1"/>
      <c r="H254" s="1"/>
      <c r="I254" s="1"/>
      <c r="J254" s="1"/>
      <c r="K254" s="1"/>
      <c r="L254" s="1"/>
      <c r="M254" s="1"/>
      <c r="N254" s="1"/>
      <c r="O254" s="1"/>
      <c r="P254" s="1"/>
      <c r="Q254" s="1"/>
      <c r="R254" s="1"/>
      <c r="S254" s="1"/>
      <c r="T254" s="1"/>
      <c r="U254" s="1"/>
      <c r="V254" s="1"/>
      <c r="W254" s="1"/>
      <c r="X254" s="1"/>
      <c r="Y254" s="1"/>
      <c r="Z254" s="1"/>
      <c r="AA254" s="1"/>
      <c r="AB254" s="1"/>
    </row>
    <row r="255" ht="23.25" customHeight="1">
      <c r="A255" s="1"/>
      <c r="B255" s="142" t="s">
        <v>418</v>
      </c>
      <c r="C255" s="47"/>
      <c r="D255" s="12"/>
      <c r="E255" s="149">
        <f>SUM(E250:E254)</f>
        <v>278034280</v>
      </c>
      <c r="F255" s="65" t="s">
        <v>5</v>
      </c>
      <c r="G255" s="1"/>
      <c r="H255" s="1"/>
      <c r="I255" s="1"/>
      <c r="J255" s="1"/>
      <c r="K255" s="1"/>
      <c r="L255" s="1"/>
      <c r="M255" s="1"/>
      <c r="N255" s="1"/>
      <c r="O255" s="1"/>
      <c r="P255" s="1"/>
      <c r="Q255" s="1"/>
      <c r="R255" s="1"/>
      <c r="S255" s="1"/>
      <c r="T255" s="1"/>
      <c r="U255" s="1"/>
      <c r="V255" s="1"/>
      <c r="W255" s="1"/>
      <c r="X255" s="1"/>
      <c r="Y255" s="1"/>
      <c r="Z255" s="1"/>
      <c r="AA255" s="1"/>
      <c r="AB255" s="1"/>
    </row>
    <row r="256" ht="23.25" customHeight="1">
      <c r="A256" s="1"/>
      <c r="B256" s="1"/>
      <c r="C256" s="34"/>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ht="23.25" customHeight="1">
      <c r="A257" s="1"/>
      <c r="B257" s="150" t="s">
        <v>10</v>
      </c>
      <c r="C257" s="47"/>
      <c r="D257" s="47"/>
      <c r="E257" s="47"/>
      <c r="F257" s="12"/>
      <c r="G257" s="1"/>
      <c r="H257" s="1"/>
      <c r="I257" s="1"/>
      <c r="J257" s="1"/>
      <c r="K257" s="1"/>
      <c r="L257" s="1"/>
      <c r="M257" s="1"/>
      <c r="N257" s="1"/>
      <c r="O257" s="1"/>
      <c r="P257" s="1"/>
      <c r="Q257" s="1"/>
      <c r="R257" s="1"/>
      <c r="S257" s="1"/>
      <c r="T257" s="1"/>
      <c r="U257" s="1"/>
      <c r="V257" s="1"/>
      <c r="W257" s="1"/>
      <c r="X257" s="1"/>
      <c r="Y257" s="1"/>
      <c r="Z257" s="1"/>
      <c r="AA257" s="1"/>
      <c r="AB257" s="1"/>
    </row>
    <row r="258" ht="30.0" customHeight="1">
      <c r="A258" s="1"/>
      <c r="B258" s="67" t="s">
        <v>10</v>
      </c>
      <c r="C258" s="49" t="s">
        <v>22</v>
      </c>
      <c r="D258" s="50" t="s">
        <v>23</v>
      </c>
      <c r="E258" s="50" t="s">
        <v>24</v>
      </c>
      <c r="F258" s="50" t="s">
        <v>25</v>
      </c>
      <c r="G258" s="1"/>
      <c r="H258" s="1"/>
      <c r="I258" s="1"/>
      <c r="J258" s="1"/>
      <c r="K258" s="1"/>
      <c r="L258" s="1"/>
      <c r="M258" s="1"/>
      <c r="N258" s="1"/>
      <c r="O258" s="1"/>
      <c r="P258" s="1"/>
      <c r="Q258" s="1"/>
      <c r="R258" s="1"/>
      <c r="S258" s="1"/>
      <c r="T258" s="1"/>
      <c r="U258" s="1"/>
      <c r="V258" s="1"/>
      <c r="W258" s="1"/>
      <c r="X258" s="1"/>
      <c r="Y258" s="1"/>
      <c r="Z258" s="1"/>
      <c r="AA258" s="1"/>
      <c r="AB258" s="1"/>
    </row>
    <row r="259" ht="23.25" customHeight="1">
      <c r="A259" s="1"/>
      <c r="B259" s="151" t="s">
        <v>419</v>
      </c>
      <c r="C259" s="152">
        <v>35750.0</v>
      </c>
      <c r="D259" s="153">
        <v>1.0</v>
      </c>
      <c r="E259" s="154">
        <f t="shared" ref="E259:E270" si="15">C259*D259</f>
        <v>35750</v>
      </c>
      <c r="F259" s="155" t="s">
        <v>420</v>
      </c>
      <c r="G259" s="1"/>
      <c r="H259" s="1"/>
      <c r="I259" s="1"/>
      <c r="J259" s="1"/>
      <c r="K259" s="1"/>
      <c r="L259" s="1"/>
      <c r="M259" s="1"/>
      <c r="N259" s="1"/>
      <c r="O259" s="1"/>
      <c r="P259" s="1"/>
      <c r="Q259" s="1"/>
      <c r="R259" s="1"/>
      <c r="S259" s="1"/>
      <c r="T259" s="1"/>
      <c r="U259" s="1"/>
      <c r="V259" s="1"/>
      <c r="W259" s="1"/>
      <c r="X259" s="1"/>
      <c r="Y259" s="1"/>
      <c r="Z259" s="1"/>
      <c r="AA259" s="1"/>
      <c r="AB259" s="1"/>
    </row>
    <row r="260" ht="23.25" customHeight="1">
      <c r="A260" s="1"/>
      <c r="B260" s="151" t="s">
        <v>421</v>
      </c>
      <c r="C260" s="152">
        <v>4867759.8</v>
      </c>
      <c r="D260" s="156">
        <v>1.0</v>
      </c>
      <c r="E260" s="154">
        <f t="shared" si="15"/>
        <v>4867759.8</v>
      </c>
      <c r="F260" s="155" t="s">
        <v>422</v>
      </c>
      <c r="G260" s="1"/>
      <c r="H260" s="1"/>
      <c r="I260" s="1"/>
      <c r="J260" s="1"/>
      <c r="K260" s="1"/>
      <c r="L260" s="1"/>
      <c r="M260" s="1"/>
      <c r="N260" s="1"/>
      <c r="O260" s="1"/>
      <c r="P260" s="1"/>
      <c r="Q260" s="1"/>
      <c r="R260" s="1"/>
      <c r="S260" s="1"/>
      <c r="T260" s="1"/>
      <c r="U260" s="1"/>
      <c r="V260" s="1"/>
      <c r="W260" s="1"/>
      <c r="X260" s="1"/>
      <c r="Y260" s="1"/>
      <c r="Z260" s="1"/>
      <c r="AA260" s="1"/>
      <c r="AB260" s="1"/>
    </row>
    <row r="261" ht="23.25" customHeight="1">
      <c r="A261" s="1"/>
      <c r="B261" s="151" t="s">
        <v>423</v>
      </c>
      <c r="C261" s="152">
        <v>3135976.0</v>
      </c>
      <c r="D261" s="153">
        <v>1.0</v>
      </c>
      <c r="E261" s="154">
        <f t="shared" si="15"/>
        <v>3135976</v>
      </c>
      <c r="F261" s="155" t="s">
        <v>417</v>
      </c>
      <c r="G261" s="1"/>
      <c r="H261" s="1"/>
      <c r="I261" s="1"/>
      <c r="J261" s="1"/>
      <c r="K261" s="1"/>
      <c r="L261" s="1"/>
      <c r="M261" s="1"/>
      <c r="N261" s="1"/>
      <c r="O261" s="1"/>
      <c r="P261" s="1"/>
      <c r="Q261" s="1"/>
      <c r="R261" s="1"/>
      <c r="S261" s="1"/>
      <c r="T261" s="1"/>
      <c r="U261" s="1"/>
      <c r="V261" s="1"/>
      <c r="W261" s="1"/>
      <c r="X261" s="1"/>
      <c r="Y261" s="1"/>
      <c r="Z261" s="1"/>
      <c r="AA261" s="1"/>
      <c r="AB261" s="1"/>
    </row>
    <row r="262" ht="23.25" customHeight="1">
      <c r="A262" s="1"/>
      <c r="B262" s="151" t="s">
        <v>424</v>
      </c>
      <c r="C262" s="152">
        <v>628844.0</v>
      </c>
      <c r="D262" s="153">
        <v>1.0</v>
      </c>
      <c r="E262" s="154">
        <f t="shared" si="15"/>
        <v>628844</v>
      </c>
      <c r="F262" s="157" t="s">
        <v>417</v>
      </c>
      <c r="G262" s="1"/>
      <c r="H262" s="1"/>
      <c r="I262" s="1"/>
      <c r="J262" s="1"/>
      <c r="K262" s="1"/>
      <c r="L262" s="1"/>
      <c r="M262" s="1"/>
      <c r="N262" s="1"/>
      <c r="O262" s="1"/>
      <c r="P262" s="1"/>
      <c r="Q262" s="1"/>
      <c r="R262" s="1"/>
      <c r="S262" s="1"/>
      <c r="T262" s="1"/>
      <c r="U262" s="1"/>
      <c r="V262" s="1"/>
      <c r="W262" s="1"/>
      <c r="X262" s="1"/>
      <c r="Y262" s="1"/>
      <c r="Z262" s="1"/>
      <c r="AA262" s="1"/>
      <c r="AB262" s="1"/>
    </row>
    <row r="263" ht="23.25" customHeight="1">
      <c r="A263" s="1"/>
      <c r="B263" s="151" t="s">
        <v>425</v>
      </c>
      <c r="C263" s="152">
        <v>754613.0</v>
      </c>
      <c r="D263" s="153">
        <v>1.0</v>
      </c>
      <c r="E263" s="154">
        <f t="shared" si="15"/>
        <v>754613</v>
      </c>
      <c r="F263" s="155" t="s">
        <v>417</v>
      </c>
      <c r="G263" s="1"/>
      <c r="H263" s="1"/>
      <c r="I263" s="1"/>
      <c r="J263" s="1"/>
      <c r="K263" s="1"/>
      <c r="L263" s="1"/>
      <c r="M263" s="1"/>
      <c r="N263" s="1"/>
      <c r="O263" s="1"/>
      <c r="P263" s="1"/>
      <c r="Q263" s="1"/>
      <c r="R263" s="1"/>
      <c r="S263" s="1"/>
      <c r="T263" s="1"/>
      <c r="U263" s="1"/>
      <c r="V263" s="1"/>
      <c r="W263" s="1"/>
      <c r="X263" s="1"/>
      <c r="Y263" s="1"/>
      <c r="Z263" s="1"/>
      <c r="AA263" s="1"/>
      <c r="AB263" s="1"/>
    </row>
    <row r="264" ht="23.25" customHeight="1">
      <c r="A264" s="1"/>
      <c r="B264" s="151" t="s">
        <v>426</v>
      </c>
      <c r="C264" s="152">
        <v>653998.0</v>
      </c>
      <c r="D264" s="153">
        <v>1.0</v>
      </c>
      <c r="E264" s="154">
        <f t="shared" si="15"/>
        <v>653998</v>
      </c>
      <c r="F264" s="155" t="s">
        <v>417</v>
      </c>
      <c r="G264" s="1"/>
      <c r="H264" s="1"/>
      <c r="I264" s="1"/>
      <c r="J264" s="1"/>
      <c r="K264" s="1"/>
      <c r="L264" s="1"/>
      <c r="M264" s="1"/>
      <c r="N264" s="1"/>
      <c r="O264" s="1"/>
      <c r="P264" s="1"/>
      <c r="Q264" s="1"/>
      <c r="R264" s="1"/>
      <c r="S264" s="1"/>
      <c r="T264" s="1"/>
      <c r="U264" s="1"/>
      <c r="V264" s="1"/>
      <c r="W264" s="1"/>
      <c r="X264" s="1"/>
      <c r="Y264" s="1"/>
      <c r="Z264" s="1"/>
      <c r="AA264" s="1"/>
      <c r="AB264" s="1"/>
    </row>
    <row r="265" ht="23.25" customHeight="1">
      <c r="A265" s="1"/>
      <c r="B265" s="151" t="s">
        <v>427</v>
      </c>
      <c r="C265" s="152">
        <v>41691.0</v>
      </c>
      <c r="D265" s="153">
        <v>1.0</v>
      </c>
      <c r="E265" s="154">
        <f t="shared" si="15"/>
        <v>41691</v>
      </c>
      <c r="F265" s="157" t="s">
        <v>428</v>
      </c>
      <c r="G265" s="1"/>
      <c r="H265" s="1"/>
      <c r="I265" s="1"/>
      <c r="J265" s="1"/>
      <c r="K265" s="1"/>
      <c r="L265" s="1"/>
      <c r="M265" s="1"/>
      <c r="N265" s="1"/>
      <c r="O265" s="1"/>
      <c r="P265" s="1"/>
      <c r="Q265" s="1"/>
      <c r="R265" s="1"/>
      <c r="S265" s="1"/>
      <c r="T265" s="1"/>
      <c r="U265" s="1"/>
      <c r="V265" s="1"/>
      <c r="W265" s="1"/>
      <c r="X265" s="1"/>
      <c r="Y265" s="1"/>
      <c r="Z265" s="1"/>
      <c r="AA265" s="1"/>
      <c r="AB265" s="1"/>
    </row>
    <row r="266" ht="23.25" customHeight="1">
      <c r="A266" s="1"/>
      <c r="B266" s="151" t="s">
        <v>429</v>
      </c>
      <c r="C266" s="152">
        <v>1920000.0</v>
      </c>
      <c r="D266" s="153">
        <v>1.0</v>
      </c>
      <c r="E266" s="154">
        <f t="shared" si="15"/>
        <v>1920000</v>
      </c>
      <c r="F266" s="155" t="s">
        <v>430</v>
      </c>
      <c r="G266" s="1"/>
      <c r="H266" s="1"/>
      <c r="I266" s="1"/>
      <c r="J266" s="1"/>
      <c r="K266" s="1"/>
      <c r="L266" s="1"/>
      <c r="M266" s="1"/>
      <c r="N266" s="1"/>
      <c r="O266" s="1"/>
      <c r="P266" s="1"/>
      <c r="Q266" s="1"/>
      <c r="R266" s="1"/>
      <c r="S266" s="1"/>
      <c r="T266" s="1"/>
      <c r="U266" s="1"/>
      <c r="V266" s="1"/>
      <c r="W266" s="1"/>
      <c r="X266" s="1"/>
      <c r="Y266" s="1"/>
      <c r="Z266" s="1"/>
      <c r="AA266" s="1"/>
      <c r="AB266" s="1"/>
    </row>
    <row r="267" ht="23.25" customHeight="1">
      <c r="A267" s="1"/>
      <c r="B267" s="151" t="s">
        <v>431</v>
      </c>
      <c r="C267" s="152">
        <v>62000.0</v>
      </c>
      <c r="D267" s="153">
        <v>1.0</v>
      </c>
      <c r="E267" s="154">
        <f t="shared" si="15"/>
        <v>62000</v>
      </c>
      <c r="F267" s="155" t="s">
        <v>432</v>
      </c>
      <c r="G267" s="1"/>
      <c r="H267" s="1"/>
      <c r="I267" s="1"/>
      <c r="J267" s="1"/>
      <c r="K267" s="1"/>
      <c r="L267" s="1"/>
      <c r="M267" s="1"/>
      <c r="N267" s="1"/>
      <c r="O267" s="1"/>
      <c r="P267" s="1"/>
      <c r="Q267" s="1"/>
      <c r="R267" s="1"/>
      <c r="S267" s="1"/>
      <c r="T267" s="1"/>
      <c r="U267" s="1"/>
      <c r="V267" s="1"/>
      <c r="W267" s="1"/>
      <c r="X267" s="1"/>
      <c r="Y267" s="1"/>
      <c r="Z267" s="1"/>
      <c r="AA267" s="1"/>
      <c r="AB267" s="1"/>
    </row>
    <row r="268" ht="23.25" customHeight="1">
      <c r="A268" s="1"/>
      <c r="B268" s="151" t="s">
        <v>433</v>
      </c>
      <c r="C268" s="152">
        <v>32000.0</v>
      </c>
      <c r="D268" s="153">
        <v>1.0</v>
      </c>
      <c r="E268" s="154">
        <f t="shared" si="15"/>
        <v>32000</v>
      </c>
      <c r="F268" s="157" t="s">
        <v>434</v>
      </c>
      <c r="G268" s="1"/>
      <c r="H268" s="1"/>
      <c r="I268" s="1"/>
      <c r="J268" s="1"/>
      <c r="K268" s="1"/>
      <c r="L268" s="1"/>
      <c r="M268" s="1"/>
      <c r="N268" s="1"/>
      <c r="O268" s="1"/>
      <c r="P268" s="1"/>
      <c r="Q268" s="1"/>
      <c r="R268" s="1"/>
      <c r="S268" s="1"/>
      <c r="T268" s="1"/>
      <c r="U268" s="1"/>
      <c r="V268" s="1"/>
      <c r="W268" s="1"/>
      <c r="X268" s="1"/>
      <c r="Y268" s="1"/>
      <c r="Z268" s="1"/>
      <c r="AA268" s="1"/>
      <c r="AB268" s="1"/>
    </row>
    <row r="269" ht="23.25" customHeight="1">
      <c r="A269" s="1"/>
      <c r="B269" s="151" t="s">
        <v>435</v>
      </c>
      <c r="C269" s="158"/>
      <c r="D269" s="154"/>
      <c r="E269" s="154">
        <f t="shared" si="15"/>
        <v>0</v>
      </c>
      <c r="F269" s="155" t="s">
        <v>436</v>
      </c>
      <c r="G269" s="1"/>
      <c r="H269" s="1"/>
      <c r="I269" s="1"/>
      <c r="J269" s="1"/>
      <c r="K269" s="1"/>
      <c r="L269" s="1"/>
      <c r="M269" s="1"/>
      <c r="N269" s="1"/>
      <c r="O269" s="1"/>
      <c r="P269" s="1"/>
      <c r="Q269" s="1"/>
      <c r="R269" s="1"/>
      <c r="S269" s="1"/>
      <c r="T269" s="1"/>
      <c r="U269" s="1"/>
      <c r="V269" s="1"/>
      <c r="W269" s="1"/>
      <c r="X269" s="1"/>
      <c r="Y269" s="1"/>
      <c r="Z269" s="1"/>
      <c r="AA269" s="1"/>
      <c r="AB269" s="1"/>
    </row>
    <row r="270" ht="23.25" customHeight="1">
      <c r="A270" s="1"/>
      <c r="B270" s="159" t="s">
        <v>437</v>
      </c>
      <c r="C270" s="158"/>
      <c r="D270" s="154"/>
      <c r="E270" s="154">
        <f t="shared" si="15"/>
        <v>0</v>
      </c>
      <c r="F270" s="154"/>
      <c r="G270" s="1"/>
      <c r="H270" s="1"/>
      <c r="I270" s="1"/>
      <c r="J270" s="1"/>
      <c r="K270" s="1"/>
      <c r="L270" s="1"/>
      <c r="M270" s="1"/>
      <c r="N270" s="1"/>
      <c r="O270" s="1"/>
      <c r="P270" s="1"/>
      <c r="Q270" s="1"/>
      <c r="R270" s="1"/>
      <c r="S270" s="1"/>
      <c r="T270" s="1"/>
      <c r="U270" s="1"/>
      <c r="V270" s="1"/>
      <c r="W270" s="1"/>
      <c r="X270" s="1"/>
      <c r="Y270" s="1"/>
      <c r="Z270" s="1"/>
      <c r="AA270" s="1"/>
      <c r="AB270" s="1"/>
    </row>
    <row r="271" ht="23.25" customHeight="1">
      <c r="A271" s="1"/>
      <c r="B271" s="150" t="s">
        <v>438</v>
      </c>
      <c r="C271" s="47"/>
      <c r="D271" s="12"/>
      <c r="E271" s="160">
        <f>SUM(E259:E270)</f>
        <v>12132631.8</v>
      </c>
      <c r="F271" s="65" t="s">
        <v>5</v>
      </c>
      <c r="G271" s="1"/>
      <c r="H271" s="1"/>
      <c r="I271" s="1"/>
      <c r="J271" s="1"/>
      <c r="K271" s="1"/>
      <c r="L271" s="1"/>
      <c r="M271" s="1"/>
      <c r="N271" s="1"/>
      <c r="O271" s="1"/>
      <c r="P271" s="1"/>
      <c r="Q271" s="1"/>
      <c r="R271" s="1"/>
      <c r="S271" s="1"/>
      <c r="T271" s="1"/>
      <c r="U271" s="1"/>
      <c r="V271" s="1"/>
      <c r="W271" s="1"/>
      <c r="X271" s="1"/>
      <c r="Y271" s="1"/>
      <c r="Z271" s="1"/>
      <c r="AA271" s="1"/>
      <c r="AB271" s="1"/>
    </row>
    <row r="272" ht="23.25" customHeight="1">
      <c r="A272" s="1"/>
      <c r="B272" s="1"/>
      <c r="C272" s="34"/>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ht="23.25" customHeight="1">
      <c r="A273" s="1"/>
      <c r="B273" s="161" t="s">
        <v>439</v>
      </c>
      <c r="C273" s="47"/>
      <c r="D273" s="47"/>
      <c r="E273" s="47"/>
      <c r="F273" s="12"/>
      <c r="G273" s="1"/>
      <c r="H273" s="1"/>
      <c r="I273" s="1"/>
      <c r="J273" s="1"/>
      <c r="K273" s="1"/>
      <c r="L273" s="1"/>
      <c r="M273" s="1"/>
      <c r="N273" s="1"/>
      <c r="O273" s="1"/>
      <c r="P273" s="1"/>
      <c r="Q273" s="1"/>
      <c r="R273" s="1"/>
      <c r="S273" s="1"/>
      <c r="T273" s="1"/>
      <c r="U273" s="1"/>
      <c r="V273" s="1"/>
      <c r="W273" s="1"/>
      <c r="X273" s="1"/>
      <c r="Y273" s="1"/>
      <c r="Z273" s="1"/>
      <c r="AA273" s="1"/>
      <c r="AB273" s="1"/>
    </row>
    <row r="274">
      <c r="A274" s="1"/>
      <c r="B274" s="162" t="s">
        <v>440</v>
      </c>
      <c r="C274" s="49" t="s">
        <v>22</v>
      </c>
      <c r="D274" s="162" t="s">
        <v>23</v>
      </c>
      <c r="E274" s="162" t="s">
        <v>24</v>
      </c>
      <c r="F274" s="50" t="s">
        <v>25</v>
      </c>
      <c r="G274" s="9"/>
      <c r="H274" s="1"/>
      <c r="I274" s="1"/>
      <c r="J274" s="1"/>
      <c r="K274" s="1"/>
      <c r="L274" s="1"/>
      <c r="M274" s="1"/>
      <c r="N274" s="1"/>
      <c r="O274" s="1"/>
      <c r="P274" s="1"/>
      <c r="Q274" s="1"/>
      <c r="R274" s="1"/>
      <c r="S274" s="1"/>
      <c r="T274" s="1"/>
      <c r="U274" s="1"/>
      <c r="V274" s="1"/>
      <c r="W274" s="1"/>
      <c r="X274" s="1"/>
      <c r="Y274" s="1"/>
      <c r="Z274" s="1"/>
      <c r="AA274" s="1"/>
      <c r="AB274" s="1"/>
    </row>
    <row r="275" ht="23.25" customHeight="1">
      <c r="A275" s="1"/>
      <c r="B275" s="163" t="s">
        <v>441</v>
      </c>
      <c r="C275" s="164">
        <v>1207120.0</v>
      </c>
      <c r="D275" s="163">
        <v>1.0</v>
      </c>
      <c r="E275" s="163">
        <f t="shared" ref="E275:E278" si="16">C275*D275</f>
        <v>1207120</v>
      </c>
      <c r="F275" s="165"/>
      <c r="G275" s="1"/>
      <c r="H275" s="1"/>
      <c r="I275" s="1"/>
      <c r="J275" s="1"/>
      <c r="K275" s="1"/>
      <c r="L275" s="1"/>
      <c r="M275" s="1"/>
      <c r="N275" s="1"/>
      <c r="O275" s="1"/>
      <c r="P275" s="1"/>
      <c r="Q275" s="1"/>
      <c r="R275" s="1"/>
      <c r="S275" s="1"/>
      <c r="T275" s="1"/>
      <c r="U275" s="1"/>
      <c r="V275" s="1"/>
      <c r="W275" s="1"/>
      <c r="X275" s="1"/>
      <c r="Y275" s="1"/>
      <c r="Z275" s="1"/>
      <c r="AA275" s="1"/>
      <c r="AB275" s="1"/>
    </row>
    <row r="276" ht="42.0" customHeight="1">
      <c r="A276" s="1"/>
      <c r="B276" s="166" t="s">
        <v>442</v>
      </c>
      <c r="C276" s="167">
        <v>140000.0</v>
      </c>
      <c r="D276" s="166">
        <v>1.0</v>
      </c>
      <c r="E276" s="163">
        <f t="shared" si="16"/>
        <v>140000</v>
      </c>
      <c r="F276" s="168" t="s">
        <v>443</v>
      </c>
      <c r="G276" s="1"/>
      <c r="H276" s="1"/>
      <c r="I276" s="1"/>
      <c r="J276" s="1"/>
      <c r="K276" s="1"/>
      <c r="L276" s="1"/>
      <c r="M276" s="1"/>
      <c r="N276" s="1"/>
      <c r="O276" s="1"/>
      <c r="P276" s="1"/>
      <c r="Q276" s="1"/>
      <c r="R276" s="1"/>
      <c r="S276" s="1"/>
      <c r="T276" s="1"/>
      <c r="U276" s="1"/>
      <c r="V276" s="1"/>
      <c r="W276" s="1"/>
      <c r="X276" s="1"/>
      <c r="Y276" s="1"/>
      <c r="Z276" s="1"/>
      <c r="AA276" s="1"/>
      <c r="AB276" s="1"/>
    </row>
    <row r="277" ht="42.0" customHeight="1">
      <c r="A277" s="1"/>
      <c r="B277" s="166" t="s">
        <v>444</v>
      </c>
      <c r="C277" s="167">
        <f>3000*C2</f>
        <v>4350000</v>
      </c>
      <c r="D277" s="166">
        <v>2.0</v>
      </c>
      <c r="E277" s="163">
        <f t="shared" si="16"/>
        <v>8700000</v>
      </c>
      <c r="F277" s="168" t="s">
        <v>445</v>
      </c>
      <c r="G277" s="1"/>
      <c r="H277" s="1"/>
      <c r="I277" s="1"/>
      <c r="J277" s="1"/>
      <c r="K277" s="1"/>
      <c r="L277" s="1"/>
      <c r="M277" s="1"/>
      <c r="N277" s="1"/>
      <c r="O277" s="1"/>
      <c r="P277" s="1"/>
      <c r="Q277" s="1"/>
      <c r="R277" s="1"/>
      <c r="S277" s="1"/>
      <c r="T277" s="1"/>
      <c r="U277" s="1"/>
      <c r="V277" s="1"/>
      <c r="W277" s="1"/>
      <c r="X277" s="1"/>
      <c r="Y277" s="1"/>
      <c r="Z277" s="1"/>
      <c r="AA277" s="1"/>
      <c r="AB277" s="1"/>
    </row>
    <row r="278" ht="42.0" customHeight="1">
      <c r="A278" s="1"/>
      <c r="B278" s="166" t="s">
        <v>446</v>
      </c>
      <c r="C278" s="167">
        <v>500000.0</v>
      </c>
      <c r="D278" s="166">
        <v>1.0</v>
      </c>
      <c r="E278" s="169">
        <f t="shared" si="16"/>
        <v>500000</v>
      </c>
      <c r="F278" s="169"/>
      <c r="G278" s="1"/>
      <c r="H278" s="1"/>
      <c r="I278" s="1"/>
      <c r="J278" s="1"/>
      <c r="K278" s="1"/>
      <c r="L278" s="1"/>
      <c r="M278" s="1"/>
      <c r="N278" s="1"/>
      <c r="O278" s="1"/>
      <c r="P278" s="1"/>
      <c r="Q278" s="1"/>
      <c r="R278" s="1"/>
      <c r="S278" s="1"/>
      <c r="T278" s="1"/>
      <c r="U278" s="1"/>
      <c r="V278" s="1"/>
      <c r="W278" s="1"/>
      <c r="X278" s="1"/>
      <c r="Y278" s="1"/>
      <c r="Z278" s="1"/>
      <c r="AA278" s="1"/>
      <c r="AB278" s="1"/>
    </row>
    <row r="279" ht="23.25" customHeight="1">
      <c r="A279" s="1"/>
      <c r="B279" s="170" t="s">
        <v>447</v>
      </c>
      <c r="C279" s="47"/>
      <c r="D279" s="12"/>
      <c r="E279" s="171">
        <f>SUM(E275:E278)</f>
        <v>10547120</v>
      </c>
      <c r="F279" s="65" t="s">
        <v>5</v>
      </c>
      <c r="G279" s="1"/>
      <c r="H279" s="1"/>
      <c r="I279" s="1"/>
      <c r="J279" s="1"/>
      <c r="K279" s="1"/>
      <c r="L279" s="1"/>
      <c r="M279" s="1"/>
      <c r="N279" s="1"/>
      <c r="O279" s="1"/>
      <c r="P279" s="1"/>
      <c r="Q279" s="1"/>
      <c r="R279" s="1"/>
      <c r="S279" s="1"/>
      <c r="T279" s="1"/>
      <c r="U279" s="1"/>
      <c r="V279" s="1"/>
      <c r="W279" s="1"/>
      <c r="X279" s="1"/>
      <c r="Y279" s="1"/>
      <c r="Z279" s="1"/>
      <c r="AA279" s="1"/>
      <c r="AB279" s="1"/>
    </row>
    <row r="280" ht="23.25" customHeight="1">
      <c r="A280" s="1"/>
      <c r="B280" s="1"/>
      <c r="C280" s="34"/>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ht="23.25" customHeight="1">
      <c r="A281" s="1"/>
      <c r="B281" s="172" t="s">
        <v>12</v>
      </c>
      <c r="C281" s="47"/>
      <c r="D281" s="47"/>
      <c r="E281" s="12"/>
      <c r="F281" s="15" t="s">
        <v>448</v>
      </c>
      <c r="G281" s="1"/>
      <c r="H281" s="1"/>
      <c r="I281" s="1"/>
      <c r="J281" s="1"/>
      <c r="K281" s="1"/>
      <c r="L281" s="1"/>
      <c r="M281" s="1"/>
      <c r="N281" s="1"/>
      <c r="O281" s="1"/>
      <c r="P281" s="1"/>
      <c r="Q281" s="1"/>
      <c r="R281" s="1"/>
      <c r="S281" s="1"/>
      <c r="T281" s="1"/>
      <c r="U281" s="1"/>
      <c r="V281" s="1"/>
      <c r="W281" s="1"/>
      <c r="X281" s="1"/>
      <c r="Y281" s="1"/>
      <c r="Z281" s="1"/>
      <c r="AA281" s="1"/>
      <c r="AB281" s="1"/>
    </row>
    <row r="282" ht="38.25" customHeight="1">
      <c r="A282" s="1"/>
      <c r="B282" s="173" t="s">
        <v>449</v>
      </c>
      <c r="C282" s="47"/>
      <c r="D282" s="12"/>
      <c r="E282" s="174">
        <f>'6.6 Cashflow'!B71</f>
        <v>61549782</v>
      </c>
      <c r="F282" s="18"/>
      <c r="G282" s="1"/>
      <c r="H282" s="1"/>
      <c r="I282" s="1"/>
      <c r="J282" s="1"/>
      <c r="K282" s="1"/>
      <c r="L282" s="1"/>
      <c r="M282" s="1"/>
      <c r="N282" s="1"/>
      <c r="O282" s="1"/>
      <c r="P282" s="1"/>
      <c r="Q282" s="1"/>
      <c r="R282" s="1"/>
      <c r="S282" s="1"/>
      <c r="T282" s="1"/>
      <c r="U282" s="1"/>
      <c r="V282" s="1"/>
      <c r="W282" s="1"/>
      <c r="X282" s="1"/>
      <c r="Y282" s="1"/>
      <c r="Z282" s="1"/>
      <c r="AA282" s="1"/>
      <c r="AB282" s="1"/>
    </row>
    <row r="283" ht="23.25" customHeight="1">
      <c r="A283" s="1"/>
      <c r="B283" s="172" t="s">
        <v>450</v>
      </c>
      <c r="C283" s="47"/>
      <c r="D283" s="12"/>
      <c r="E283" s="175">
        <f>E282</f>
        <v>61549782</v>
      </c>
      <c r="F283" s="33"/>
      <c r="G283" s="1"/>
      <c r="H283" s="1"/>
      <c r="I283" s="1"/>
      <c r="J283" s="1"/>
      <c r="K283" s="1"/>
      <c r="L283" s="1"/>
      <c r="M283" s="1"/>
      <c r="N283" s="1"/>
      <c r="O283" s="1"/>
      <c r="P283" s="1"/>
      <c r="Q283" s="1"/>
      <c r="R283" s="1"/>
      <c r="S283" s="1"/>
      <c r="T283" s="1"/>
      <c r="U283" s="1"/>
      <c r="V283" s="1"/>
      <c r="W283" s="1"/>
      <c r="X283" s="1"/>
      <c r="Y283" s="1"/>
      <c r="Z283" s="1"/>
      <c r="AA283" s="1"/>
      <c r="AB283" s="1"/>
    </row>
    <row r="284" ht="23.25" customHeight="1">
      <c r="A284" s="1"/>
      <c r="B284" s="1"/>
      <c r="C284" s="34"/>
      <c r="D284" s="1"/>
      <c r="E284" s="58"/>
      <c r="F284" s="1"/>
      <c r="G284" s="1"/>
      <c r="H284" s="1"/>
      <c r="I284" s="1"/>
      <c r="J284" s="1"/>
      <c r="K284" s="1"/>
      <c r="L284" s="1"/>
      <c r="M284" s="1"/>
      <c r="N284" s="1"/>
      <c r="O284" s="1"/>
      <c r="P284" s="1"/>
      <c r="Q284" s="1"/>
      <c r="R284" s="1"/>
      <c r="S284" s="1"/>
      <c r="T284" s="1"/>
      <c r="U284" s="1"/>
      <c r="V284" s="1"/>
      <c r="W284" s="1"/>
      <c r="X284" s="1"/>
      <c r="Y284" s="1"/>
      <c r="Z284" s="1"/>
      <c r="AA284" s="1"/>
      <c r="AB284" s="1"/>
    </row>
    <row r="285" ht="23.25" customHeight="1">
      <c r="A285" s="1"/>
      <c r="B285" s="1"/>
      <c r="C285" s="34"/>
      <c r="D285" s="1"/>
      <c r="E285" s="58"/>
      <c r="F285" s="1"/>
      <c r="G285" s="1"/>
      <c r="H285" s="1"/>
      <c r="I285" s="1"/>
      <c r="J285" s="1"/>
      <c r="K285" s="1"/>
      <c r="L285" s="1"/>
      <c r="M285" s="1"/>
      <c r="N285" s="1"/>
      <c r="O285" s="1"/>
      <c r="P285" s="1"/>
      <c r="Q285" s="1"/>
      <c r="R285" s="1"/>
      <c r="S285" s="1"/>
      <c r="T285" s="1"/>
      <c r="U285" s="1"/>
      <c r="V285" s="1"/>
      <c r="W285" s="1"/>
      <c r="X285" s="1"/>
      <c r="Y285" s="1"/>
      <c r="Z285" s="1"/>
      <c r="AA285" s="1"/>
      <c r="AB285" s="1"/>
    </row>
    <row r="286" ht="23.25" customHeight="1">
      <c r="A286" s="1"/>
      <c r="B286" s="1"/>
      <c r="C286" s="34"/>
      <c r="D286" s="1"/>
      <c r="E286" s="58"/>
      <c r="F286" s="1"/>
      <c r="G286" s="1"/>
      <c r="H286" s="1"/>
      <c r="I286" s="1"/>
      <c r="J286" s="1"/>
      <c r="K286" s="1"/>
      <c r="L286" s="1"/>
      <c r="M286" s="1"/>
      <c r="N286" s="1"/>
      <c r="O286" s="1"/>
      <c r="P286" s="1"/>
      <c r="Q286" s="1"/>
      <c r="R286" s="1"/>
      <c r="S286" s="1"/>
      <c r="T286" s="1"/>
      <c r="U286" s="1"/>
      <c r="V286" s="1"/>
      <c r="W286" s="1"/>
      <c r="X286" s="1"/>
      <c r="Y286" s="1"/>
      <c r="Z286" s="1"/>
      <c r="AA286" s="1"/>
      <c r="AB286" s="1"/>
    </row>
    <row r="287" ht="23.25" customHeight="1">
      <c r="A287" s="1"/>
      <c r="B287" s="1"/>
      <c r="C287" s="34"/>
      <c r="D287" s="1"/>
      <c r="E287" s="58"/>
      <c r="F287" s="1"/>
      <c r="G287" s="1"/>
      <c r="H287" s="1"/>
      <c r="I287" s="1"/>
      <c r="J287" s="1"/>
      <c r="K287" s="1"/>
      <c r="L287" s="1"/>
      <c r="M287" s="1"/>
      <c r="N287" s="1"/>
      <c r="O287" s="1"/>
      <c r="P287" s="1"/>
      <c r="Q287" s="1"/>
      <c r="R287" s="1"/>
      <c r="S287" s="1"/>
      <c r="T287" s="1"/>
      <c r="U287" s="1"/>
      <c r="V287" s="1"/>
      <c r="W287" s="1"/>
      <c r="X287" s="1"/>
      <c r="Y287" s="1"/>
      <c r="Z287" s="1"/>
      <c r="AA287" s="1"/>
      <c r="AB287" s="1"/>
    </row>
    <row r="288" ht="23.25" customHeight="1">
      <c r="A288" s="1"/>
      <c r="B288" s="1"/>
      <c r="C288" s="34"/>
      <c r="D288" s="1"/>
      <c r="E288" s="58"/>
      <c r="F288" s="1"/>
      <c r="G288" s="1"/>
      <c r="H288" s="1"/>
      <c r="I288" s="1"/>
      <c r="J288" s="1"/>
      <c r="K288" s="1"/>
      <c r="L288" s="1"/>
      <c r="M288" s="1"/>
      <c r="N288" s="1"/>
      <c r="O288" s="1"/>
      <c r="P288" s="1"/>
      <c r="Q288" s="1"/>
      <c r="R288" s="1"/>
      <c r="S288" s="1"/>
      <c r="T288" s="1"/>
      <c r="U288" s="1"/>
      <c r="V288" s="1"/>
      <c r="W288" s="1"/>
      <c r="X288" s="1"/>
      <c r="Y288" s="1"/>
      <c r="Z288" s="1"/>
      <c r="AA288" s="1"/>
      <c r="AB288" s="1"/>
    </row>
    <row r="289" ht="23.25" customHeight="1">
      <c r="A289" s="1"/>
      <c r="B289" s="1"/>
      <c r="C289" s="34"/>
      <c r="D289" s="1"/>
      <c r="E289" s="58"/>
      <c r="F289" s="1"/>
      <c r="G289" s="1"/>
      <c r="H289" s="1"/>
      <c r="I289" s="1"/>
      <c r="J289" s="1"/>
      <c r="K289" s="1"/>
      <c r="L289" s="1"/>
      <c r="M289" s="1"/>
      <c r="N289" s="1"/>
      <c r="O289" s="1"/>
      <c r="P289" s="1"/>
      <c r="Q289" s="1"/>
      <c r="R289" s="1"/>
      <c r="S289" s="1"/>
      <c r="T289" s="1"/>
      <c r="U289" s="1"/>
      <c r="V289" s="1"/>
      <c r="W289" s="1"/>
      <c r="X289" s="1"/>
      <c r="Y289" s="1"/>
      <c r="Z289" s="1"/>
      <c r="AA289" s="1"/>
      <c r="AB289" s="1"/>
    </row>
    <row r="290" ht="23.25" customHeight="1">
      <c r="A290" s="1"/>
      <c r="B290" s="1"/>
      <c r="C290" s="34"/>
      <c r="D290" s="1"/>
      <c r="E290" s="58"/>
      <c r="F290" s="1"/>
      <c r="G290" s="1"/>
      <c r="H290" s="1"/>
      <c r="I290" s="1"/>
      <c r="J290" s="1"/>
      <c r="K290" s="1"/>
      <c r="L290" s="1"/>
      <c r="M290" s="1"/>
      <c r="N290" s="1"/>
      <c r="O290" s="1"/>
      <c r="P290" s="1"/>
      <c r="Q290" s="1"/>
      <c r="R290" s="1"/>
      <c r="S290" s="1"/>
      <c r="T290" s="1"/>
      <c r="U290" s="1"/>
      <c r="V290" s="1"/>
      <c r="W290" s="1"/>
      <c r="X290" s="1"/>
      <c r="Y290" s="1"/>
      <c r="Z290" s="1"/>
      <c r="AA290" s="1"/>
      <c r="AB290" s="1"/>
    </row>
    <row r="291" ht="23.25" customHeight="1">
      <c r="A291" s="1"/>
      <c r="B291" s="1"/>
      <c r="C291" s="34"/>
      <c r="D291" s="1"/>
      <c r="E291" s="58"/>
      <c r="F291" s="1"/>
      <c r="G291" s="1"/>
      <c r="H291" s="1"/>
      <c r="I291" s="1"/>
      <c r="J291" s="1"/>
      <c r="K291" s="1"/>
      <c r="L291" s="1"/>
      <c r="M291" s="1"/>
      <c r="N291" s="1"/>
      <c r="O291" s="1"/>
      <c r="P291" s="1"/>
      <c r="Q291" s="1"/>
      <c r="R291" s="1"/>
      <c r="S291" s="1"/>
      <c r="T291" s="1"/>
      <c r="U291" s="1"/>
      <c r="V291" s="1"/>
      <c r="W291" s="1"/>
      <c r="X291" s="1"/>
      <c r="Y291" s="1"/>
      <c r="Z291" s="1"/>
      <c r="AA291" s="1"/>
      <c r="AB291" s="1"/>
    </row>
    <row r="292" ht="23.25" customHeight="1">
      <c r="A292" s="1"/>
      <c r="B292" s="1"/>
      <c r="C292" s="34"/>
      <c r="D292" s="1"/>
      <c r="E292" s="58"/>
      <c r="F292" s="1"/>
      <c r="G292" s="1"/>
      <c r="H292" s="1"/>
      <c r="I292" s="1"/>
      <c r="J292" s="1"/>
      <c r="K292" s="1"/>
      <c r="L292" s="1"/>
      <c r="M292" s="1"/>
      <c r="N292" s="1"/>
      <c r="O292" s="1"/>
      <c r="P292" s="1"/>
      <c r="Q292" s="1"/>
      <c r="R292" s="1"/>
      <c r="S292" s="1"/>
      <c r="T292" s="1"/>
      <c r="U292" s="1"/>
      <c r="V292" s="1"/>
      <c r="W292" s="1"/>
      <c r="X292" s="1"/>
      <c r="Y292" s="1"/>
      <c r="Z292" s="1"/>
      <c r="AA292" s="1"/>
      <c r="AB292" s="1"/>
    </row>
    <row r="293" ht="23.25" customHeight="1">
      <c r="A293" s="1"/>
      <c r="B293" s="1"/>
      <c r="C293" s="34"/>
      <c r="D293" s="1"/>
      <c r="E293" s="58"/>
      <c r="F293" s="1"/>
      <c r="G293" s="1"/>
      <c r="H293" s="1"/>
      <c r="I293" s="1"/>
      <c r="J293" s="1"/>
      <c r="K293" s="1"/>
      <c r="L293" s="1"/>
      <c r="M293" s="1"/>
      <c r="N293" s="1"/>
      <c r="O293" s="1"/>
      <c r="P293" s="1"/>
      <c r="Q293" s="1"/>
      <c r="R293" s="1"/>
      <c r="S293" s="1"/>
      <c r="T293" s="1"/>
      <c r="U293" s="1"/>
      <c r="V293" s="1"/>
      <c r="W293" s="1"/>
      <c r="X293" s="1"/>
      <c r="Y293" s="1"/>
      <c r="Z293" s="1"/>
      <c r="AA293" s="1"/>
      <c r="AB293" s="1"/>
    </row>
    <row r="294" ht="23.25" customHeight="1">
      <c r="A294" s="1"/>
      <c r="B294" s="1"/>
      <c r="C294" s="34"/>
      <c r="D294" s="1"/>
      <c r="E294" s="58"/>
      <c r="F294" s="1"/>
      <c r="G294" s="1"/>
      <c r="H294" s="1"/>
      <c r="I294" s="1"/>
      <c r="J294" s="1"/>
      <c r="K294" s="1"/>
      <c r="L294" s="1"/>
      <c r="M294" s="1"/>
      <c r="N294" s="1"/>
      <c r="O294" s="1"/>
      <c r="P294" s="1"/>
      <c r="Q294" s="1"/>
      <c r="R294" s="1"/>
      <c r="S294" s="1"/>
      <c r="T294" s="1"/>
      <c r="U294" s="1"/>
      <c r="V294" s="1"/>
      <c r="W294" s="1"/>
      <c r="X294" s="1"/>
      <c r="Y294" s="1"/>
      <c r="Z294" s="1"/>
      <c r="AA294" s="1"/>
      <c r="AB294" s="1"/>
    </row>
    <row r="295" ht="23.25" customHeight="1">
      <c r="A295" s="1"/>
      <c r="B295" s="1"/>
      <c r="C295" s="34"/>
      <c r="D295" s="1"/>
      <c r="E295" s="58"/>
      <c r="F295" s="1"/>
      <c r="G295" s="1"/>
      <c r="H295" s="1"/>
      <c r="I295" s="1"/>
      <c r="J295" s="1"/>
      <c r="K295" s="1"/>
      <c r="L295" s="1"/>
      <c r="M295" s="1"/>
      <c r="N295" s="1"/>
      <c r="O295" s="1"/>
      <c r="P295" s="1"/>
      <c r="Q295" s="1"/>
      <c r="R295" s="1"/>
      <c r="S295" s="1"/>
      <c r="T295" s="1"/>
      <c r="U295" s="1"/>
      <c r="V295" s="1"/>
      <c r="W295" s="1"/>
      <c r="X295" s="1"/>
      <c r="Y295" s="1"/>
      <c r="Z295" s="1"/>
      <c r="AA295" s="1"/>
      <c r="AB295" s="1"/>
    </row>
    <row r="296" ht="23.25" customHeight="1">
      <c r="A296" s="1"/>
      <c r="B296" s="1"/>
      <c r="C296" s="34"/>
      <c r="D296" s="1"/>
      <c r="E296" s="58"/>
      <c r="F296" s="1"/>
      <c r="G296" s="1"/>
      <c r="H296" s="1"/>
      <c r="I296" s="1"/>
      <c r="J296" s="1"/>
      <c r="K296" s="1"/>
      <c r="L296" s="1"/>
      <c r="M296" s="1"/>
      <c r="N296" s="1"/>
      <c r="O296" s="1"/>
      <c r="P296" s="1"/>
      <c r="Q296" s="1"/>
      <c r="R296" s="1"/>
      <c r="S296" s="1"/>
      <c r="T296" s="1"/>
      <c r="U296" s="1"/>
      <c r="V296" s="1"/>
      <c r="W296" s="1"/>
      <c r="X296" s="1"/>
      <c r="Y296" s="1"/>
      <c r="Z296" s="1"/>
      <c r="AA296" s="1"/>
      <c r="AB296" s="1"/>
    </row>
    <row r="297" ht="23.25" customHeight="1">
      <c r="A297" s="1"/>
      <c r="B297" s="1"/>
      <c r="C297" s="34"/>
      <c r="D297" s="1"/>
      <c r="E297" s="58"/>
      <c r="F297" s="1"/>
      <c r="G297" s="1"/>
      <c r="H297" s="1"/>
      <c r="I297" s="1"/>
      <c r="J297" s="1"/>
      <c r="K297" s="1"/>
      <c r="L297" s="1"/>
      <c r="M297" s="1"/>
      <c r="N297" s="1"/>
      <c r="O297" s="1"/>
      <c r="P297" s="1"/>
      <c r="Q297" s="1"/>
      <c r="R297" s="1"/>
      <c r="S297" s="1"/>
      <c r="T297" s="1"/>
      <c r="U297" s="1"/>
      <c r="V297" s="1"/>
      <c r="W297" s="1"/>
      <c r="X297" s="1"/>
      <c r="Y297" s="1"/>
      <c r="Z297" s="1"/>
      <c r="AA297" s="1"/>
      <c r="AB297" s="1"/>
    </row>
    <row r="298" ht="23.25" customHeight="1">
      <c r="A298" s="1"/>
      <c r="B298" s="1"/>
      <c r="C298" s="34"/>
      <c r="D298" s="1"/>
      <c r="E298" s="58"/>
      <c r="F298" s="1"/>
      <c r="G298" s="1"/>
      <c r="H298" s="1"/>
      <c r="I298" s="1"/>
      <c r="J298" s="1"/>
      <c r="K298" s="1"/>
      <c r="L298" s="1"/>
      <c r="M298" s="1"/>
      <c r="N298" s="1"/>
      <c r="O298" s="1"/>
      <c r="P298" s="1"/>
      <c r="Q298" s="1"/>
      <c r="R298" s="1"/>
      <c r="S298" s="1"/>
      <c r="T298" s="1"/>
      <c r="U298" s="1"/>
      <c r="V298" s="1"/>
      <c r="W298" s="1"/>
      <c r="X298" s="1"/>
      <c r="Y298" s="1"/>
      <c r="Z298" s="1"/>
      <c r="AA298" s="1"/>
      <c r="AB298" s="1"/>
    </row>
    <row r="299" ht="23.25" customHeight="1">
      <c r="A299" s="1"/>
      <c r="B299" s="1"/>
      <c r="C299" s="34"/>
      <c r="D299" s="1"/>
      <c r="E299" s="58"/>
      <c r="F299" s="1"/>
      <c r="G299" s="1"/>
      <c r="H299" s="1"/>
      <c r="I299" s="1"/>
      <c r="J299" s="1"/>
      <c r="K299" s="1"/>
      <c r="L299" s="1"/>
      <c r="M299" s="1"/>
      <c r="N299" s="1"/>
      <c r="O299" s="1"/>
      <c r="P299" s="1"/>
      <c r="Q299" s="1"/>
      <c r="R299" s="1"/>
      <c r="S299" s="1"/>
      <c r="T299" s="1"/>
      <c r="U299" s="1"/>
      <c r="V299" s="1"/>
      <c r="W299" s="1"/>
      <c r="X299" s="1"/>
      <c r="Y299" s="1"/>
      <c r="Z299" s="1"/>
      <c r="AA299" s="1"/>
      <c r="AB299" s="1"/>
    </row>
    <row r="300" ht="23.25" customHeight="1">
      <c r="A300" s="1"/>
      <c r="B300" s="1"/>
      <c r="C300" s="34"/>
      <c r="D300" s="1"/>
      <c r="E300" s="58"/>
      <c r="F300" s="1"/>
      <c r="G300" s="1"/>
      <c r="H300" s="1"/>
      <c r="I300" s="1"/>
      <c r="J300" s="1"/>
      <c r="K300" s="1"/>
      <c r="L300" s="1"/>
      <c r="M300" s="1"/>
      <c r="N300" s="1"/>
      <c r="O300" s="1"/>
      <c r="P300" s="1"/>
      <c r="Q300" s="1"/>
      <c r="R300" s="1"/>
      <c r="S300" s="1"/>
      <c r="T300" s="1"/>
      <c r="U300" s="1"/>
      <c r="V300" s="1"/>
      <c r="W300" s="1"/>
      <c r="X300" s="1"/>
      <c r="Y300" s="1"/>
      <c r="Z300" s="1"/>
      <c r="AA300" s="1"/>
      <c r="AB300" s="1"/>
    </row>
    <row r="301" ht="23.25" customHeight="1">
      <c r="A301" s="1"/>
      <c r="B301" s="1"/>
      <c r="C301" s="34"/>
      <c r="D301" s="1"/>
      <c r="E301" s="58"/>
      <c r="F301" s="1"/>
      <c r="G301" s="1"/>
      <c r="H301" s="1"/>
      <c r="I301" s="1"/>
      <c r="J301" s="1"/>
      <c r="K301" s="1"/>
      <c r="L301" s="1"/>
      <c r="M301" s="1"/>
      <c r="N301" s="1"/>
      <c r="O301" s="1"/>
      <c r="P301" s="1"/>
      <c r="Q301" s="1"/>
      <c r="R301" s="1"/>
      <c r="S301" s="1"/>
      <c r="T301" s="1"/>
      <c r="U301" s="1"/>
      <c r="V301" s="1"/>
      <c r="W301" s="1"/>
      <c r="X301" s="1"/>
      <c r="Y301" s="1"/>
      <c r="Z301" s="1"/>
      <c r="AA301" s="1"/>
      <c r="AB301" s="1"/>
    </row>
    <row r="302" ht="23.25" customHeight="1">
      <c r="A302" s="1"/>
      <c r="B302" s="1"/>
      <c r="C302" s="34"/>
      <c r="D302" s="1"/>
      <c r="E302" s="58"/>
      <c r="F302" s="1"/>
      <c r="G302" s="1"/>
      <c r="H302" s="1"/>
      <c r="I302" s="1"/>
      <c r="J302" s="1"/>
      <c r="K302" s="1"/>
      <c r="L302" s="1"/>
      <c r="M302" s="1"/>
      <c r="N302" s="1"/>
      <c r="O302" s="1"/>
      <c r="P302" s="1"/>
      <c r="Q302" s="1"/>
      <c r="R302" s="1"/>
      <c r="S302" s="1"/>
      <c r="T302" s="1"/>
      <c r="U302" s="1"/>
      <c r="V302" s="1"/>
      <c r="W302" s="1"/>
      <c r="X302" s="1"/>
      <c r="Y302" s="1"/>
      <c r="Z302" s="1"/>
      <c r="AA302" s="1"/>
      <c r="AB302" s="1"/>
    </row>
    <row r="303" ht="23.25" customHeight="1">
      <c r="A303" s="1"/>
      <c r="B303" s="1"/>
      <c r="C303" s="34"/>
      <c r="D303" s="1"/>
      <c r="E303" s="58"/>
      <c r="F303" s="1"/>
      <c r="G303" s="1"/>
      <c r="H303" s="1"/>
      <c r="I303" s="1"/>
      <c r="J303" s="1"/>
      <c r="K303" s="1"/>
      <c r="L303" s="1"/>
      <c r="M303" s="1"/>
      <c r="N303" s="1"/>
      <c r="O303" s="1"/>
      <c r="P303" s="1"/>
      <c r="Q303" s="1"/>
      <c r="R303" s="1"/>
      <c r="S303" s="1"/>
      <c r="T303" s="1"/>
      <c r="U303" s="1"/>
      <c r="V303" s="1"/>
      <c r="W303" s="1"/>
      <c r="X303" s="1"/>
      <c r="Y303" s="1"/>
      <c r="Z303" s="1"/>
      <c r="AA303" s="1"/>
      <c r="AB303" s="1"/>
    </row>
    <row r="304" ht="23.25" customHeight="1">
      <c r="A304" s="1"/>
      <c r="B304" s="1"/>
      <c r="C304" s="34"/>
      <c r="D304" s="1"/>
      <c r="E304" s="58"/>
      <c r="F304" s="1"/>
      <c r="G304" s="1"/>
      <c r="H304" s="1"/>
      <c r="I304" s="1"/>
      <c r="J304" s="1"/>
      <c r="K304" s="1"/>
      <c r="L304" s="1"/>
      <c r="M304" s="1"/>
      <c r="N304" s="1"/>
      <c r="O304" s="1"/>
      <c r="P304" s="1"/>
      <c r="Q304" s="1"/>
      <c r="R304" s="1"/>
      <c r="S304" s="1"/>
      <c r="T304" s="1"/>
      <c r="U304" s="1"/>
      <c r="V304" s="1"/>
      <c r="W304" s="1"/>
      <c r="X304" s="1"/>
      <c r="Y304" s="1"/>
      <c r="Z304" s="1"/>
      <c r="AA304" s="1"/>
      <c r="AB304" s="1"/>
    </row>
    <row r="305" ht="23.25" customHeight="1">
      <c r="A305" s="1"/>
      <c r="B305" s="1"/>
      <c r="C305" s="34"/>
      <c r="D305" s="1"/>
      <c r="E305" s="58"/>
      <c r="F305" s="1"/>
      <c r="G305" s="1"/>
      <c r="H305" s="1"/>
      <c r="I305" s="1"/>
      <c r="J305" s="1"/>
      <c r="K305" s="1"/>
      <c r="L305" s="1"/>
      <c r="M305" s="1"/>
      <c r="N305" s="1"/>
      <c r="O305" s="1"/>
      <c r="P305" s="1"/>
      <c r="Q305" s="1"/>
      <c r="R305" s="1"/>
      <c r="S305" s="1"/>
      <c r="T305" s="1"/>
      <c r="U305" s="1"/>
      <c r="V305" s="1"/>
      <c r="W305" s="1"/>
      <c r="X305" s="1"/>
      <c r="Y305" s="1"/>
      <c r="Z305" s="1"/>
      <c r="AA305" s="1"/>
      <c r="AB305" s="1"/>
    </row>
    <row r="306" ht="23.25" customHeight="1">
      <c r="A306" s="1"/>
      <c r="B306" s="1"/>
      <c r="C306" s="34"/>
      <c r="D306" s="1"/>
      <c r="E306" s="58"/>
      <c r="F306" s="1"/>
      <c r="G306" s="1"/>
      <c r="H306" s="1"/>
      <c r="I306" s="1"/>
      <c r="J306" s="1"/>
      <c r="K306" s="1"/>
      <c r="L306" s="1"/>
      <c r="M306" s="1"/>
      <c r="N306" s="1"/>
      <c r="O306" s="1"/>
      <c r="P306" s="1"/>
      <c r="Q306" s="1"/>
      <c r="R306" s="1"/>
      <c r="S306" s="1"/>
      <c r="T306" s="1"/>
      <c r="U306" s="1"/>
      <c r="V306" s="1"/>
      <c r="W306" s="1"/>
      <c r="X306" s="1"/>
      <c r="Y306" s="1"/>
      <c r="Z306" s="1"/>
      <c r="AA306" s="1"/>
      <c r="AB306" s="1"/>
    </row>
    <row r="307" ht="23.25" customHeight="1">
      <c r="A307" s="1"/>
      <c r="B307" s="1"/>
      <c r="C307" s="34"/>
      <c r="D307" s="1"/>
      <c r="E307" s="58"/>
      <c r="F307" s="1"/>
      <c r="G307" s="1"/>
      <c r="H307" s="1"/>
      <c r="I307" s="1"/>
      <c r="J307" s="1"/>
      <c r="K307" s="1"/>
      <c r="L307" s="1"/>
      <c r="M307" s="1"/>
      <c r="N307" s="1"/>
      <c r="O307" s="1"/>
      <c r="P307" s="1"/>
      <c r="Q307" s="1"/>
      <c r="R307" s="1"/>
      <c r="S307" s="1"/>
      <c r="T307" s="1"/>
      <c r="U307" s="1"/>
      <c r="V307" s="1"/>
      <c r="W307" s="1"/>
      <c r="X307" s="1"/>
      <c r="Y307" s="1"/>
      <c r="Z307" s="1"/>
      <c r="AA307" s="1"/>
      <c r="AB307" s="1"/>
    </row>
    <row r="308" ht="23.25" customHeight="1">
      <c r="A308" s="1"/>
      <c r="B308" s="1"/>
      <c r="C308" s="34"/>
      <c r="D308" s="1"/>
      <c r="E308" s="58"/>
      <c r="F308" s="1"/>
      <c r="G308" s="1"/>
      <c r="H308" s="1"/>
      <c r="I308" s="1"/>
      <c r="J308" s="1"/>
      <c r="K308" s="1"/>
      <c r="L308" s="1"/>
      <c r="M308" s="1"/>
      <c r="N308" s="1"/>
      <c r="O308" s="1"/>
      <c r="P308" s="1"/>
      <c r="Q308" s="1"/>
      <c r="R308" s="1"/>
      <c r="S308" s="1"/>
      <c r="T308" s="1"/>
      <c r="U308" s="1"/>
      <c r="V308" s="1"/>
      <c r="W308" s="1"/>
      <c r="X308" s="1"/>
      <c r="Y308" s="1"/>
      <c r="Z308" s="1"/>
      <c r="AA308" s="1"/>
      <c r="AB308" s="1"/>
    </row>
    <row r="309" ht="23.25" customHeight="1">
      <c r="A309" s="1"/>
      <c r="B309" s="1"/>
      <c r="C309" s="34"/>
      <c r="D309" s="1"/>
      <c r="E309" s="58"/>
      <c r="F309" s="1"/>
      <c r="G309" s="1"/>
      <c r="H309" s="1"/>
      <c r="I309" s="1"/>
      <c r="J309" s="1"/>
      <c r="K309" s="1"/>
      <c r="L309" s="1"/>
      <c r="M309" s="1"/>
      <c r="N309" s="1"/>
      <c r="O309" s="1"/>
      <c r="P309" s="1"/>
      <c r="Q309" s="1"/>
      <c r="R309" s="1"/>
      <c r="S309" s="1"/>
      <c r="T309" s="1"/>
      <c r="U309" s="1"/>
      <c r="V309" s="1"/>
      <c r="W309" s="1"/>
      <c r="X309" s="1"/>
      <c r="Y309" s="1"/>
      <c r="Z309" s="1"/>
      <c r="AA309" s="1"/>
      <c r="AB309" s="1"/>
    </row>
    <row r="310" ht="23.25" customHeight="1">
      <c r="A310" s="1"/>
      <c r="B310" s="1"/>
      <c r="C310" s="34"/>
      <c r="D310" s="1"/>
      <c r="E310" s="58"/>
      <c r="F310" s="1"/>
      <c r="G310" s="1"/>
      <c r="H310" s="1"/>
      <c r="I310" s="1"/>
      <c r="J310" s="1"/>
      <c r="K310" s="1"/>
      <c r="L310" s="1"/>
      <c r="M310" s="1"/>
      <c r="N310" s="1"/>
      <c r="O310" s="1"/>
      <c r="P310" s="1"/>
      <c r="Q310" s="1"/>
      <c r="R310" s="1"/>
      <c r="S310" s="1"/>
      <c r="T310" s="1"/>
      <c r="U310" s="1"/>
      <c r="V310" s="1"/>
      <c r="W310" s="1"/>
      <c r="X310" s="1"/>
      <c r="Y310" s="1"/>
      <c r="Z310" s="1"/>
      <c r="AA310" s="1"/>
      <c r="AB310" s="1"/>
    </row>
    <row r="311" ht="23.25" customHeight="1">
      <c r="A311" s="1"/>
      <c r="B311" s="1"/>
      <c r="C311" s="34"/>
      <c r="D311" s="1"/>
      <c r="E311" s="58"/>
      <c r="F311" s="1"/>
      <c r="G311" s="1"/>
      <c r="H311" s="1"/>
      <c r="I311" s="1"/>
      <c r="J311" s="1"/>
      <c r="K311" s="1"/>
      <c r="L311" s="1"/>
      <c r="M311" s="1"/>
      <c r="N311" s="1"/>
      <c r="O311" s="1"/>
      <c r="P311" s="1"/>
      <c r="Q311" s="1"/>
      <c r="R311" s="1"/>
      <c r="S311" s="1"/>
      <c r="T311" s="1"/>
      <c r="U311" s="1"/>
      <c r="V311" s="1"/>
      <c r="W311" s="1"/>
      <c r="X311" s="1"/>
      <c r="Y311" s="1"/>
      <c r="Z311" s="1"/>
      <c r="AA311" s="1"/>
      <c r="AB311" s="1"/>
    </row>
    <row r="312" ht="23.25" customHeight="1">
      <c r="A312" s="1"/>
      <c r="B312" s="1"/>
      <c r="C312" s="34"/>
      <c r="D312" s="1"/>
      <c r="E312" s="58"/>
      <c r="F312" s="1"/>
      <c r="G312" s="1"/>
      <c r="H312" s="1"/>
      <c r="I312" s="1"/>
      <c r="J312" s="1"/>
      <c r="K312" s="1"/>
      <c r="L312" s="1"/>
      <c r="M312" s="1"/>
      <c r="N312" s="1"/>
      <c r="O312" s="1"/>
      <c r="P312" s="1"/>
      <c r="Q312" s="1"/>
      <c r="R312" s="1"/>
      <c r="S312" s="1"/>
      <c r="T312" s="1"/>
      <c r="U312" s="1"/>
      <c r="V312" s="1"/>
      <c r="W312" s="1"/>
      <c r="X312" s="1"/>
      <c r="Y312" s="1"/>
      <c r="Z312" s="1"/>
      <c r="AA312" s="1"/>
      <c r="AB312" s="1"/>
    </row>
    <row r="313" ht="23.25" customHeight="1">
      <c r="A313" s="1"/>
      <c r="B313" s="1"/>
      <c r="C313" s="34"/>
      <c r="D313" s="1"/>
      <c r="E313" s="58"/>
      <c r="F313" s="1"/>
      <c r="G313" s="1"/>
      <c r="H313" s="1"/>
      <c r="I313" s="1"/>
      <c r="J313" s="1"/>
      <c r="K313" s="1"/>
      <c r="L313" s="1"/>
      <c r="M313" s="1"/>
      <c r="N313" s="1"/>
      <c r="O313" s="1"/>
      <c r="P313" s="1"/>
      <c r="Q313" s="1"/>
      <c r="R313" s="1"/>
      <c r="S313" s="1"/>
      <c r="T313" s="1"/>
      <c r="U313" s="1"/>
      <c r="V313" s="1"/>
      <c r="W313" s="1"/>
      <c r="X313" s="1"/>
      <c r="Y313" s="1"/>
      <c r="Z313" s="1"/>
      <c r="AA313" s="1"/>
      <c r="AB313" s="1"/>
    </row>
    <row r="314" ht="23.25" customHeight="1">
      <c r="A314" s="1"/>
      <c r="B314" s="1"/>
      <c r="C314" s="34"/>
      <c r="D314" s="1"/>
      <c r="E314" s="58"/>
      <c r="F314" s="1"/>
      <c r="G314" s="1"/>
      <c r="H314" s="1"/>
      <c r="I314" s="1"/>
      <c r="J314" s="1"/>
      <c r="K314" s="1"/>
      <c r="L314" s="1"/>
      <c r="M314" s="1"/>
      <c r="N314" s="1"/>
      <c r="O314" s="1"/>
      <c r="P314" s="1"/>
      <c r="Q314" s="1"/>
      <c r="R314" s="1"/>
      <c r="S314" s="1"/>
      <c r="T314" s="1"/>
      <c r="U314" s="1"/>
      <c r="V314" s="1"/>
      <c r="W314" s="1"/>
      <c r="X314" s="1"/>
      <c r="Y314" s="1"/>
      <c r="Z314" s="1"/>
      <c r="AA314" s="1"/>
      <c r="AB314" s="1"/>
    </row>
    <row r="315" ht="23.25" customHeight="1">
      <c r="A315" s="1"/>
      <c r="B315" s="1"/>
      <c r="C315" s="34"/>
      <c r="D315" s="1"/>
      <c r="E315" s="58"/>
      <c r="F315" s="1"/>
      <c r="G315" s="1"/>
      <c r="H315" s="1"/>
      <c r="I315" s="1"/>
      <c r="J315" s="1"/>
      <c r="K315" s="1"/>
      <c r="L315" s="1"/>
      <c r="M315" s="1"/>
      <c r="N315" s="1"/>
      <c r="O315" s="1"/>
      <c r="P315" s="1"/>
      <c r="Q315" s="1"/>
      <c r="R315" s="1"/>
      <c r="S315" s="1"/>
      <c r="T315" s="1"/>
      <c r="U315" s="1"/>
      <c r="V315" s="1"/>
      <c r="W315" s="1"/>
      <c r="X315" s="1"/>
      <c r="Y315" s="1"/>
      <c r="Z315" s="1"/>
      <c r="AA315" s="1"/>
      <c r="AB315" s="1"/>
    </row>
    <row r="316" ht="23.25" customHeight="1">
      <c r="A316" s="1"/>
      <c r="B316" s="1"/>
      <c r="C316" s="34"/>
      <c r="D316" s="1"/>
      <c r="E316" s="58"/>
      <c r="F316" s="1"/>
      <c r="G316" s="1"/>
      <c r="H316" s="1"/>
      <c r="I316" s="1"/>
      <c r="J316" s="1"/>
      <c r="K316" s="1"/>
      <c r="L316" s="1"/>
      <c r="M316" s="1"/>
      <c r="N316" s="1"/>
      <c r="O316" s="1"/>
      <c r="P316" s="1"/>
      <c r="Q316" s="1"/>
      <c r="R316" s="1"/>
      <c r="S316" s="1"/>
      <c r="T316" s="1"/>
      <c r="U316" s="1"/>
      <c r="V316" s="1"/>
      <c r="W316" s="1"/>
      <c r="X316" s="1"/>
      <c r="Y316" s="1"/>
      <c r="Z316" s="1"/>
      <c r="AA316" s="1"/>
      <c r="AB316" s="1"/>
    </row>
    <row r="317" ht="23.25" customHeight="1">
      <c r="A317" s="1"/>
      <c r="B317" s="1"/>
      <c r="C317" s="34"/>
      <c r="D317" s="1"/>
      <c r="E317" s="58"/>
      <c r="F317" s="1"/>
      <c r="G317" s="1"/>
      <c r="H317" s="1"/>
      <c r="I317" s="1"/>
      <c r="J317" s="1"/>
      <c r="K317" s="1"/>
      <c r="L317" s="1"/>
      <c r="M317" s="1"/>
      <c r="N317" s="1"/>
      <c r="O317" s="1"/>
      <c r="P317" s="1"/>
      <c r="Q317" s="1"/>
      <c r="R317" s="1"/>
      <c r="S317" s="1"/>
      <c r="T317" s="1"/>
      <c r="U317" s="1"/>
      <c r="V317" s="1"/>
      <c r="W317" s="1"/>
      <c r="X317" s="1"/>
      <c r="Y317" s="1"/>
      <c r="Z317" s="1"/>
      <c r="AA317" s="1"/>
      <c r="AB317" s="1"/>
    </row>
    <row r="318" ht="23.25" customHeight="1">
      <c r="A318" s="1"/>
      <c r="B318" s="1"/>
      <c r="C318" s="34"/>
      <c r="D318" s="1"/>
      <c r="E318" s="58"/>
      <c r="F318" s="1"/>
      <c r="G318" s="1"/>
      <c r="H318" s="1"/>
      <c r="I318" s="1"/>
      <c r="J318" s="1"/>
      <c r="K318" s="1"/>
      <c r="L318" s="1"/>
      <c r="M318" s="1"/>
      <c r="N318" s="1"/>
      <c r="O318" s="1"/>
      <c r="P318" s="1"/>
      <c r="Q318" s="1"/>
      <c r="R318" s="1"/>
      <c r="S318" s="1"/>
      <c r="T318" s="1"/>
      <c r="U318" s="1"/>
      <c r="V318" s="1"/>
      <c r="W318" s="1"/>
      <c r="X318" s="1"/>
      <c r="Y318" s="1"/>
      <c r="Z318" s="1"/>
      <c r="AA318" s="1"/>
      <c r="AB318" s="1"/>
    </row>
    <row r="319" ht="23.25" customHeight="1">
      <c r="A319" s="1"/>
      <c r="B319" s="1"/>
      <c r="C319" s="34"/>
      <c r="D319" s="1"/>
      <c r="E319" s="58"/>
      <c r="F319" s="1"/>
      <c r="G319" s="1"/>
      <c r="H319" s="1"/>
      <c r="I319" s="1"/>
      <c r="J319" s="1"/>
      <c r="K319" s="1"/>
      <c r="L319" s="1"/>
      <c r="M319" s="1"/>
      <c r="N319" s="1"/>
      <c r="O319" s="1"/>
      <c r="P319" s="1"/>
      <c r="Q319" s="1"/>
      <c r="R319" s="1"/>
      <c r="S319" s="1"/>
      <c r="T319" s="1"/>
      <c r="U319" s="1"/>
      <c r="V319" s="1"/>
      <c r="W319" s="1"/>
      <c r="X319" s="1"/>
      <c r="Y319" s="1"/>
      <c r="Z319" s="1"/>
      <c r="AA319" s="1"/>
      <c r="AB319" s="1"/>
    </row>
    <row r="320" ht="23.25" customHeight="1">
      <c r="A320" s="1"/>
      <c r="B320" s="1"/>
      <c r="C320" s="34"/>
      <c r="D320" s="1"/>
      <c r="E320" s="58"/>
      <c r="F320" s="1"/>
      <c r="G320" s="1"/>
      <c r="H320" s="1"/>
      <c r="I320" s="1"/>
      <c r="J320" s="1"/>
      <c r="K320" s="1"/>
      <c r="L320" s="1"/>
      <c r="M320" s="1"/>
      <c r="N320" s="1"/>
      <c r="O320" s="1"/>
      <c r="P320" s="1"/>
      <c r="Q320" s="1"/>
      <c r="R320" s="1"/>
      <c r="S320" s="1"/>
      <c r="T320" s="1"/>
      <c r="U320" s="1"/>
      <c r="V320" s="1"/>
      <c r="W320" s="1"/>
      <c r="X320" s="1"/>
      <c r="Y320" s="1"/>
      <c r="Z320" s="1"/>
      <c r="AA320" s="1"/>
      <c r="AB320" s="1"/>
    </row>
    <row r="321" ht="23.25" customHeight="1">
      <c r="A321" s="1"/>
      <c r="B321" s="1"/>
      <c r="C321" s="34"/>
      <c r="D321" s="1"/>
      <c r="E321" s="58"/>
      <c r="F321" s="1"/>
      <c r="G321" s="1"/>
      <c r="H321" s="1"/>
      <c r="I321" s="1"/>
      <c r="J321" s="1"/>
      <c r="K321" s="1"/>
      <c r="L321" s="1"/>
      <c r="M321" s="1"/>
      <c r="N321" s="1"/>
      <c r="O321" s="1"/>
      <c r="P321" s="1"/>
      <c r="Q321" s="1"/>
      <c r="R321" s="1"/>
      <c r="S321" s="1"/>
      <c r="T321" s="1"/>
      <c r="U321" s="1"/>
      <c r="V321" s="1"/>
      <c r="W321" s="1"/>
      <c r="X321" s="1"/>
      <c r="Y321" s="1"/>
      <c r="Z321" s="1"/>
      <c r="AA321" s="1"/>
      <c r="AB321" s="1"/>
    </row>
    <row r="322" ht="23.25" customHeight="1">
      <c r="A322" s="1"/>
      <c r="B322" s="1"/>
      <c r="C322" s="34"/>
      <c r="D322" s="1"/>
      <c r="E322" s="58"/>
      <c r="F322" s="1"/>
      <c r="G322" s="1"/>
      <c r="H322" s="1"/>
      <c r="I322" s="1"/>
      <c r="J322" s="1"/>
      <c r="K322" s="1"/>
      <c r="L322" s="1"/>
      <c r="M322" s="1"/>
      <c r="N322" s="1"/>
      <c r="O322" s="1"/>
      <c r="P322" s="1"/>
      <c r="Q322" s="1"/>
      <c r="R322" s="1"/>
      <c r="S322" s="1"/>
      <c r="T322" s="1"/>
      <c r="U322" s="1"/>
      <c r="V322" s="1"/>
      <c r="W322" s="1"/>
      <c r="X322" s="1"/>
      <c r="Y322" s="1"/>
      <c r="Z322" s="1"/>
      <c r="AA322" s="1"/>
      <c r="AB322" s="1"/>
    </row>
    <row r="323" ht="23.25" customHeight="1">
      <c r="A323" s="1"/>
      <c r="B323" s="1"/>
      <c r="C323" s="34"/>
      <c r="D323" s="1"/>
      <c r="E323" s="58"/>
      <c r="F323" s="1"/>
      <c r="G323" s="1"/>
      <c r="H323" s="1"/>
      <c r="I323" s="1"/>
      <c r="J323" s="1"/>
      <c r="K323" s="1"/>
      <c r="L323" s="1"/>
      <c r="M323" s="1"/>
      <c r="N323" s="1"/>
      <c r="O323" s="1"/>
      <c r="P323" s="1"/>
      <c r="Q323" s="1"/>
      <c r="R323" s="1"/>
      <c r="S323" s="1"/>
      <c r="T323" s="1"/>
      <c r="U323" s="1"/>
      <c r="V323" s="1"/>
      <c r="W323" s="1"/>
      <c r="X323" s="1"/>
      <c r="Y323" s="1"/>
      <c r="Z323" s="1"/>
      <c r="AA323" s="1"/>
      <c r="AB323" s="1"/>
    </row>
    <row r="324" ht="23.25" customHeight="1">
      <c r="A324" s="1"/>
      <c r="B324" s="1"/>
      <c r="C324" s="34"/>
      <c r="D324" s="1"/>
      <c r="E324" s="58"/>
      <c r="F324" s="1"/>
      <c r="G324" s="1"/>
      <c r="H324" s="1"/>
      <c r="I324" s="1"/>
      <c r="J324" s="1"/>
      <c r="K324" s="1"/>
      <c r="L324" s="1"/>
      <c r="M324" s="1"/>
      <c r="N324" s="1"/>
      <c r="O324" s="1"/>
      <c r="P324" s="1"/>
      <c r="Q324" s="1"/>
      <c r="R324" s="1"/>
      <c r="S324" s="1"/>
      <c r="T324" s="1"/>
      <c r="U324" s="1"/>
      <c r="V324" s="1"/>
      <c r="W324" s="1"/>
      <c r="X324" s="1"/>
      <c r="Y324" s="1"/>
      <c r="Z324" s="1"/>
      <c r="AA324" s="1"/>
      <c r="AB324" s="1"/>
    </row>
    <row r="325" ht="23.25" customHeight="1">
      <c r="A325" s="1"/>
      <c r="B325" s="1"/>
      <c r="C325" s="34"/>
      <c r="D325" s="1"/>
      <c r="E325" s="58"/>
      <c r="F325" s="1"/>
      <c r="G325" s="1"/>
      <c r="H325" s="1"/>
      <c r="I325" s="1"/>
      <c r="J325" s="1"/>
      <c r="K325" s="1"/>
      <c r="L325" s="1"/>
      <c r="M325" s="1"/>
      <c r="N325" s="1"/>
      <c r="O325" s="1"/>
      <c r="P325" s="1"/>
      <c r="Q325" s="1"/>
      <c r="R325" s="1"/>
      <c r="S325" s="1"/>
      <c r="T325" s="1"/>
      <c r="U325" s="1"/>
      <c r="V325" s="1"/>
      <c r="W325" s="1"/>
      <c r="X325" s="1"/>
      <c r="Y325" s="1"/>
      <c r="Z325" s="1"/>
      <c r="AA325" s="1"/>
      <c r="AB325" s="1"/>
    </row>
    <row r="326" ht="23.25" customHeight="1">
      <c r="A326" s="1"/>
      <c r="B326" s="1"/>
      <c r="C326" s="34"/>
      <c r="D326" s="1"/>
      <c r="E326" s="58"/>
      <c r="F326" s="1"/>
      <c r="G326" s="1"/>
      <c r="H326" s="1"/>
      <c r="I326" s="1"/>
      <c r="J326" s="1"/>
      <c r="K326" s="1"/>
      <c r="L326" s="1"/>
      <c r="M326" s="1"/>
      <c r="N326" s="1"/>
      <c r="O326" s="1"/>
      <c r="P326" s="1"/>
      <c r="Q326" s="1"/>
      <c r="R326" s="1"/>
      <c r="S326" s="1"/>
      <c r="T326" s="1"/>
      <c r="U326" s="1"/>
      <c r="V326" s="1"/>
      <c r="W326" s="1"/>
      <c r="X326" s="1"/>
      <c r="Y326" s="1"/>
      <c r="Z326" s="1"/>
      <c r="AA326" s="1"/>
      <c r="AB326" s="1"/>
    </row>
    <row r="327" ht="23.25" customHeight="1">
      <c r="A327" s="1"/>
      <c r="B327" s="1"/>
      <c r="C327" s="34"/>
      <c r="D327" s="1"/>
      <c r="E327" s="58"/>
      <c r="F327" s="1"/>
      <c r="G327" s="1"/>
      <c r="H327" s="1"/>
      <c r="I327" s="1"/>
      <c r="J327" s="1"/>
      <c r="K327" s="1"/>
      <c r="L327" s="1"/>
      <c r="M327" s="1"/>
      <c r="N327" s="1"/>
      <c r="O327" s="1"/>
      <c r="P327" s="1"/>
      <c r="Q327" s="1"/>
      <c r="R327" s="1"/>
      <c r="S327" s="1"/>
      <c r="T327" s="1"/>
      <c r="U327" s="1"/>
      <c r="V327" s="1"/>
      <c r="W327" s="1"/>
      <c r="X327" s="1"/>
      <c r="Y327" s="1"/>
      <c r="Z327" s="1"/>
      <c r="AA327" s="1"/>
      <c r="AB327" s="1"/>
    </row>
    <row r="328" ht="23.25" customHeight="1">
      <c r="A328" s="1"/>
      <c r="B328" s="1"/>
      <c r="C328" s="34"/>
      <c r="D328" s="1"/>
      <c r="E328" s="58"/>
      <c r="F328" s="1"/>
      <c r="G328" s="1"/>
      <c r="H328" s="1"/>
      <c r="I328" s="1"/>
      <c r="J328" s="1"/>
      <c r="K328" s="1"/>
      <c r="L328" s="1"/>
      <c r="M328" s="1"/>
      <c r="N328" s="1"/>
      <c r="O328" s="1"/>
      <c r="P328" s="1"/>
      <c r="Q328" s="1"/>
      <c r="R328" s="1"/>
      <c r="S328" s="1"/>
      <c r="T328" s="1"/>
      <c r="U328" s="1"/>
      <c r="V328" s="1"/>
      <c r="W328" s="1"/>
      <c r="X328" s="1"/>
      <c r="Y328" s="1"/>
      <c r="Z328" s="1"/>
      <c r="AA328" s="1"/>
      <c r="AB328" s="1"/>
    </row>
    <row r="329" ht="23.25" customHeight="1">
      <c r="A329" s="1"/>
      <c r="B329" s="1"/>
      <c r="C329" s="34"/>
      <c r="D329" s="1"/>
      <c r="E329" s="58"/>
      <c r="F329" s="1"/>
      <c r="G329" s="1"/>
      <c r="H329" s="1"/>
      <c r="I329" s="1"/>
      <c r="J329" s="1"/>
      <c r="K329" s="1"/>
      <c r="L329" s="1"/>
      <c r="M329" s="1"/>
      <c r="N329" s="1"/>
      <c r="O329" s="1"/>
      <c r="P329" s="1"/>
      <c r="Q329" s="1"/>
      <c r="R329" s="1"/>
      <c r="S329" s="1"/>
      <c r="T329" s="1"/>
      <c r="U329" s="1"/>
      <c r="V329" s="1"/>
      <c r="W329" s="1"/>
      <c r="X329" s="1"/>
      <c r="Y329" s="1"/>
      <c r="Z329" s="1"/>
      <c r="AA329" s="1"/>
      <c r="AB329" s="1"/>
    </row>
    <row r="330" ht="23.25" customHeight="1">
      <c r="A330" s="1"/>
      <c r="B330" s="1"/>
      <c r="C330" s="34"/>
      <c r="D330" s="1"/>
      <c r="E330" s="58"/>
      <c r="F330" s="1"/>
      <c r="G330" s="1"/>
      <c r="H330" s="1"/>
      <c r="I330" s="1"/>
      <c r="J330" s="1"/>
      <c r="K330" s="1"/>
      <c r="L330" s="1"/>
      <c r="M330" s="1"/>
      <c r="N330" s="1"/>
      <c r="O330" s="1"/>
      <c r="P330" s="1"/>
      <c r="Q330" s="1"/>
      <c r="R330" s="1"/>
      <c r="S330" s="1"/>
      <c r="T330" s="1"/>
      <c r="U330" s="1"/>
      <c r="V330" s="1"/>
      <c r="W330" s="1"/>
      <c r="X330" s="1"/>
      <c r="Y330" s="1"/>
      <c r="Z330" s="1"/>
      <c r="AA330" s="1"/>
      <c r="AB330" s="1"/>
    </row>
    <row r="331" ht="23.25" customHeight="1">
      <c r="A331" s="1"/>
      <c r="B331" s="1"/>
      <c r="C331" s="34"/>
      <c r="D331" s="1"/>
      <c r="E331" s="58"/>
      <c r="F331" s="1"/>
      <c r="G331" s="1"/>
      <c r="H331" s="1"/>
      <c r="I331" s="1"/>
      <c r="J331" s="1"/>
      <c r="K331" s="1"/>
      <c r="L331" s="1"/>
      <c r="M331" s="1"/>
      <c r="N331" s="1"/>
      <c r="O331" s="1"/>
      <c r="P331" s="1"/>
      <c r="Q331" s="1"/>
      <c r="R331" s="1"/>
      <c r="S331" s="1"/>
      <c r="T331" s="1"/>
      <c r="U331" s="1"/>
      <c r="V331" s="1"/>
      <c r="W331" s="1"/>
      <c r="X331" s="1"/>
      <c r="Y331" s="1"/>
      <c r="Z331" s="1"/>
      <c r="AA331" s="1"/>
      <c r="AB331" s="1"/>
    </row>
    <row r="332" ht="23.25" customHeight="1">
      <c r="A332" s="1"/>
      <c r="B332" s="1"/>
      <c r="C332" s="34"/>
      <c r="D332" s="1"/>
      <c r="E332" s="58"/>
      <c r="F332" s="1"/>
      <c r="G332" s="1"/>
      <c r="H332" s="1"/>
      <c r="I332" s="1"/>
      <c r="J332" s="1"/>
      <c r="K332" s="1"/>
      <c r="L332" s="1"/>
      <c r="M332" s="1"/>
      <c r="N332" s="1"/>
      <c r="O332" s="1"/>
      <c r="P332" s="1"/>
      <c r="Q332" s="1"/>
      <c r="R332" s="1"/>
      <c r="S332" s="1"/>
      <c r="T332" s="1"/>
      <c r="U332" s="1"/>
      <c r="V332" s="1"/>
      <c r="W332" s="1"/>
      <c r="X332" s="1"/>
      <c r="Y332" s="1"/>
      <c r="Z332" s="1"/>
      <c r="AA332" s="1"/>
      <c r="AB332" s="1"/>
    </row>
    <row r="333" ht="23.25" customHeight="1">
      <c r="A333" s="1"/>
      <c r="B333" s="1"/>
      <c r="C333" s="34"/>
      <c r="D333" s="1"/>
      <c r="E333" s="58"/>
      <c r="F333" s="1"/>
      <c r="G333" s="1"/>
      <c r="H333" s="1"/>
      <c r="I333" s="1"/>
      <c r="J333" s="1"/>
      <c r="K333" s="1"/>
      <c r="L333" s="1"/>
      <c r="M333" s="1"/>
      <c r="N333" s="1"/>
      <c r="O333" s="1"/>
      <c r="P333" s="1"/>
      <c r="Q333" s="1"/>
      <c r="R333" s="1"/>
      <c r="S333" s="1"/>
      <c r="T333" s="1"/>
      <c r="U333" s="1"/>
      <c r="V333" s="1"/>
      <c r="W333" s="1"/>
      <c r="X333" s="1"/>
      <c r="Y333" s="1"/>
      <c r="Z333" s="1"/>
      <c r="AA333" s="1"/>
      <c r="AB333" s="1"/>
    </row>
    <row r="334" ht="23.25" customHeight="1">
      <c r="A334" s="1"/>
      <c r="B334" s="1"/>
      <c r="C334" s="34"/>
      <c r="D334" s="1"/>
      <c r="E334" s="58"/>
      <c r="F334" s="1"/>
      <c r="G334" s="1"/>
      <c r="H334" s="1"/>
      <c r="I334" s="1"/>
      <c r="J334" s="1"/>
      <c r="K334" s="1"/>
      <c r="L334" s="1"/>
      <c r="M334" s="1"/>
      <c r="N334" s="1"/>
      <c r="O334" s="1"/>
      <c r="P334" s="1"/>
      <c r="Q334" s="1"/>
      <c r="R334" s="1"/>
      <c r="S334" s="1"/>
      <c r="T334" s="1"/>
      <c r="U334" s="1"/>
      <c r="V334" s="1"/>
      <c r="W334" s="1"/>
      <c r="X334" s="1"/>
      <c r="Y334" s="1"/>
      <c r="Z334" s="1"/>
      <c r="AA334" s="1"/>
      <c r="AB334" s="1"/>
    </row>
    <row r="335" ht="23.25" customHeight="1">
      <c r="A335" s="1"/>
      <c r="B335" s="1"/>
      <c r="C335" s="34"/>
      <c r="D335" s="1"/>
      <c r="E335" s="58"/>
      <c r="F335" s="1"/>
      <c r="G335" s="1"/>
      <c r="H335" s="1"/>
      <c r="I335" s="1"/>
      <c r="J335" s="1"/>
      <c r="K335" s="1"/>
      <c r="L335" s="1"/>
      <c r="M335" s="1"/>
      <c r="N335" s="1"/>
      <c r="O335" s="1"/>
      <c r="P335" s="1"/>
      <c r="Q335" s="1"/>
      <c r="R335" s="1"/>
      <c r="S335" s="1"/>
      <c r="T335" s="1"/>
      <c r="U335" s="1"/>
      <c r="V335" s="1"/>
      <c r="W335" s="1"/>
      <c r="X335" s="1"/>
      <c r="Y335" s="1"/>
      <c r="Z335" s="1"/>
      <c r="AA335" s="1"/>
      <c r="AB335" s="1"/>
    </row>
    <row r="336" ht="23.25" customHeight="1">
      <c r="A336" s="1"/>
      <c r="B336" s="1"/>
      <c r="C336" s="34"/>
      <c r="D336" s="1"/>
      <c r="E336" s="58"/>
      <c r="F336" s="1"/>
      <c r="G336" s="1"/>
      <c r="H336" s="1"/>
      <c r="I336" s="1"/>
      <c r="J336" s="1"/>
      <c r="K336" s="1"/>
      <c r="L336" s="1"/>
      <c r="M336" s="1"/>
      <c r="N336" s="1"/>
      <c r="O336" s="1"/>
      <c r="P336" s="1"/>
      <c r="Q336" s="1"/>
      <c r="R336" s="1"/>
      <c r="S336" s="1"/>
      <c r="T336" s="1"/>
      <c r="U336" s="1"/>
      <c r="V336" s="1"/>
      <c r="W336" s="1"/>
      <c r="X336" s="1"/>
      <c r="Y336" s="1"/>
      <c r="Z336" s="1"/>
      <c r="AA336" s="1"/>
      <c r="AB336" s="1"/>
    </row>
    <row r="337" ht="23.25" customHeight="1">
      <c r="A337" s="1"/>
      <c r="B337" s="1"/>
      <c r="C337" s="34"/>
      <c r="D337" s="1"/>
      <c r="E337" s="58"/>
      <c r="F337" s="1"/>
      <c r="G337" s="1"/>
      <c r="H337" s="1"/>
      <c r="I337" s="1"/>
      <c r="J337" s="1"/>
      <c r="K337" s="1"/>
      <c r="L337" s="1"/>
      <c r="M337" s="1"/>
      <c r="N337" s="1"/>
      <c r="O337" s="1"/>
      <c r="P337" s="1"/>
      <c r="Q337" s="1"/>
      <c r="R337" s="1"/>
      <c r="S337" s="1"/>
      <c r="T337" s="1"/>
      <c r="U337" s="1"/>
      <c r="V337" s="1"/>
      <c r="W337" s="1"/>
      <c r="X337" s="1"/>
      <c r="Y337" s="1"/>
      <c r="Z337" s="1"/>
      <c r="AA337" s="1"/>
      <c r="AB337" s="1"/>
    </row>
    <row r="338" ht="23.25" customHeight="1">
      <c r="A338" s="1"/>
      <c r="B338" s="1"/>
      <c r="C338" s="34"/>
      <c r="D338" s="1"/>
      <c r="E338" s="58"/>
      <c r="F338" s="1"/>
      <c r="G338" s="1"/>
      <c r="H338" s="1"/>
      <c r="I338" s="1"/>
      <c r="J338" s="1"/>
      <c r="K338" s="1"/>
      <c r="L338" s="1"/>
      <c r="M338" s="1"/>
      <c r="N338" s="1"/>
      <c r="O338" s="1"/>
      <c r="P338" s="1"/>
      <c r="Q338" s="1"/>
      <c r="R338" s="1"/>
      <c r="S338" s="1"/>
      <c r="T338" s="1"/>
      <c r="U338" s="1"/>
      <c r="V338" s="1"/>
      <c r="W338" s="1"/>
      <c r="X338" s="1"/>
      <c r="Y338" s="1"/>
      <c r="Z338" s="1"/>
      <c r="AA338" s="1"/>
      <c r="AB338" s="1"/>
    </row>
    <row r="339" ht="23.25" customHeight="1">
      <c r="A339" s="1"/>
      <c r="B339" s="1"/>
      <c r="C339" s="34"/>
      <c r="D339" s="1"/>
      <c r="E339" s="58"/>
      <c r="F339" s="1"/>
      <c r="G339" s="1"/>
      <c r="H339" s="1"/>
      <c r="I339" s="1"/>
      <c r="J339" s="1"/>
      <c r="K339" s="1"/>
      <c r="L339" s="1"/>
      <c r="M339" s="1"/>
      <c r="N339" s="1"/>
      <c r="O339" s="1"/>
      <c r="P339" s="1"/>
      <c r="Q339" s="1"/>
      <c r="R339" s="1"/>
      <c r="S339" s="1"/>
      <c r="T339" s="1"/>
      <c r="U339" s="1"/>
      <c r="V339" s="1"/>
      <c r="W339" s="1"/>
      <c r="X339" s="1"/>
      <c r="Y339" s="1"/>
      <c r="Z339" s="1"/>
      <c r="AA339" s="1"/>
      <c r="AB339" s="1"/>
    </row>
    <row r="340" ht="23.25" customHeight="1">
      <c r="A340" s="1"/>
      <c r="B340" s="1"/>
      <c r="C340" s="34"/>
      <c r="D340" s="1"/>
      <c r="E340" s="58"/>
      <c r="F340" s="1"/>
      <c r="G340" s="1"/>
      <c r="H340" s="1"/>
      <c r="I340" s="1"/>
      <c r="J340" s="1"/>
      <c r="K340" s="1"/>
      <c r="L340" s="1"/>
      <c r="M340" s="1"/>
      <c r="N340" s="1"/>
      <c r="O340" s="1"/>
      <c r="P340" s="1"/>
      <c r="Q340" s="1"/>
      <c r="R340" s="1"/>
      <c r="S340" s="1"/>
      <c r="T340" s="1"/>
      <c r="U340" s="1"/>
      <c r="V340" s="1"/>
      <c r="W340" s="1"/>
      <c r="X340" s="1"/>
      <c r="Y340" s="1"/>
      <c r="Z340" s="1"/>
      <c r="AA340" s="1"/>
      <c r="AB340" s="1"/>
    </row>
    <row r="341" ht="23.25" customHeight="1">
      <c r="A341" s="1"/>
      <c r="B341" s="1"/>
      <c r="C341" s="34"/>
      <c r="D341" s="1"/>
      <c r="E341" s="58"/>
      <c r="F341" s="1"/>
      <c r="G341" s="1"/>
      <c r="H341" s="1"/>
      <c r="I341" s="1"/>
      <c r="J341" s="1"/>
      <c r="K341" s="1"/>
      <c r="L341" s="1"/>
      <c r="M341" s="1"/>
      <c r="N341" s="1"/>
      <c r="O341" s="1"/>
      <c r="P341" s="1"/>
      <c r="Q341" s="1"/>
      <c r="R341" s="1"/>
      <c r="S341" s="1"/>
      <c r="T341" s="1"/>
      <c r="U341" s="1"/>
      <c r="V341" s="1"/>
      <c r="W341" s="1"/>
      <c r="X341" s="1"/>
      <c r="Y341" s="1"/>
      <c r="Z341" s="1"/>
      <c r="AA341" s="1"/>
      <c r="AB341" s="1"/>
    </row>
    <row r="342" ht="23.25" customHeight="1">
      <c r="A342" s="1"/>
      <c r="B342" s="1"/>
      <c r="C342" s="34"/>
      <c r="D342" s="1"/>
      <c r="E342" s="58"/>
      <c r="F342" s="1"/>
      <c r="G342" s="1"/>
      <c r="H342" s="1"/>
      <c r="I342" s="1"/>
      <c r="J342" s="1"/>
      <c r="K342" s="1"/>
      <c r="L342" s="1"/>
      <c r="M342" s="1"/>
      <c r="N342" s="1"/>
      <c r="O342" s="1"/>
      <c r="P342" s="1"/>
      <c r="Q342" s="1"/>
      <c r="R342" s="1"/>
      <c r="S342" s="1"/>
      <c r="T342" s="1"/>
      <c r="U342" s="1"/>
      <c r="V342" s="1"/>
      <c r="W342" s="1"/>
      <c r="X342" s="1"/>
      <c r="Y342" s="1"/>
      <c r="Z342" s="1"/>
      <c r="AA342" s="1"/>
      <c r="AB342" s="1"/>
    </row>
    <row r="343" ht="23.25" customHeight="1">
      <c r="A343" s="1"/>
      <c r="B343" s="1"/>
      <c r="C343" s="34"/>
      <c r="D343" s="1"/>
      <c r="E343" s="58"/>
      <c r="F343" s="1"/>
      <c r="G343" s="1"/>
      <c r="H343" s="1"/>
      <c r="I343" s="1"/>
      <c r="J343" s="1"/>
      <c r="K343" s="1"/>
      <c r="L343" s="1"/>
      <c r="M343" s="1"/>
      <c r="N343" s="1"/>
      <c r="O343" s="1"/>
      <c r="P343" s="1"/>
      <c r="Q343" s="1"/>
      <c r="R343" s="1"/>
      <c r="S343" s="1"/>
      <c r="T343" s="1"/>
      <c r="U343" s="1"/>
      <c r="V343" s="1"/>
      <c r="W343" s="1"/>
      <c r="X343" s="1"/>
      <c r="Y343" s="1"/>
      <c r="Z343" s="1"/>
      <c r="AA343" s="1"/>
      <c r="AB343" s="1"/>
    </row>
    <row r="344" ht="23.25" customHeight="1">
      <c r="A344" s="1"/>
      <c r="B344" s="1"/>
      <c r="C344" s="34"/>
      <c r="D344" s="1"/>
      <c r="E344" s="58"/>
      <c r="F344" s="1"/>
      <c r="G344" s="1"/>
      <c r="H344" s="1"/>
      <c r="I344" s="1"/>
      <c r="J344" s="1"/>
      <c r="K344" s="1"/>
      <c r="L344" s="1"/>
      <c r="M344" s="1"/>
      <c r="N344" s="1"/>
      <c r="O344" s="1"/>
      <c r="P344" s="1"/>
      <c r="Q344" s="1"/>
      <c r="R344" s="1"/>
      <c r="S344" s="1"/>
      <c r="T344" s="1"/>
      <c r="U344" s="1"/>
      <c r="V344" s="1"/>
      <c r="W344" s="1"/>
      <c r="X344" s="1"/>
      <c r="Y344" s="1"/>
      <c r="Z344" s="1"/>
      <c r="AA344" s="1"/>
      <c r="AB344" s="1"/>
    </row>
    <row r="345" ht="23.25" customHeight="1">
      <c r="A345" s="1"/>
      <c r="B345" s="1"/>
      <c r="C345" s="34"/>
      <c r="D345" s="1"/>
      <c r="E345" s="58"/>
      <c r="F345" s="1"/>
      <c r="G345" s="1"/>
      <c r="H345" s="1"/>
      <c r="I345" s="1"/>
      <c r="J345" s="1"/>
      <c r="K345" s="1"/>
      <c r="L345" s="1"/>
      <c r="M345" s="1"/>
      <c r="N345" s="1"/>
      <c r="O345" s="1"/>
      <c r="P345" s="1"/>
      <c r="Q345" s="1"/>
      <c r="R345" s="1"/>
      <c r="S345" s="1"/>
      <c r="T345" s="1"/>
      <c r="U345" s="1"/>
      <c r="V345" s="1"/>
      <c r="W345" s="1"/>
      <c r="X345" s="1"/>
      <c r="Y345" s="1"/>
      <c r="Z345" s="1"/>
      <c r="AA345" s="1"/>
      <c r="AB345" s="1"/>
    </row>
    <row r="346" ht="23.25" customHeight="1">
      <c r="A346" s="1"/>
      <c r="B346" s="1"/>
      <c r="C346" s="34"/>
      <c r="D346" s="1"/>
      <c r="E346" s="58"/>
      <c r="F346" s="1"/>
      <c r="G346" s="1"/>
      <c r="H346" s="1"/>
      <c r="I346" s="1"/>
      <c r="J346" s="1"/>
      <c r="K346" s="1"/>
      <c r="L346" s="1"/>
      <c r="M346" s="1"/>
      <c r="N346" s="1"/>
      <c r="O346" s="1"/>
      <c r="P346" s="1"/>
      <c r="Q346" s="1"/>
      <c r="R346" s="1"/>
      <c r="S346" s="1"/>
      <c r="T346" s="1"/>
      <c r="U346" s="1"/>
      <c r="V346" s="1"/>
      <c r="W346" s="1"/>
      <c r="X346" s="1"/>
      <c r="Y346" s="1"/>
      <c r="Z346" s="1"/>
      <c r="AA346" s="1"/>
      <c r="AB346" s="1"/>
    </row>
    <row r="347" ht="23.25" customHeight="1">
      <c r="A347" s="1"/>
      <c r="B347" s="1"/>
      <c r="C347" s="34"/>
      <c r="D347" s="1"/>
      <c r="E347" s="58"/>
      <c r="F347" s="1"/>
      <c r="G347" s="1"/>
      <c r="H347" s="1"/>
      <c r="I347" s="1"/>
      <c r="J347" s="1"/>
      <c r="K347" s="1"/>
      <c r="L347" s="1"/>
      <c r="M347" s="1"/>
      <c r="N347" s="1"/>
      <c r="O347" s="1"/>
      <c r="P347" s="1"/>
      <c r="Q347" s="1"/>
      <c r="R347" s="1"/>
      <c r="S347" s="1"/>
      <c r="T347" s="1"/>
      <c r="U347" s="1"/>
      <c r="V347" s="1"/>
      <c r="W347" s="1"/>
      <c r="X347" s="1"/>
      <c r="Y347" s="1"/>
      <c r="Z347" s="1"/>
      <c r="AA347" s="1"/>
      <c r="AB347" s="1"/>
    </row>
    <row r="348" ht="23.25" customHeight="1">
      <c r="A348" s="1"/>
      <c r="B348" s="1"/>
      <c r="C348" s="34"/>
      <c r="D348" s="1"/>
      <c r="E348" s="58"/>
      <c r="F348" s="1"/>
      <c r="G348" s="1"/>
      <c r="H348" s="1"/>
      <c r="I348" s="1"/>
      <c r="J348" s="1"/>
      <c r="K348" s="1"/>
      <c r="L348" s="1"/>
      <c r="M348" s="1"/>
      <c r="N348" s="1"/>
      <c r="O348" s="1"/>
      <c r="P348" s="1"/>
      <c r="Q348" s="1"/>
      <c r="R348" s="1"/>
      <c r="S348" s="1"/>
      <c r="T348" s="1"/>
      <c r="U348" s="1"/>
      <c r="V348" s="1"/>
      <c r="W348" s="1"/>
      <c r="X348" s="1"/>
      <c r="Y348" s="1"/>
      <c r="Z348" s="1"/>
      <c r="AA348" s="1"/>
      <c r="AB348" s="1"/>
    </row>
    <row r="349" ht="23.25" customHeight="1">
      <c r="A349" s="1"/>
      <c r="B349" s="1"/>
      <c r="C349" s="34"/>
      <c r="D349" s="1"/>
      <c r="E349" s="58"/>
      <c r="F349" s="1"/>
      <c r="G349" s="1"/>
      <c r="H349" s="1"/>
      <c r="I349" s="1"/>
      <c r="J349" s="1"/>
      <c r="K349" s="1"/>
      <c r="L349" s="1"/>
      <c r="M349" s="1"/>
      <c r="N349" s="1"/>
      <c r="O349" s="1"/>
      <c r="P349" s="1"/>
      <c r="Q349" s="1"/>
      <c r="R349" s="1"/>
      <c r="S349" s="1"/>
      <c r="T349" s="1"/>
      <c r="U349" s="1"/>
      <c r="V349" s="1"/>
      <c r="W349" s="1"/>
      <c r="X349" s="1"/>
      <c r="Y349" s="1"/>
      <c r="Z349" s="1"/>
      <c r="AA349" s="1"/>
      <c r="AB349" s="1"/>
    </row>
    <row r="350" ht="23.25" customHeight="1">
      <c r="A350" s="1"/>
      <c r="B350" s="1"/>
      <c r="C350" s="34"/>
      <c r="D350" s="1"/>
      <c r="E350" s="58"/>
      <c r="F350" s="1"/>
      <c r="G350" s="1"/>
      <c r="H350" s="1"/>
      <c r="I350" s="1"/>
      <c r="J350" s="1"/>
      <c r="K350" s="1"/>
      <c r="L350" s="1"/>
      <c r="M350" s="1"/>
      <c r="N350" s="1"/>
      <c r="O350" s="1"/>
      <c r="P350" s="1"/>
      <c r="Q350" s="1"/>
      <c r="R350" s="1"/>
      <c r="S350" s="1"/>
      <c r="T350" s="1"/>
      <c r="U350" s="1"/>
      <c r="V350" s="1"/>
      <c r="W350" s="1"/>
      <c r="X350" s="1"/>
      <c r="Y350" s="1"/>
      <c r="Z350" s="1"/>
      <c r="AA350" s="1"/>
      <c r="AB350" s="1"/>
    </row>
    <row r="351" ht="23.25" customHeight="1">
      <c r="A351" s="1"/>
      <c r="B351" s="1"/>
      <c r="C351" s="34"/>
      <c r="D351" s="1"/>
      <c r="E351" s="58"/>
      <c r="F351" s="1"/>
      <c r="G351" s="1"/>
      <c r="H351" s="1"/>
      <c r="I351" s="1"/>
      <c r="J351" s="1"/>
      <c r="K351" s="1"/>
      <c r="L351" s="1"/>
      <c r="M351" s="1"/>
      <c r="N351" s="1"/>
      <c r="O351" s="1"/>
      <c r="P351" s="1"/>
      <c r="Q351" s="1"/>
      <c r="R351" s="1"/>
      <c r="S351" s="1"/>
      <c r="T351" s="1"/>
      <c r="U351" s="1"/>
      <c r="V351" s="1"/>
      <c r="W351" s="1"/>
      <c r="X351" s="1"/>
      <c r="Y351" s="1"/>
      <c r="Z351" s="1"/>
      <c r="AA351" s="1"/>
      <c r="AB351" s="1"/>
    </row>
    <row r="352" ht="23.25" customHeight="1">
      <c r="A352" s="1"/>
      <c r="B352" s="1"/>
      <c r="C352" s="34"/>
      <c r="D352" s="1"/>
      <c r="E352" s="58"/>
      <c r="F352" s="1"/>
      <c r="G352" s="1"/>
      <c r="H352" s="1"/>
      <c r="I352" s="1"/>
      <c r="J352" s="1"/>
      <c r="K352" s="1"/>
      <c r="L352" s="1"/>
      <c r="M352" s="1"/>
      <c r="N352" s="1"/>
      <c r="O352" s="1"/>
      <c r="P352" s="1"/>
      <c r="Q352" s="1"/>
      <c r="R352" s="1"/>
      <c r="S352" s="1"/>
      <c r="T352" s="1"/>
      <c r="U352" s="1"/>
      <c r="V352" s="1"/>
      <c r="W352" s="1"/>
      <c r="X352" s="1"/>
      <c r="Y352" s="1"/>
      <c r="Z352" s="1"/>
      <c r="AA352" s="1"/>
      <c r="AB352" s="1"/>
    </row>
    <row r="353" ht="23.25" customHeight="1">
      <c r="A353" s="1"/>
      <c r="B353" s="1"/>
      <c r="C353" s="34"/>
      <c r="D353" s="1"/>
      <c r="E353" s="58"/>
      <c r="F353" s="1"/>
      <c r="G353" s="1"/>
      <c r="H353" s="1"/>
      <c r="I353" s="1"/>
      <c r="J353" s="1"/>
      <c r="K353" s="1"/>
      <c r="L353" s="1"/>
      <c r="M353" s="1"/>
      <c r="N353" s="1"/>
      <c r="O353" s="1"/>
      <c r="P353" s="1"/>
      <c r="Q353" s="1"/>
      <c r="R353" s="1"/>
      <c r="S353" s="1"/>
      <c r="T353" s="1"/>
      <c r="U353" s="1"/>
      <c r="V353" s="1"/>
      <c r="W353" s="1"/>
      <c r="X353" s="1"/>
      <c r="Y353" s="1"/>
      <c r="Z353" s="1"/>
      <c r="AA353" s="1"/>
      <c r="AB353" s="1"/>
    </row>
    <row r="354" ht="23.25" customHeight="1">
      <c r="A354" s="1"/>
      <c r="B354" s="1"/>
      <c r="C354" s="34"/>
      <c r="D354" s="1"/>
      <c r="E354" s="58"/>
      <c r="F354" s="1"/>
      <c r="G354" s="1"/>
      <c r="H354" s="1"/>
      <c r="I354" s="1"/>
      <c r="J354" s="1"/>
      <c r="K354" s="1"/>
      <c r="L354" s="1"/>
      <c r="M354" s="1"/>
      <c r="N354" s="1"/>
      <c r="O354" s="1"/>
      <c r="P354" s="1"/>
      <c r="Q354" s="1"/>
      <c r="R354" s="1"/>
      <c r="S354" s="1"/>
      <c r="T354" s="1"/>
      <c r="U354" s="1"/>
      <c r="V354" s="1"/>
      <c r="W354" s="1"/>
      <c r="X354" s="1"/>
      <c r="Y354" s="1"/>
      <c r="Z354" s="1"/>
      <c r="AA354" s="1"/>
      <c r="AB354" s="1"/>
    </row>
    <row r="355" ht="23.25" customHeight="1">
      <c r="A355" s="1"/>
      <c r="B355" s="1"/>
      <c r="C355" s="34"/>
      <c r="D355" s="1"/>
      <c r="E355" s="58"/>
      <c r="F355" s="1"/>
      <c r="G355" s="1"/>
      <c r="H355" s="1"/>
      <c r="I355" s="1"/>
      <c r="J355" s="1"/>
      <c r="K355" s="1"/>
      <c r="L355" s="1"/>
      <c r="M355" s="1"/>
      <c r="N355" s="1"/>
      <c r="O355" s="1"/>
      <c r="P355" s="1"/>
      <c r="Q355" s="1"/>
      <c r="R355" s="1"/>
      <c r="S355" s="1"/>
      <c r="T355" s="1"/>
      <c r="U355" s="1"/>
      <c r="V355" s="1"/>
      <c r="W355" s="1"/>
      <c r="X355" s="1"/>
      <c r="Y355" s="1"/>
      <c r="Z355" s="1"/>
      <c r="AA355" s="1"/>
      <c r="AB355" s="1"/>
    </row>
    <row r="356" ht="23.25" customHeight="1">
      <c r="A356" s="1"/>
      <c r="B356" s="1"/>
      <c r="C356" s="34"/>
      <c r="D356" s="1"/>
      <c r="E356" s="58"/>
      <c r="F356" s="1"/>
      <c r="G356" s="1"/>
      <c r="H356" s="1"/>
      <c r="I356" s="1"/>
      <c r="J356" s="1"/>
      <c r="K356" s="1"/>
      <c r="L356" s="1"/>
      <c r="M356" s="1"/>
      <c r="N356" s="1"/>
      <c r="O356" s="1"/>
      <c r="P356" s="1"/>
      <c r="Q356" s="1"/>
      <c r="R356" s="1"/>
      <c r="S356" s="1"/>
      <c r="T356" s="1"/>
      <c r="U356" s="1"/>
      <c r="V356" s="1"/>
      <c r="W356" s="1"/>
      <c r="X356" s="1"/>
      <c r="Y356" s="1"/>
      <c r="Z356" s="1"/>
      <c r="AA356" s="1"/>
      <c r="AB356" s="1"/>
    </row>
    <row r="357" ht="23.25" customHeight="1">
      <c r="A357" s="1"/>
      <c r="B357" s="1"/>
      <c r="C357" s="34"/>
      <c r="D357" s="1"/>
      <c r="E357" s="58"/>
      <c r="F357" s="1"/>
      <c r="G357" s="1"/>
      <c r="H357" s="1"/>
      <c r="I357" s="1"/>
      <c r="J357" s="1"/>
      <c r="K357" s="1"/>
      <c r="L357" s="1"/>
      <c r="M357" s="1"/>
      <c r="N357" s="1"/>
      <c r="O357" s="1"/>
      <c r="P357" s="1"/>
      <c r="Q357" s="1"/>
      <c r="R357" s="1"/>
      <c r="S357" s="1"/>
      <c r="T357" s="1"/>
      <c r="U357" s="1"/>
      <c r="V357" s="1"/>
      <c r="W357" s="1"/>
      <c r="X357" s="1"/>
      <c r="Y357" s="1"/>
      <c r="Z357" s="1"/>
      <c r="AA357" s="1"/>
      <c r="AB357" s="1"/>
    </row>
    <row r="358" ht="23.25" customHeight="1">
      <c r="A358" s="1"/>
      <c r="B358" s="1"/>
      <c r="C358" s="34"/>
      <c r="D358" s="1"/>
      <c r="E358" s="58"/>
      <c r="F358" s="1"/>
      <c r="G358" s="1"/>
      <c r="H358" s="1"/>
      <c r="I358" s="1"/>
      <c r="J358" s="1"/>
      <c r="K358" s="1"/>
      <c r="L358" s="1"/>
      <c r="M358" s="1"/>
      <c r="N358" s="1"/>
      <c r="O358" s="1"/>
      <c r="P358" s="1"/>
      <c r="Q358" s="1"/>
      <c r="R358" s="1"/>
      <c r="S358" s="1"/>
      <c r="T358" s="1"/>
      <c r="U358" s="1"/>
      <c r="V358" s="1"/>
      <c r="W358" s="1"/>
      <c r="X358" s="1"/>
      <c r="Y358" s="1"/>
      <c r="Z358" s="1"/>
      <c r="AA358" s="1"/>
      <c r="AB358" s="1"/>
    </row>
    <row r="359" ht="23.25" customHeight="1">
      <c r="A359" s="1"/>
      <c r="B359" s="1"/>
      <c r="C359" s="34"/>
      <c r="D359" s="1"/>
      <c r="E359" s="58"/>
      <c r="F359" s="1"/>
      <c r="G359" s="1"/>
      <c r="H359" s="1"/>
      <c r="I359" s="1"/>
      <c r="J359" s="1"/>
      <c r="K359" s="1"/>
      <c r="L359" s="1"/>
      <c r="M359" s="1"/>
      <c r="N359" s="1"/>
      <c r="O359" s="1"/>
      <c r="P359" s="1"/>
      <c r="Q359" s="1"/>
      <c r="R359" s="1"/>
      <c r="S359" s="1"/>
      <c r="T359" s="1"/>
      <c r="U359" s="1"/>
      <c r="V359" s="1"/>
      <c r="W359" s="1"/>
      <c r="X359" s="1"/>
      <c r="Y359" s="1"/>
      <c r="Z359" s="1"/>
      <c r="AA359" s="1"/>
      <c r="AB359" s="1"/>
    </row>
    <row r="360" ht="23.25" customHeight="1">
      <c r="A360" s="1"/>
      <c r="B360" s="1"/>
      <c r="C360" s="34"/>
      <c r="D360" s="1"/>
      <c r="E360" s="58"/>
      <c r="F360" s="1"/>
      <c r="G360" s="1"/>
      <c r="H360" s="1"/>
      <c r="I360" s="1"/>
      <c r="J360" s="1"/>
      <c r="K360" s="1"/>
      <c r="L360" s="1"/>
      <c r="M360" s="1"/>
      <c r="N360" s="1"/>
      <c r="O360" s="1"/>
      <c r="P360" s="1"/>
      <c r="Q360" s="1"/>
      <c r="R360" s="1"/>
      <c r="S360" s="1"/>
      <c r="T360" s="1"/>
      <c r="U360" s="1"/>
      <c r="V360" s="1"/>
      <c r="W360" s="1"/>
      <c r="X360" s="1"/>
      <c r="Y360" s="1"/>
      <c r="Z360" s="1"/>
      <c r="AA360" s="1"/>
      <c r="AB360" s="1"/>
    </row>
    <row r="361" ht="23.25" customHeight="1">
      <c r="A361" s="1"/>
      <c r="B361" s="1"/>
      <c r="C361" s="34"/>
      <c r="D361" s="1"/>
      <c r="E361" s="58"/>
      <c r="F361" s="1"/>
      <c r="G361" s="1"/>
      <c r="H361" s="1"/>
      <c r="I361" s="1"/>
      <c r="J361" s="1"/>
      <c r="K361" s="1"/>
      <c r="L361" s="1"/>
      <c r="M361" s="1"/>
      <c r="N361" s="1"/>
      <c r="O361" s="1"/>
      <c r="P361" s="1"/>
      <c r="Q361" s="1"/>
      <c r="R361" s="1"/>
      <c r="S361" s="1"/>
      <c r="T361" s="1"/>
      <c r="U361" s="1"/>
      <c r="V361" s="1"/>
      <c r="W361" s="1"/>
      <c r="X361" s="1"/>
      <c r="Y361" s="1"/>
      <c r="Z361" s="1"/>
      <c r="AA361" s="1"/>
      <c r="AB361" s="1"/>
    </row>
    <row r="362" ht="23.25" customHeight="1">
      <c r="A362" s="1"/>
      <c r="B362" s="1"/>
      <c r="C362" s="34"/>
      <c r="D362" s="1"/>
      <c r="E362" s="58"/>
      <c r="F362" s="1"/>
      <c r="G362" s="1"/>
      <c r="H362" s="1"/>
      <c r="I362" s="1"/>
      <c r="J362" s="1"/>
      <c r="K362" s="1"/>
      <c r="L362" s="1"/>
      <c r="M362" s="1"/>
      <c r="N362" s="1"/>
      <c r="O362" s="1"/>
      <c r="P362" s="1"/>
      <c r="Q362" s="1"/>
      <c r="R362" s="1"/>
      <c r="S362" s="1"/>
      <c r="T362" s="1"/>
      <c r="U362" s="1"/>
      <c r="V362" s="1"/>
      <c r="W362" s="1"/>
      <c r="X362" s="1"/>
      <c r="Y362" s="1"/>
      <c r="Z362" s="1"/>
      <c r="AA362" s="1"/>
      <c r="AB362" s="1"/>
    </row>
    <row r="363" ht="23.25" customHeight="1">
      <c r="A363" s="1"/>
      <c r="B363" s="1"/>
      <c r="C363" s="34"/>
      <c r="D363" s="1"/>
      <c r="E363" s="58"/>
      <c r="F363" s="1"/>
      <c r="G363" s="1"/>
      <c r="H363" s="1"/>
      <c r="I363" s="1"/>
      <c r="J363" s="1"/>
      <c r="K363" s="1"/>
      <c r="L363" s="1"/>
      <c r="M363" s="1"/>
      <c r="N363" s="1"/>
      <c r="O363" s="1"/>
      <c r="P363" s="1"/>
      <c r="Q363" s="1"/>
      <c r="R363" s="1"/>
      <c r="S363" s="1"/>
      <c r="T363" s="1"/>
      <c r="U363" s="1"/>
      <c r="V363" s="1"/>
      <c r="W363" s="1"/>
      <c r="X363" s="1"/>
      <c r="Y363" s="1"/>
      <c r="Z363" s="1"/>
      <c r="AA363" s="1"/>
      <c r="AB363" s="1"/>
    </row>
    <row r="364" ht="23.25" customHeight="1">
      <c r="A364" s="1"/>
      <c r="B364" s="1"/>
      <c r="C364" s="34"/>
      <c r="D364" s="1"/>
      <c r="E364" s="58"/>
      <c r="F364" s="1"/>
      <c r="G364" s="1"/>
      <c r="H364" s="1"/>
      <c r="I364" s="1"/>
      <c r="J364" s="1"/>
      <c r="K364" s="1"/>
      <c r="L364" s="1"/>
      <c r="M364" s="1"/>
      <c r="N364" s="1"/>
      <c r="O364" s="1"/>
      <c r="P364" s="1"/>
      <c r="Q364" s="1"/>
      <c r="R364" s="1"/>
      <c r="S364" s="1"/>
      <c r="T364" s="1"/>
      <c r="U364" s="1"/>
      <c r="V364" s="1"/>
      <c r="W364" s="1"/>
      <c r="X364" s="1"/>
      <c r="Y364" s="1"/>
      <c r="Z364" s="1"/>
      <c r="AA364" s="1"/>
      <c r="AB364" s="1"/>
    </row>
    <row r="365" ht="23.25" customHeight="1">
      <c r="A365" s="1"/>
      <c r="B365" s="1"/>
      <c r="C365" s="34"/>
      <c r="D365" s="1"/>
      <c r="E365" s="58"/>
      <c r="F365" s="1"/>
      <c r="G365" s="1"/>
      <c r="H365" s="1"/>
      <c r="I365" s="1"/>
      <c r="J365" s="1"/>
      <c r="K365" s="1"/>
      <c r="L365" s="1"/>
      <c r="M365" s="1"/>
      <c r="N365" s="1"/>
      <c r="O365" s="1"/>
      <c r="P365" s="1"/>
      <c r="Q365" s="1"/>
      <c r="R365" s="1"/>
      <c r="S365" s="1"/>
      <c r="T365" s="1"/>
      <c r="U365" s="1"/>
      <c r="V365" s="1"/>
      <c r="W365" s="1"/>
      <c r="X365" s="1"/>
      <c r="Y365" s="1"/>
      <c r="Z365" s="1"/>
      <c r="AA365" s="1"/>
      <c r="AB365" s="1"/>
    </row>
    <row r="366" ht="23.25" customHeight="1">
      <c r="A366" s="1"/>
      <c r="B366" s="1"/>
      <c r="C366" s="34"/>
      <c r="D366" s="1"/>
      <c r="E366" s="58"/>
      <c r="F366" s="1"/>
      <c r="G366" s="1"/>
      <c r="H366" s="1"/>
      <c r="I366" s="1"/>
      <c r="J366" s="1"/>
      <c r="K366" s="1"/>
      <c r="L366" s="1"/>
      <c r="M366" s="1"/>
      <c r="N366" s="1"/>
      <c r="O366" s="1"/>
      <c r="P366" s="1"/>
      <c r="Q366" s="1"/>
      <c r="R366" s="1"/>
      <c r="S366" s="1"/>
      <c r="T366" s="1"/>
      <c r="U366" s="1"/>
      <c r="V366" s="1"/>
      <c r="W366" s="1"/>
      <c r="X366" s="1"/>
      <c r="Y366" s="1"/>
      <c r="Z366" s="1"/>
      <c r="AA366" s="1"/>
      <c r="AB366" s="1"/>
    </row>
    <row r="367" ht="23.25" customHeight="1">
      <c r="A367" s="1"/>
      <c r="B367" s="1"/>
      <c r="C367" s="34"/>
      <c r="D367" s="1"/>
      <c r="E367" s="58"/>
      <c r="F367" s="1"/>
      <c r="G367" s="1"/>
      <c r="H367" s="1"/>
      <c r="I367" s="1"/>
      <c r="J367" s="1"/>
      <c r="K367" s="1"/>
      <c r="L367" s="1"/>
      <c r="M367" s="1"/>
      <c r="N367" s="1"/>
      <c r="O367" s="1"/>
      <c r="P367" s="1"/>
      <c r="Q367" s="1"/>
      <c r="R367" s="1"/>
      <c r="S367" s="1"/>
      <c r="T367" s="1"/>
      <c r="U367" s="1"/>
      <c r="V367" s="1"/>
      <c r="W367" s="1"/>
      <c r="X367" s="1"/>
      <c r="Y367" s="1"/>
      <c r="Z367" s="1"/>
      <c r="AA367" s="1"/>
      <c r="AB367" s="1"/>
    </row>
    <row r="368" ht="23.25" customHeight="1">
      <c r="A368" s="1"/>
      <c r="B368" s="1"/>
      <c r="C368" s="34"/>
      <c r="D368" s="1"/>
      <c r="E368" s="58"/>
      <c r="F368" s="1"/>
      <c r="G368" s="1"/>
      <c r="H368" s="1"/>
      <c r="I368" s="1"/>
      <c r="J368" s="1"/>
      <c r="K368" s="1"/>
      <c r="L368" s="1"/>
      <c r="M368" s="1"/>
      <c r="N368" s="1"/>
      <c r="O368" s="1"/>
      <c r="P368" s="1"/>
      <c r="Q368" s="1"/>
      <c r="R368" s="1"/>
      <c r="S368" s="1"/>
      <c r="T368" s="1"/>
      <c r="U368" s="1"/>
      <c r="V368" s="1"/>
      <c r="W368" s="1"/>
      <c r="X368" s="1"/>
      <c r="Y368" s="1"/>
      <c r="Z368" s="1"/>
      <c r="AA368" s="1"/>
      <c r="AB368" s="1"/>
    </row>
    <row r="369" ht="23.25" customHeight="1">
      <c r="A369" s="1"/>
      <c r="B369" s="1"/>
      <c r="C369" s="34"/>
      <c r="D369" s="1"/>
      <c r="E369" s="58"/>
      <c r="F369" s="1"/>
      <c r="G369" s="1"/>
      <c r="H369" s="1"/>
      <c r="I369" s="1"/>
      <c r="J369" s="1"/>
      <c r="K369" s="1"/>
      <c r="L369" s="1"/>
      <c r="M369" s="1"/>
      <c r="N369" s="1"/>
      <c r="O369" s="1"/>
      <c r="P369" s="1"/>
      <c r="Q369" s="1"/>
      <c r="R369" s="1"/>
      <c r="S369" s="1"/>
      <c r="T369" s="1"/>
      <c r="U369" s="1"/>
      <c r="V369" s="1"/>
      <c r="W369" s="1"/>
      <c r="X369" s="1"/>
      <c r="Y369" s="1"/>
      <c r="Z369" s="1"/>
      <c r="AA369" s="1"/>
      <c r="AB369" s="1"/>
    </row>
    <row r="370" ht="23.25" customHeight="1">
      <c r="A370" s="1"/>
      <c r="B370" s="1"/>
      <c r="C370" s="34"/>
      <c r="D370" s="1"/>
      <c r="E370" s="58"/>
      <c r="F370" s="1"/>
      <c r="G370" s="1"/>
      <c r="H370" s="1"/>
      <c r="I370" s="1"/>
      <c r="J370" s="1"/>
      <c r="K370" s="1"/>
      <c r="L370" s="1"/>
      <c r="M370" s="1"/>
      <c r="N370" s="1"/>
      <c r="O370" s="1"/>
      <c r="P370" s="1"/>
      <c r="Q370" s="1"/>
      <c r="R370" s="1"/>
      <c r="S370" s="1"/>
      <c r="T370" s="1"/>
      <c r="U370" s="1"/>
      <c r="V370" s="1"/>
      <c r="W370" s="1"/>
      <c r="X370" s="1"/>
      <c r="Y370" s="1"/>
      <c r="Z370" s="1"/>
      <c r="AA370" s="1"/>
      <c r="AB370" s="1"/>
    </row>
    <row r="371" ht="23.25" customHeight="1">
      <c r="A371" s="1"/>
      <c r="B371" s="1"/>
      <c r="C371" s="34"/>
      <c r="D371" s="1"/>
      <c r="E371" s="58"/>
      <c r="F371" s="1"/>
      <c r="G371" s="1"/>
      <c r="H371" s="1"/>
      <c r="I371" s="1"/>
      <c r="J371" s="1"/>
      <c r="K371" s="1"/>
      <c r="L371" s="1"/>
      <c r="M371" s="1"/>
      <c r="N371" s="1"/>
      <c r="O371" s="1"/>
      <c r="P371" s="1"/>
      <c r="Q371" s="1"/>
      <c r="R371" s="1"/>
      <c r="S371" s="1"/>
      <c r="T371" s="1"/>
      <c r="U371" s="1"/>
      <c r="V371" s="1"/>
      <c r="W371" s="1"/>
      <c r="X371" s="1"/>
      <c r="Y371" s="1"/>
      <c r="Z371" s="1"/>
      <c r="AA371" s="1"/>
      <c r="AB371" s="1"/>
    </row>
    <row r="372" ht="23.25" customHeight="1">
      <c r="A372" s="1"/>
      <c r="B372" s="1"/>
      <c r="C372" s="34"/>
      <c r="D372" s="1"/>
      <c r="E372" s="58"/>
      <c r="F372" s="1"/>
      <c r="G372" s="1"/>
      <c r="H372" s="1"/>
      <c r="I372" s="1"/>
      <c r="J372" s="1"/>
      <c r="K372" s="1"/>
      <c r="L372" s="1"/>
      <c r="M372" s="1"/>
      <c r="N372" s="1"/>
      <c r="O372" s="1"/>
      <c r="P372" s="1"/>
      <c r="Q372" s="1"/>
      <c r="R372" s="1"/>
      <c r="S372" s="1"/>
      <c r="T372" s="1"/>
      <c r="U372" s="1"/>
      <c r="V372" s="1"/>
      <c r="W372" s="1"/>
      <c r="X372" s="1"/>
      <c r="Y372" s="1"/>
      <c r="Z372" s="1"/>
      <c r="AA372" s="1"/>
      <c r="AB372" s="1"/>
    </row>
    <row r="373" ht="23.25" customHeight="1">
      <c r="A373" s="1"/>
      <c r="B373" s="1"/>
      <c r="C373" s="34"/>
      <c r="D373" s="1"/>
      <c r="E373" s="58"/>
      <c r="F373" s="1"/>
      <c r="G373" s="1"/>
      <c r="H373" s="1"/>
      <c r="I373" s="1"/>
      <c r="J373" s="1"/>
      <c r="K373" s="1"/>
      <c r="L373" s="1"/>
      <c r="M373" s="1"/>
      <c r="N373" s="1"/>
      <c r="O373" s="1"/>
      <c r="P373" s="1"/>
      <c r="Q373" s="1"/>
      <c r="R373" s="1"/>
      <c r="S373" s="1"/>
      <c r="T373" s="1"/>
      <c r="U373" s="1"/>
      <c r="V373" s="1"/>
      <c r="W373" s="1"/>
      <c r="X373" s="1"/>
      <c r="Y373" s="1"/>
      <c r="Z373" s="1"/>
      <c r="AA373" s="1"/>
      <c r="AB373" s="1"/>
    </row>
    <row r="374" ht="23.25" customHeight="1">
      <c r="A374" s="1"/>
      <c r="B374" s="1"/>
      <c r="C374" s="34"/>
      <c r="D374" s="1"/>
      <c r="E374" s="58"/>
      <c r="F374" s="1"/>
      <c r="G374" s="1"/>
      <c r="H374" s="1"/>
      <c r="I374" s="1"/>
      <c r="J374" s="1"/>
      <c r="K374" s="1"/>
      <c r="L374" s="1"/>
      <c r="M374" s="1"/>
      <c r="N374" s="1"/>
      <c r="O374" s="1"/>
      <c r="P374" s="1"/>
      <c r="Q374" s="1"/>
      <c r="R374" s="1"/>
      <c r="S374" s="1"/>
      <c r="T374" s="1"/>
      <c r="U374" s="1"/>
      <c r="V374" s="1"/>
      <c r="W374" s="1"/>
      <c r="X374" s="1"/>
      <c r="Y374" s="1"/>
      <c r="Z374" s="1"/>
      <c r="AA374" s="1"/>
      <c r="AB374" s="1"/>
    </row>
    <row r="375" ht="23.25" customHeight="1">
      <c r="A375" s="1"/>
      <c r="B375" s="1"/>
      <c r="C375" s="34"/>
      <c r="D375" s="1"/>
      <c r="E375" s="58"/>
      <c r="F375" s="1"/>
      <c r="G375" s="1"/>
      <c r="H375" s="1"/>
      <c r="I375" s="1"/>
      <c r="J375" s="1"/>
      <c r="K375" s="1"/>
      <c r="L375" s="1"/>
      <c r="M375" s="1"/>
      <c r="N375" s="1"/>
      <c r="O375" s="1"/>
      <c r="P375" s="1"/>
      <c r="Q375" s="1"/>
      <c r="R375" s="1"/>
      <c r="S375" s="1"/>
      <c r="T375" s="1"/>
      <c r="U375" s="1"/>
      <c r="V375" s="1"/>
      <c r="W375" s="1"/>
      <c r="X375" s="1"/>
      <c r="Y375" s="1"/>
      <c r="Z375" s="1"/>
      <c r="AA375" s="1"/>
      <c r="AB375" s="1"/>
    </row>
    <row r="376" ht="23.25" customHeight="1">
      <c r="A376" s="1"/>
      <c r="B376" s="1"/>
      <c r="C376" s="34"/>
      <c r="D376" s="1"/>
      <c r="E376" s="58"/>
      <c r="F376" s="1"/>
      <c r="G376" s="1"/>
      <c r="H376" s="1"/>
      <c r="I376" s="1"/>
      <c r="J376" s="1"/>
      <c r="K376" s="1"/>
      <c r="L376" s="1"/>
      <c r="M376" s="1"/>
      <c r="N376" s="1"/>
      <c r="O376" s="1"/>
      <c r="P376" s="1"/>
      <c r="Q376" s="1"/>
      <c r="R376" s="1"/>
      <c r="S376" s="1"/>
      <c r="T376" s="1"/>
      <c r="U376" s="1"/>
      <c r="V376" s="1"/>
      <c r="W376" s="1"/>
      <c r="X376" s="1"/>
      <c r="Y376" s="1"/>
      <c r="Z376" s="1"/>
      <c r="AA376" s="1"/>
      <c r="AB376" s="1"/>
    </row>
    <row r="377" ht="23.25" customHeight="1">
      <c r="A377" s="1"/>
      <c r="B377" s="1"/>
      <c r="C377" s="34"/>
      <c r="D377" s="1"/>
      <c r="E377" s="58"/>
      <c r="F377" s="1"/>
      <c r="G377" s="1"/>
      <c r="H377" s="1"/>
      <c r="I377" s="1"/>
      <c r="J377" s="1"/>
      <c r="K377" s="1"/>
      <c r="L377" s="1"/>
      <c r="M377" s="1"/>
      <c r="N377" s="1"/>
      <c r="O377" s="1"/>
      <c r="P377" s="1"/>
      <c r="Q377" s="1"/>
      <c r="R377" s="1"/>
      <c r="S377" s="1"/>
      <c r="T377" s="1"/>
      <c r="U377" s="1"/>
      <c r="V377" s="1"/>
      <c r="W377" s="1"/>
      <c r="X377" s="1"/>
      <c r="Y377" s="1"/>
      <c r="Z377" s="1"/>
      <c r="AA377" s="1"/>
      <c r="AB377" s="1"/>
    </row>
    <row r="378" ht="23.25" customHeight="1">
      <c r="A378" s="1"/>
      <c r="B378" s="1"/>
      <c r="C378" s="34"/>
      <c r="D378" s="1"/>
      <c r="E378" s="58"/>
      <c r="F378" s="1"/>
      <c r="G378" s="1"/>
      <c r="H378" s="1"/>
      <c r="I378" s="1"/>
      <c r="J378" s="1"/>
      <c r="K378" s="1"/>
      <c r="L378" s="1"/>
      <c r="M378" s="1"/>
      <c r="N378" s="1"/>
      <c r="O378" s="1"/>
      <c r="P378" s="1"/>
      <c r="Q378" s="1"/>
      <c r="R378" s="1"/>
      <c r="S378" s="1"/>
      <c r="T378" s="1"/>
      <c r="U378" s="1"/>
      <c r="V378" s="1"/>
      <c r="W378" s="1"/>
      <c r="X378" s="1"/>
      <c r="Y378" s="1"/>
      <c r="Z378" s="1"/>
      <c r="AA378" s="1"/>
      <c r="AB378" s="1"/>
    </row>
    <row r="379" ht="23.25" customHeight="1">
      <c r="A379" s="1"/>
      <c r="B379" s="1"/>
      <c r="C379" s="34"/>
      <c r="D379" s="1"/>
      <c r="E379" s="58"/>
      <c r="F379" s="1"/>
      <c r="G379" s="1"/>
      <c r="H379" s="1"/>
      <c r="I379" s="1"/>
      <c r="J379" s="1"/>
      <c r="K379" s="1"/>
      <c r="L379" s="1"/>
      <c r="M379" s="1"/>
      <c r="N379" s="1"/>
      <c r="O379" s="1"/>
      <c r="P379" s="1"/>
      <c r="Q379" s="1"/>
      <c r="R379" s="1"/>
      <c r="S379" s="1"/>
      <c r="T379" s="1"/>
      <c r="U379" s="1"/>
      <c r="V379" s="1"/>
      <c r="W379" s="1"/>
      <c r="X379" s="1"/>
      <c r="Y379" s="1"/>
      <c r="Z379" s="1"/>
      <c r="AA379" s="1"/>
      <c r="AB379" s="1"/>
    </row>
    <row r="380" ht="23.25" customHeight="1">
      <c r="A380" s="1"/>
      <c r="B380" s="1"/>
      <c r="C380" s="34"/>
      <c r="D380" s="1"/>
      <c r="E380" s="58"/>
      <c r="F380" s="1"/>
      <c r="G380" s="1"/>
      <c r="H380" s="1"/>
      <c r="I380" s="1"/>
      <c r="J380" s="1"/>
      <c r="K380" s="1"/>
      <c r="L380" s="1"/>
      <c r="M380" s="1"/>
      <c r="N380" s="1"/>
      <c r="O380" s="1"/>
      <c r="P380" s="1"/>
      <c r="Q380" s="1"/>
      <c r="R380" s="1"/>
      <c r="S380" s="1"/>
      <c r="T380" s="1"/>
      <c r="U380" s="1"/>
      <c r="V380" s="1"/>
      <c r="W380" s="1"/>
      <c r="X380" s="1"/>
      <c r="Y380" s="1"/>
      <c r="Z380" s="1"/>
      <c r="AA380" s="1"/>
      <c r="AB380" s="1"/>
    </row>
    <row r="381" ht="23.25" customHeight="1">
      <c r="A381" s="1"/>
      <c r="B381" s="1"/>
      <c r="C381" s="34"/>
      <c r="D381" s="1"/>
      <c r="E381" s="58"/>
      <c r="F381" s="1"/>
      <c r="G381" s="1"/>
      <c r="H381" s="1"/>
      <c r="I381" s="1"/>
      <c r="J381" s="1"/>
      <c r="K381" s="1"/>
      <c r="L381" s="1"/>
      <c r="M381" s="1"/>
      <c r="N381" s="1"/>
      <c r="O381" s="1"/>
      <c r="P381" s="1"/>
      <c r="Q381" s="1"/>
      <c r="R381" s="1"/>
      <c r="S381" s="1"/>
      <c r="T381" s="1"/>
      <c r="U381" s="1"/>
      <c r="V381" s="1"/>
      <c r="W381" s="1"/>
      <c r="X381" s="1"/>
      <c r="Y381" s="1"/>
      <c r="Z381" s="1"/>
      <c r="AA381" s="1"/>
      <c r="AB381" s="1"/>
    </row>
    <row r="382" ht="23.25" customHeight="1">
      <c r="A382" s="1"/>
      <c r="B382" s="1"/>
      <c r="C382" s="34"/>
      <c r="D382" s="1"/>
      <c r="E382" s="58"/>
      <c r="F382" s="1"/>
      <c r="G382" s="1"/>
      <c r="H382" s="1"/>
      <c r="I382" s="1"/>
      <c r="J382" s="1"/>
      <c r="K382" s="1"/>
      <c r="L382" s="1"/>
      <c r="M382" s="1"/>
      <c r="N382" s="1"/>
      <c r="O382" s="1"/>
      <c r="P382" s="1"/>
      <c r="Q382" s="1"/>
      <c r="R382" s="1"/>
      <c r="S382" s="1"/>
      <c r="T382" s="1"/>
      <c r="U382" s="1"/>
      <c r="V382" s="1"/>
      <c r="W382" s="1"/>
      <c r="X382" s="1"/>
      <c r="Y382" s="1"/>
      <c r="Z382" s="1"/>
      <c r="AA382" s="1"/>
      <c r="AB382" s="1"/>
    </row>
    <row r="383" ht="23.25" customHeight="1">
      <c r="A383" s="1"/>
      <c r="B383" s="1"/>
      <c r="C383" s="34"/>
      <c r="D383" s="1"/>
      <c r="E383" s="58"/>
      <c r="F383" s="1"/>
      <c r="G383" s="1"/>
      <c r="H383" s="1"/>
      <c r="I383" s="1"/>
      <c r="J383" s="1"/>
      <c r="K383" s="1"/>
      <c r="L383" s="1"/>
      <c r="M383" s="1"/>
      <c r="N383" s="1"/>
      <c r="O383" s="1"/>
      <c r="P383" s="1"/>
      <c r="Q383" s="1"/>
      <c r="R383" s="1"/>
      <c r="S383" s="1"/>
      <c r="T383" s="1"/>
      <c r="U383" s="1"/>
      <c r="V383" s="1"/>
      <c r="W383" s="1"/>
      <c r="X383" s="1"/>
      <c r="Y383" s="1"/>
      <c r="Z383" s="1"/>
      <c r="AA383" s="1"/>
      <c r="AB383" s="1"/>
    </row>
    <row r="384" ht="23.25" customHeight="1">
      <c r="A384" s="1"/>
      <c r="B384" s="1"/>
      <c r="C384" s="34"/>
      <c r="D384" s="1"/>
      <c r="E384" s="58"/>
      <c r="F384" s="1"/>
      <c r="G384" s="1"/>
      <c r="H384" s="1"/>
      <c r="I384" s="1"/>
      <c r="J384" s="1"/>
      <c r="K384" s="1"/>
      <c r="L384" s="1"/>
      <c r="M384" s="1"/>
      <c r="N384" s="1"/>
      <c r="O384" s="1"/>
      <c r="P384" s="1"/>
      <c r="Q384" s="1"/>
      <c r="R384" s="1"/>
      <c r="S384" s="1"/>
      <c r="T384" s="1"/>
      <c r="U384" s="1"/>
      <c r="V384" s="1"/>
      <c r="W384" s="1"/>
      <c r="X384" s="1"/>
      <c r="Y384" s="1"/>
      <c r="Z384" s="1"/>
      <c r="AA384" s="1"/>
      <c r="AB384" s="1"/>
    </row>
    <row r="385" ht="23.25" customHeight="1">
      <c r="A385" s="1"/>
      <c r="B385" s="1"/>
      <c r="C385" s="34"/>
      <c r="D385" s="1"/>
      <c r="E385" s="58"/>
      <c r="F385" s="1"/>
      <c r="G385" s="1"/>
      <c r="H385" s="1"/>
      <c r="I385" s="1"/>
      <c r="J385" s="1"/>
      <c r="K385" s="1"/>
      <c r="L385" s="1"/>
      <c r="M385" s="1"/>
      <c r="N385" s="1"/>
      <c r="O385" s="1"/>
      <c r="P385" s="1"/>
      <c r="Q385" s="1"/>
      <c r="R385" s="1"/>
      <c r="S385" s="1"/>
      <c r="T385" s="1"/>
      <c r="U385" s="1"/>
      <c r="V385" s="1"/>
      <c r="W385" s="1"/>
      <c r="X385" s="1"/>
      <c r="Y385" s="1"/>
      <c r="Z385" s="1"/>
      <c r="AA385" s="1"/>
      <c r="AB385" s="1"/>
    </row>
    <row r="386" ht="23.25" customHeight="1">
      <c r="A386" s="1"/>
      <c r="B386" s="1"/>
      <c r="C386" s="34"/>
      <c r="D386" s="1"/>
      <c r="E386" s="58"/>
      <c r="F386" s="1"/>
      <c r="G386" s="1"/>
      <c r="H386" s="1"/>
      <c r="I386" s="1"/>
      <c r="J386" s="1"/>
      <c r="K386" s="1"/>
      <c r="L386" s="1"/>
      <c r="M386" s="1"/>
      <c r="N386" s="1"/>
      <c r="O386" s="1"/>
      <c r="P386" s="1"/>
      <c r="Q386" s="1"/>
      <c r="R386" s="1"/>
      <c r="S386" s="1"/>
      <c r="T386" s="1"/>
      <c r="U386" s="1"/>
      <c r="V386" s="1"/>
      <c r="W386" s="1"/>
      <c r="X386" s="1"/>
      <c r="Y386" s="1"/>
      <c r="Z386" s="1"/>
      <c r="AA386" s="1"/>
      <c r="AB386" s="1"/>
    </row>
    <row r="387" ht="23.25" customHeight="1">
      <c r="A387" s="1"/>
      <c r="B387" s="1"/>
      <c r="C387" s="34"/>
      <c r="D387" s="1"/>
      <c r="E387" s="58"/>
      <c r="F387" s="1"/>
      <c r="G387" s="1"/>
      <c r="H387" s="1"/>
      <c r="I387" s="1"/>
      <c r="J387" s="1"/>
      <c r="K387" s="1"/>
      <c r="L387" s="1"/>
      <c r="M387" s="1"/>
      <c r="N387" s="1"/>
      <c r="O387" s="1"/>
      <c r="P387" s="1"/>
      <c r="Q387" s="1"/>
      <c r="R387" s="1"/>
      <c r="S387" s="1"/>
      <c r="T387" s="1"/>
      <c r="U387" s="1"/>
      <c r="V387" s="1"/>
      <c r="W387" s="1"/>
      <c r="X387" s="1"/>
      <c r="Y387" s="1"/>
      <c r="Z387" s="1"/>
      <c r="AA387" s="1"/>
      <c r="AB387" s="1"/>
    </row>
    <row r="388" ht="23.25" customHeight="1">
      <c r="A388" s="1"/>
      <c r="B388" s="1"/>
      <c r="C388" s="34"/>
      <c r="D388" s="1"/>
      <c r="E388" s="58"/>
      <c r="F388" s="1"/>
      <c r="G388" s="1"/>
      <c r="H388" s="1"/>
      <c r="I388" s="1"/>
      <c r="J388" s="1"/>
      <c r="K388" s="1"/>
      <c r="L388" s="1"/>
      <c r="M388" s="1"/>
      <c r="N388" s="1"/>
      <c r="O388" s="1"/>
      <c r="P388" s="1"/>
      <c r="Q388" s="1"/>
      <c r="R388" s="1"/>
      <c r="S388" s="1"/>
      <c r="T388" s="1"/>
      <c r="U388" s="1"/>
      <c r="V388" s="1"/>
      <c r="W388" s="1"/>
      <c r="X388" s="1"/>
      <c r="Y388" s="1"/>
      <c r="Z388" s="1"/>
      <c r="AA388" s="1"/>
      <c r="AB388" s="1"/>
    </row>
    <row r="389" ht="23.25" customHeight="1">
      <c r="A389" s="1"/>
      <c r="B389" s="1"/>
      <c r="C389" s="34"/>
      <c r="D389" s="1"/>
      <c r="E389" s="58"/>
      <c r="F389" s="1"/>
      <c r="G389" s="1"/>
      <c r="H389" s="1"/>
      <c r="I389" s="1"/>
      <c r="J389" s="1"/>
      <c r="K389" s="1"/>
      <c r="L389" s="1"/>
      <c r="M389" s="1"/>
      <c r="N389" s="1"/>
      <c r="O389" s="1"/>
      <c r="P389" s="1"/>
      <c r="Q389" s="1"/>
      <c r="R389" s="1"/>
      <c r="S389" s="1"/>
      <c r="T389" s="1"/>
      <c r="U389" s="1"/>
      <c r="V389" s="1"/>
      <c r="W389" s="1"/>
      <c r="X389" s="1"/>
      <c r="Y389" s="1"/>
      <c r="Z389" s="1"/>
      <c r="AA389" s="1"/>
      <c r="AB389" s="1"/>
    </row>
    <row r="390" ht="23.25" customHeight="1">
      <c r="A390" s="1"/>
      <c r="B390" s="1"/>
      <c r="C390" s="34"/>
      <c r="D390" s="1"/>
      <c r="E390" s="58"/>
      <c r="F390" s="1"/>
      <c r="G390" s="1"/>
      <c r="H390" s="1"/>
      <c r="I390" s="1"/>
      <c r="J390" s="1"/>
      <c r="K390" s="1"/>
      <c r="L390" s="1"/>
      <c r="M390" s="1"/>
      <c r="N390" s="1"/>
      <c r="O390" s="1"/>
      <c r="P390" s="1"/>
      <c r="Q390" s="1"/>
      <c r="R390" s="1"/>
      <c r="S390" s="1"/>
      <c r="T390" s="1"/>
      <c r="U390" s="1"/>
      <c r="V390" s="1"/>
      <c r="W390" s="1"/>
      <c r="X390" s="1"/>
      <c r="Y390" s="1"/>
      <c r="Z390" s="1"/>
      <c r="AA390" s="1"/>
      <c r="AB390" s="1"/>
    </row>
    <row r="391" ht="23.25" customHeight="1">
      <c r="A391" s="1"/>
      <c r="B391" s="1"/>
      <c r="C391" s="34"/>
      <c r="D391" s="1"/>
      <c r="E391" s="58"/>
      <c r="F391" s="1"/>
      <c r="G391" s="1"/>
      <c r="H391" s="1"/>
      <c r="I391" s="1"/>
      <c r="J391" s="1"/>
      <c r="K391" s="1"/>
      <c r="L391" s="1"/>
      <c r="M391" s="1"/>
      <c r="N391" s="1"/>
      <c r="O391" s="1"/>
      <c r="P391" s="1"/>
      <c r="Q391" s="1"/>
      <c r="R391" s="1"/>
      <c r="S391" s="1"/>
      <c r="T391" s="1"/>
      <c r="U391" s="1"/>
      <c r="V391" s="1"/>
      <c r="W391" s="1"/>
      <c r="X391" s="1"/>
      <c r="Y391" s="1"/>
      <c r="Z391" s="1"/>
      <c r="AA391" s="1"/>
      <c r="AB391" s="1"/>
    </row>
    <row r="392" ht="23.25" customHeight="1">
      <c r="A392" s="1"/>
      <c r="B392" s="1"/>
      <c r="C392" s="34"/>
      <c r="D392" s="1"/>
      <c r="E392" s="58"/>
      <c r="F392" s="1"/>
      <c r="G392" s="1"/>
      <c r="H392" s="1"/>
      <c r="I392" s="1"/>
      <c r="J392" s="1"/>
      <c r="K392" s="1"/>
      <c r="L392" s="1"/>
      <c r="M392" s="1"/>
      <c r="N392" s="1"/>
      <c r="O392" s="1"/>
      <c r="P392" s="1"/>
      <c r="Q392" s="1"/>
      <c r="R392" s="1"/>
      <c r="S392" s="1"/>
      <c r="T392" s="1"/>
      <c r="U392" s="1"/>
      <c r="V392" s="1"/>
      <c r="W392" s="1"/>
      <c r="X392" s="1"/>
      <c r="Y392" s="1"/>
      <c r="Z392" s="1"/>
      <c r="AA392" s="1"/>
      <c r="AB392" s="1"/>
    </row>
    <row r="393" ht="23.25" customHeight="1">
      <c r="A393" s="1"/>
      <c r="B393" s="1"/>
      <c r="C393" s="34"/>
      <c r="D393" s="1"/>
      <c r="E393" s="58"/>
      <c r="F393" s="1"/>
      <c r="G393" s="1"/>
      <c r="H393" s="1"/>
      <c r="I393" s="1"/>
      <c r="J393" s="1"/>
      <c r="K393" s="1"/>
      <c r="L393" s="1"/>
      <c r="M393" s="1"/>
      <c r="N393" s="1"/>
      <c r="O393" s="1"/>
      <c r="P393" s="1"/>
      <c r="Q393" s="1"/>
      <c r="R393" s="1"/>
      <c r="S393" s="1"/>
      <c r="T393" s="1"/>
      <c r="U393" s="1"/>
      <c r="V393" s="1"/>
      <c r="W393" s="1"/>
      <c r="X393" s="1"/>
      <c r="Y393" s="1"/>
      <c r="Z393" s="1"/>
      <c r="AA393" s="1"/>
      <c r="AB393" s="1"/>
    </row>
    <row r="394" ht="23.25" customHeight="1">
      <c r="A394" s="1"/>
      <c r="B394" s="1"/>
      <c r="C394" s="34"/>
      <c r="D394" s="1"/>
      <c r="E394" s="58"/>
      <c r="F394" s="1"/>
      <c r="G394" s="1"/>
      <c r="H394" s="1"/>
      <c r="I394" s="1"/>
      <c r="J394" s="1"/>
      <c r="K394" s="1"/>
      <c r="L394" s="1"/>
      <c r="M394" s="1"/>
      <c r="N394" s="1"/>
      <c r="O394" s="1"/>
      <c r="P394" s="1"/>
      <c r="Q394" s="1"/>
      <c r="R394" s="1"/>
      <c r="S394" s="1"/>
      <c r="T394" s="1"/>
      <c r="U394" s="1"/>
      <c r="V394" s="1"/>
      <c r="W394" s="1"/>
      <c r="X394" s="1"/>
      <c r="Y394" s="1"/>
      <c r="Z394" s="1"/>
      <c r="AA394" s="1"/>
      <c r="AB394" s="1"/>
    </row>
    <row r="395" ht="23.25" customHeight="1">
      <c r="A395" s="1"/>
      <c r="B395" s="1"/>
      <c r="C395" s="34"/>
      <c r="D395" s="1"/>
      <c r="E395" s="58"/>
      <c r="F395" s="1"/>
      <c r="G395" s="1"/>
      <c r="H395" s="1"/>
      <c r="I395" s="1"/>
      <c r="J395" s="1"/>
      <c r="K395" s="1"/>
      <c r="L395" s="1"/>
      <c r="M395" s="1"/>
      <c r="N395" s="1"/>
      <c r="O395" s="1"/>
      <c r="P395" s="1"/>
      <c r="Q395" s="1"/>
      <c r="R395" s="1"/>
      <c r="S395" s="1"/>
      <c r="T395" s="1"/>
      <c r="U395" s="1"/>
      <c r="V395" s="1"/>
      <c r="W395" s="1"/>
      <c r="X395" s="1"/>
      <c r="Y395" s="1"/>
      <c r="Z395" s="1"/>
      <c r="AA395" s="1"/>
      <c r="AB395" s="1"/>
    </row>
    <row r="396" ht="23.25" customHeight="1">
      <c r="A396" s="1"/>
      <c r="B396" s="1"/>
      <c r="C396" s="34"/>
      <c r="D396" s="1"/>
      <c r="E396" s="58"/>
      <c r="F396" s="1"/>
      <c r="G396" s="1"/>
      <c r="H396" s="1"/>
      <c r="I396" s="1"/>
      <c r="J396" s="1"/>
      <c r="K396" s="1"/>
      <c r="L396" s="1"/>
      <c r="M396" s="1"/>
      <c r="N396" s="1"/>
      <c r="O396" s="1"/>
      <c r="P396" s="1"/>
      <c r="Q396" s="1"/>
      <c r="R396" s="1"/>
      <c r="S396" s="1"/>
      <c r="T396" s="1"/>
      <c r="U396" s="1"/>
      <c r="V396" s="1"/>
      <c r="W396" s="1"/>
      <c r="X396" s="1"/>
      <c r="Y396" s="1"/>
      <c r="Z396" s="1"/>
      <c r="AA396" s="1"/>
      <c r="AB396" s="1"/>
    </row>
    <row r="397" ht="23.25" customHeight="1">
      <c r="A397" s="1"/>
      <c r="B397" s="1"/>
      <c r="C397" s="34"/>
      <c r="D397" s="1"/>
      <c r="E397" s="58"/>
      <c r="F397" s="1"/>
      <c r="G397" s="1"/>
      <c r="H397" s="1"/>
      <c r="I397" s="1"/>
      <c r="J397" s="1"/>
      <c r="K397" s="1"/>
      <c r="L397" s="1"/>
      <c r="M397" s="1"/>
      <c r="N397" s="1"/>
      <c r="O397" s="1"/>
      <c r="P397" s="1"/>
      <c r="Q397" s="1"/>
      <c r="R397" s="1"/>
      <c r="S397" s="1"/>
      <c r="T397" s="1"/>
      <c r="U397" s="1"/>
      <c r="V397" s="1"/>
      <c r="W397" s="1"/>
      <c r="X397" s="1"/>
      <c r="Y397" s="1"/>
      <c r="Z397" s="1"/>
      <c r="AA397" s="1"/>
      <c r="AB397" s="1"/>
    </row>
    <row r="398" ht="23.25" customHeight="1">
      <c r="A398" s="1"/>
      <c r="B398" s="1"/>
      <c r="C398" s="34"/>
      <c r="D398" s="1"/>
      <c r="E398" s="58"/>
      <c r="F398" s="1"/>
      <c r="G398" s="1"/>
      <c r="H398" s="1"/>
      <c r="I398" s="1"/>
      <c r="J398" s="1"/>
      <c r="K398" s="1"/>
      <c r="L398" s="1"/>
      <c r="M398" s="1"/>
      <c r="N398" s="1"/>
      <c r="O398" s="1"/>
      <c r="P398" s="1"/>
      <c r="Q398" s="1"/>
      <c r="R398" s="1"/>
      <c r="S398" s="1"/>
      <c r="T398" s="1"/>
      <c r="U398" s="1"/>
      <c r="V398" s="1"/>
      <c r="W398" s="1"/>
      <c r="X398" s="1"/>
      <c r="Y398" s="1"/>
      <c r="Z398" s="1"/>
      <c r="AA398" s="1"/>
      <c r="AB398" s="1"/>
    </row>
    <row r="399" ht="23.25" customHeight="1">
      <c r="A399" s="1"/>
      <c r="B399" s="1"/>
      <c r="C399" s="34"/>
      <c r="D399" s="1"/>
      <c r="E399" s="58"/>
      <c r="F399" s="1"/>
      <c r="G399" s="1"/>
      <c r="H399" s="1"/>
      <c r="I399" s="1"/>
      <c r="J399" s="1"/>
      <c r="K399" s="1"/>
      <c r="L399" s="1"/>
      <c r="M399" s="1"/>
      <c r="N399" s="1"/>
      <c r="O399" s="1"/>
      <c r="P399" s="1"/>
      <c r="Q399" s="1"/>
      <c r="R399" s="1"/>
      <c r="S399" s="1"/>
      <c r="T399" s="1"/>
      <c r="U399" s="1"/>
      <c r="V399" s="1"/>
      <c r="W399" s="1"/>
      <c r="X399" s="1"/>
      <c r="Y399" s="1"/>
      <c r="Z399" s="1"/>
      <c r="AA399" s="1"/>
      <c r="AB399" s="1"/>
    </row>
    <row r="400" ht="23.25" customHeight="1">
      <c r="A400" s="1"/>
      <c r="B400" s="1"/>
      <c r="C400" s="34"/>
      <c r="D400" s="1"/>
      <c r="E400" s="58"/>
      <c r="F400" s="1"/>
      <c r="G400" s="1"/>
      <c r="H400" s="1"/>
      <c r="I400" s="1"/>
      <c r="J400" s="1"/>
      <c r="K400" s="1"/>
      <c r="L400" s="1"/>
      <c r="M400" s="1"/>
      <c r="N400" s="1"/>
      <c r="O400" s="1"/>
      <c r="P400" s="1"/>
      <c r="Q400" s="1"/>
      <c r="R400" s="1"/>
      <c r="S400" s="1"/>
      <c r="T400" s="1"/>
      <c r="U400" s="1"/>
      <c r="V400" s="1"/>
      <c r="W400" s="1"/>
      <c r="X400" s="1"/>
      <c r="Y400" s="1"/>
      <c r="Z400" s="1"/>
      <c r="AA400" s="1"/>
      <c r="AB400" s="1"/>
    </row>
    <row r="401" ht="23.25" customHeight="1">
      <c r="A401" s="1"/>
      <c r="B401" s="1"/>
      <c r="C401" s="34"/>
      <c r="D401" s="1"/>
      <c r="E401" s="58"/>
      <c r="F401" s="1"/>
      <c r="G401" s="1"/>
      <c r="H401" s="1"/>
      <c r="I401" s="1"/>
      <c r="J401" s="1"/>
      <c r="K401" s="1"/>
      <c r="L401" s="1"/>
      <c r="M401" s="1"/>
      <c r="N401" s="1"/>
      <c r="O401" s="1"/>
      <c r="P401" s="1"/>
      <c r="Q401" s="1"/>
      <c r="R401" s="1"/>
      <c r="S401" s="1"/>
      <c r="T401" s="1"/>
      <c r="U401" s="1"/>
      <c r="V401" s="1"/>
      <c r="W401" s="1"/>
      <c r="X401" s="1"/>
      <c r="Y401" s="1"/>
      <c r="Z401" s="1"/>
      <c r="AA401" s="1"/>
      <c r="AB401" s="1"/>
    </row>
    <row r="402" ht="23.25" customHeight="1">
      <c r="A402" s="1"/>
      <c r="B402" s="1"/>
      <c r="C402" s="34"/>
      <c r="D402" s="1"/>
      <c r="E402" s="58"/>
      <c r="F402" s="1"/>
      <c r="G402" s="1"/>
      <c r="H402" s="1"/>
      <c r="I402" s="1"/>
      <c r="J402" s="1"/>
      <c r="K402" s="1"/>
      <c r="L402" s="1"/>
      <c r="M402" s="1"/>
      <c r="N402" s="1"/>
      <c r="O402" s="1"/>
      <c r="P402" s="1"/>
      <c r="Q402" s="1"/>
      <c r="R402" s="1"/>
      <c r="S402" s="1"/>
      <c r="T402" s="1"/>
      <c r="U402" s="1"/>
      <c r="V402" s="1"/>
      <c r="W402" s="1"/>
      <c r="X402" s="1"/>
      <c r="Y402" s="1"/>
      <c r="Z402" s="1"/>
      <c r="AA402" s="1"/>
      <c r="AB402" s="1"/>
    </row>
    <row r="403" ht="23.25" customHeight="1">
      <c r="A403" s="1"/>
      <c r="B403" s="1"/>
      <c r="C403" s="34"/>
      <c r="D403" s="1"/>
      <c r="E403" s="58"/>
      <c r="F403" s="1"/>
      <c r="G403" s="1"/>
      <c r="H403" s="1"/>
      <c r="I403" s="1"/>
      <c r="J403" s="1"/>
      <c r="K403" s="1"/>
      <c r="L403" s="1"/>
      <c r="M403" s="1"/>
      <c r="N403" s="1"/>
      <c r="O403" s="1"/>
      <c r="P403" s="1"/>
      <c r="Q403" s="1"/>
      <c r="R403" s="1"/>
      <c r="S403" s="1"/>
      <c r="T403" s="1"/>
      <c r="U403" s="1"/>
      <c r="V403" s="1"/>
      <c r="W403" s="1"/>
      <c r="X403" s="1"/>
      <c r="Y403" s="1"/>
      <c r="Z403" s="1"/>
      <c r="AA403" s="1"/>
      <c r="AB403" s="1"/>
    </row>
    <row r="404" ht="23.25" customHeight="1">
      <c r="A404" s="1"/>
      <c r="B404" s="1"/>
      <c r="C404" s="34"/>
      <c r="D404" s="1"/>
      <c r="E404" s="58"/>
      <c r="F404" s="1"/>
      <c r="G404" s="1"/>
      <c r="H404" s="1"/>
      <c r="I404" s="1"/>
      <c r="J404" s="1"/>
      <c r="K404" s="1"/>
      <c r="L404" s="1"/>
      <c r="M404" s="1"/>
      <c r="N404" s="1"/>
      <c r="O404" s="1"/>
      <c r="P404" s="1"/>
      <c r="Q404" s="1"/>
      <c r="R404" s="1"/>
      <c r="S404" s="1"/>
      <c r="T404" s="1"/>
      <c r="U404" s="1"/>
      <c r="V404" s="1"/>
      <c r="W404" s="1"/>
      <c r="X404" s="1"/>
      <c r="Y404" s="1"/>
      <c r="Z404" s="1"/>
      <c r="AA404" s="1"/>
      <c r="AB404" s="1"/>
    </row>
    <row r="405" ht="23.25" customHeight="1">
      <c r="A405" s="1"/>
      <c r="B405" s="1"/>
      <c r="C405" s="34"/>
      <c r="D405" s="1"/>
      <c r="E405" s="58"/>
      <c r="F405" s="1"/>
      <c r="G405" s="1"/>
      <c r="H405" s="1"/>
      <c r="I405" s="1"/>
      <c r="J405" s="1"/>
      <c r="K405" s="1"/>
      <c r="L405" s="1"/>
      <c r="M405" s="1"/>
      <c r="N405" s="1"/>
      <c r="O405" s="1"/>
      <c r="P405" s="1"/>
      <c r="Q405" s="1"/>
      <c r="R405" s="1"/>
      <c r="S405" s="1"/>
      <c r="T405" s="1"/>
      <c r="U405" s="1"/>
      <c r="V405" s="1"/>
      <c r="W405" s="1"/>
      <c r="X405" s="1"/>
      <c r="Y405" s="1"/>
      <c r="Z405" s="1"/>
      <c r="AA405" s="1"/>
      <c r="AB405" s="1"/>
    </row>
    <row r="406" ht="23.25" customHeight="1">
      <c r="A406" s="1"/>
      <c r="B406" s="1"/>
      <c r="C406" s="34"/>
      <c r="D406" s="1"/>
      <c r="E406" s="58"/>
      <c r="F406" s="1"/>
      <c r="G406" s="1"/>
      <c r="H406" s="1"/>
      <c r="I406" s="1"/>
      <c r="J406" s="1"/>
      <c r="K406" s="1"/>
      <c r="L406" s="1"/>
      <c r="M406" s="1"/>
      <c r="N406" s="1"/>
      <c r="O406" s="1"/>
      <c r="P406" s="1"/>
      <c r="Q406" s="1"/>
      <c r="R406" s="1"/>
      <c r="S406" s="1"/>
      <c r="T406" s="1"/>
      <c r="U406" s="1"/>
      <c r="V406" s="1"/>
      <c r="W406" s="1"/>
      <c r="X406" s="1"/>
      <c r="Y406" s="1"/>
      <c r="Z406" s="1"/>
      <c r="AA406" s="1"/>
      <c r="AB406" s="1"/>
    </row>
    <row r="407" ht="23.25" customHeight="1">
      <c r="A407" s="1"/>
      <c r="B407" s="1"/>
      <c r="C407" s="34"/>
      <c r="D407" s="1"/>
      <c r="E407" s="58"/>
      <c r="F407" s="1"/>
      <c r="G407" s="1"/>
      <c r="H407" s="1"/>
      <c r="I407" s="1"/>
      <c r="J407" s="1"/>
      <c r="K407" s="1"/>
      <c r="L407" s="1"/>
      <c r="M407" s="1"/>
      <c r="N407" s="1"/>
      <c r="O407" s="1"/>
      <c r="P407" s="1"/>
      <c r="Q407" s="1"/>
      <c r="R407" s="1"/>
      <c r="S407" s="1"/>
      <c r="T407" s="1"/>
      <c r="U407" s="1"/>
      <c r="V407" s="1"/>
      <c r="W407" s="1"/>
      <c r="X407" s="1"/>
      <c r="Y407" s="1"/>
      <c r="Z407" s="1"/>
      <c r="AA407" s="1"/>
      <c r="AB407" s="1"/>
    </row>
    <row r="408" ht="23.25" customHeight="1">
      <c r="A408" s="1"/>
      <c r="B408" s="1"/>
      <c r="C408" s="34"/>
      <c r="D408" s="1"/>
      <c r="E408" s="58"/>
      <c r="F408" s="1"/>
      <c r="G408" s="1"/>
      <c r="H408" s="1"/>
      <c r="I408" s="1"/>
      <c r="J408" s="1"/>
      <c r="K408" s="1"/>
      <c r="L408" s="1"/>
      <c r="M408" s="1"/>
      <c r="N408" s="1"/>
      <c r="O408" s="1"/>
      <c r="P408" s="1"/>
      <c r="Q408" s="1"/>
      <c r="R408" s="1"/>
      <c r="S408" s="1"/>
      <c r="T408" s="1"/>
      <c r="U408" s="1"/>
      <c r="V408" s="1"/>
      <c r="W408" s="1"/>
      <c r="X408" s="1"/>
      <c r="Y408" s="1"/>
      <c r="Z408" s="1"/>
      <c r="AA408" s="1"/>
      <c r="AB408" s="1"/>
    </row>
    <row r="409" ht="23.25" customHeight="1">
      <c r="A409" s="1"/>
      <c r="B409" s="1"/>
      <c r="C409" s="34"/>
      <c r="D409" s="1"/>
      <c r="E409" s="58"/>
      <c r="F409" s="1"/>
      <c r="G409" s="1"/>
      <c r="H409" s="1"/>
      <c r="I409" s="1"/>
      <c r="J409" s="1"/>
      <c r="K409" s="1"/>
      <c r="L409" s="1"/>
      <c r="M409" s="1"/>
      <c r="N409" s="1"/>
      <c r="O409" s="1"/>
      <c r="P409" s="1"/>
      <c r="Q409" s="1"/>
      <c r="R409" s="1"/>
      <c r="S409" s="1"/>
      <c r="T409" s="1"/>
      <c r="U409" s="1"/>
      <c r="V409" s="1"/>
      <c r="W409" s="1"/>
      <c r="X409" s="1"/>
      <c r="Y409" s="1"/>
      <c r="Z409" s="1"/>
      <c r="AA409" s="1"/>
      <c r="AB409" s="1"/>
    </row>
    <row r="410" ht="23.25" customHeight="1">
      <c r="A410" s="1"/>
      <c r="B410" s="1"/>
      <c r="C410" s="34"/>
      <c r="D410" s="1"/>
      <c r="E410" s="58"/>
      <c r="F410" s="1"/>
      <c r="G410" s="1"/>
      <c r="H410" s="1"/>
      <c r="I410" s="1"/>
      <c r="J410" s="1"/>
      <c r="K410" s="1"/>
      <c r="L410" s="1"/>
      <c r="M410" s="1"/>
      <c r="N410" s="1"/>
      <c r="O410" s="1"/>
      <c r="P410" s="1"/>
      <c r="Q410" s="1"/>
      <c r="R410" s="1"/>
      <c r="S410" s="1"/>
      <c r="T410" s="1"/>
      <c r="U410" s="1"/>
      <c r="V410" s="1"/>
      <c r="W410" s="1"/>
      <c r="X410" s="1"/>
      <c r="Y410" s="1"/>
      <c r="Z410" s="1"/>
      <c r="AA410" s="1"/>
      <c r="AB410" s="1"/>
    </row>
    <row r="411" ht="23.25" customHeight="1">
      <c r="A411" s="1"/>
      <c r="B411" s="1"/>
      <c r="C411" s="34"/>
      <c r="D411" s="1"/>
      <c r="E411" s="58"/>
      <c r="F411" s="1"/>
      <c r="G411" s="1"/>
      <c r="H411" s="1"/>
      <c r="I411" s="1"/>
      <c r="J411" s="1"/>
      <c r="K411" s="1"/>
      <c r="L411" s="1"/>
      <c r="M411" s="1"/>
      <c r="N411" s="1"/>
      <c r="O411" s="1"/>
      <c r="P411" s="1"/>
      <c r="Q411" s="1"/>
      <c r="R411" s="1"/>
      <c r="S411" s="1"/>
      <c r="T411" s="1"/>
      <c r="U411" s="1"/>
      <c r="V411" s="1"/>
      <c r="W411" s="1"/>
      <c r="X411" s="1"/>
      <c r="Y411" s="1"/>
      <c r="Z411" s="1"/>
      <c r="AA411" s="1"/>
      <c r="AB411" s="1"/>
    </row>
    <row r="412" ht="23.25" customHeight="1">
      <c r="A412" s="1"/>
      <c r="B412" s="1"/>
      <c r="C412" s="34"/>
      <c r="D412" s="1"/>
      <c r="E412" s="58"/>
      <c r="F412" s="1"/>
      <c r="G412" s="1"/>
      <c r="H412" s="1"/>
      <c r="I412" s="1"/>
      <c r="J412" s="1"/>
      <c r="K412" s="1"/>
      <c r="L412" s="1"/>
      <c r="M412" s="1"/>
      <c r="N412" s="1"/>
      <c r="O412" s="1"/>
      <c r="P412" s="1"/>
      <c r="Q412" s="1"/>
      <c r="R412" s="1"/>
      <c r="S412" s="1"/>
      <c r="T412" s="1"/>
      <c r="U412" s="1"/>
      <c r="V412" s="1"/>
      <c r="W412" s="1"/>
      <c r="X412" s="1"/>
      <c r="Y412" s="1"/>
      <c r="Z412" s="1"/>
      <c r="AA412" s="1"/>
      <c r="AB412" s="1"/>
    </row>
    <row r="413" ht="23.25" customHeight="1">
      <c r="A413" s="1"/>
      <c r="B413" s="1"/>
      <c r="C413" s="34"/>
      <c r="D413" s="1"/>
      <c r="E413" s="58"/>
      <c r="F413" s="1"/>
      <c r="G413" s="1"/>
      <c r="H413" s="1"/>
      <c r="I413" s="1"/>
      <c r="J413" s="1"/>
      <c r="K413" s="1"/>
      <c r="L413" s="1"/>
      <c r="M413" s="1"/>
      <c r="N413" s="1"/>
      <c r="O413" s="1"/>
      <c r="P413" s="1"/>
      <c r="Q413" s="1"/>
      <c r="R413" s="1"/>
      <c r="S413" s="1"/>
      <c r="T413" s="1"/>
      <c r="U413" s="1"/>
      <c r="V413" s="1"/>
      <c r="W413" s="1"/>
      <c r="X413" s="1"/>
      <c r="Y413" s="1"/>
      <c r="Z413" s="1"/>
      <c r="AA413" s="1"/>
      <c r="AB413" s="1"/>
    </row>
    <row r="414" ht="23.25" customHeight="1">
      <c r="A414" s="1"/>
      <c r="B414" s="1"/>
      <c r="C414" s="34"/>
      <c r="D414" s="1"/>
      <c r="E414" s="58"/>
      <c r="F414" s="1"/>
      <c r="G414" s="1"/>
      <c r="H414" s="1"/>
      <c r="I414" s="1"/>
      <c r="J414" s="1"/>
      <c r="K414" s="1"/>
      <c r="L414" s="1"/>
      <c r="M414" s="1"/>
      <c r="N414" s="1"/>
      <c r="O414" s="1"/>
      <c r="P414" s="1"/>
      <c r="Q414" s="1"/>
      <c r="R414" s="1"/>
      <c r="S414" s="1"/>
      <c r="T414" s="1"/>
      <c r="U414" s="1"/>
      <c r="V414" s="1"/>
      <c r="W414" s="1"/>
      <c r="X414" s="1"/>
      <c r="Y414" s="1"/>
      <c r="Z414" s="1"/>
      <c r="AA414" s="1"/>
      <c r="AB414" s="1"/>
    </row>
    <row r="415" ht="23.25" customHeight="1">
      <c r="A415" s="1"/>
      <c r="B415" s="1"/>
      <c r="C415" s="34"/>
      <c r="D415" s="1"/>
      <c r="E415" s="58"/>
      <c r="F415" s="1"/>
      <c r="G415" s="1"/>
      <c r="H415" s="1"/>
      <c r="I415" s="1"/>
      <c r="J415" s="1"/>
      <c r="K415" s="1"/>
      <c r="L415" s="1"/>
      <c r="M415" s="1"/>
      <c r="N415" s="1"/>
      <c r="O415" s="1"/>
      <c r="P415" s="1"/>
      <c r="Q415" s="1"/>
      <c r="R415" s="1"/>
      <c r="S415" s="1"/>
      <c r="T415" s="1"/>
      <c r="U415" s="1"/>
      <c r="V415" s="1"/>
      <c r="W415" s="1"/>
      <c r="X415" s="1"/>
      <c r="Y415" s="1"/>
      <c r="Z415" s="1"/>
      <c r="AA415" s="1"/>
      <c r="AB415" s="1"/>
    </row>
    <row r="416" ht="23.25" customHeight="1">
      <c r="A416" s="1"/>
      <c r="B416" s="1"/>
      <c r="C416" s="34"/>
      <c r="D416" s="1"/>
      <c r="E416" s="58"/>
      <c r="F416" s="1"/>
      <c r="G416" s="1"/>
      <c r="H416" s="1"/>
      <c r="I416" s="1"/>
      <c r="J416" s="1"/>
      <c r="K416" s="1"/>
      <c r="L416" s="1"/>
      <c r="M416" s="1"/>
      <c r="N416" s="1"/>
      <c r="O416" s="1"/>
      <c r="P416" s="1"/>
      <c r="Q416" s="1"/>
      <c r="R416" s="1"/>
      <c r="S416" s="1"/>
      <c r="T416" s="1"/>
      <c r="U416" s="1"/>
      <c r="V416" s="1"/>
      <c r="W416" s="1"/>
      <c r="X416" s="1"/>
      <c r="Y416" s="1"/>
      <c r="Z416" s="1"/>
      <c r="AA416" s="1"/>
      <c r="AB416" s="1"/>
    </row>
    <row r="417" ht="23.25" customHeight="1">
      <c r="A417" s="1"/>
      <c r="B417" s="1"/>
      <c r="C417" s="34"/>
      <c r="D417" s="1"/>
      <c r="E417" s="58"/>
      <c r="F417" s="1"/>
      <c r="G417" s="1"/>
      <c r="H417" s="1"/>
      <c r="I417" s="1"/>
      <c r="J417" s="1"/>
      <c r="K417" s="1"/>
      <c r="L417" s="1"/>
      <c r="M417" s="1"/>
      <c r="N417" s="1"/>
      <c r="O417" s="1"/>
      <c r="P417" s="1"/>
      <c r="Q417" s="1"/>
      <c r="R417" s="1"/>
      <c r="S417" s="1"/>
      <c r="T417" s="1"/>
      <c r="U417" s="1"/>
      <c r="V417" s="1"/>
      <c r="W417" s="1"/>
      <c r="X417" s="1"/>
      <c r="Y417" s="1"/>
      <c r="Z417" s="1"/>
      <c r="AA417" s="1"/>
      <c r="AB417" s="1"/>
    </row>
    <row r="418" ht="23.25" customHeight="1">
      <c r="A418" s="1"/>
      <c r="B418" s="1"/>
      <c r="C418" s="34"/>
      <c r="D418" s="1"/>
      <c r="E418" s="58"/>
      <c r="F418" s="1"/>
      <c r="G418" s="1"/>
      <c r="H418" s="1"/>
      <c r="I418" s="1"/>
      <c r="J418" s="1"/>
      <c r="K418" s="1"/>
      <c r="L418" s="1"/>
      <c r="M418" s="1"/>
      <c r="N418" s="1"/>
      <c r="O418" s="1"/>
      <c r="P418" s="1"/>
      <c r="Q418" s="1"/>
      <c r="R418" s="1"/>
      <c r="S418" s="1"/>
      <c r="T418" s="1"/>
      <c r="U418" s="1"/>
      <c r="V418" s="1"/>
      <c r="W418" s="1"/>
      <c r="X418" s="1"/>
      <c r="Y418" s="1"/>
      <c r="Z418" s="1"/>
      <c r="AA418" s="1"/>
      <c r="AB418" s="1"/>
    </row>
    <row r="419" ht="23.25" customHeight="1">
      <c r="A419" s="1"/>
      <c r="B419" s="1"/>
      <c r="C419" s="34"/>
      <c r="D419" s="1"/>
      <c r="E419" s="58"/>
      <c r="F419" s="1"/>
      <c r="G419" s="1"/>
      <c r="H419" s="1"/>
      <c r="I419" s="1"/>
      <c r="J419" s="1"/>
      <c r="K419" s="1"/>
      <c r="L419" s="1"/>
      <c r="M419" s="1"/>
      <c r="N419" s="1"/>
      <c r="O419" s="1"/>
      <c r="P419" s="1"/>
      <c r="Q419" s="1"/>
      <c r="R419" s="1"/>
      <c r="S419" s="1"/>
      <c r="T419" s="1"/>
      <c r="U419" s="1"/>
      <c r="V419" s="1"/>
      <c r="W419" s="1"/>
      <c r="X419" s="1"/>
      <c r="Y419" s="1"/>
      <c r="Z419" s="1"/>
      <c r="AA419" s="1"/>
      <c r="AB419" s="1"/>
    </row>
    <row r="420" ht="23.25" customHeight="1">
      <c r="A420" s="1"/>
      <c r="B420" s="1"/>
      <c r="C420" s="34"/>
      <c r="D420" s="1"/>
      <c r="E420" s="58"/>
      <c r="F420" s="1"/>
      <c r="G420" s="1"/>
      <c r="H420" s="1"/>
      <c r="I420" s="1"/>
      <c r="J420" s="1"/>
      <c r="K420" s="1"/>
      <c r="L420" s="1"/>
      <c r="M420" s="1"/>
      <c r="N420" s="1"/>
      <c r="O420" s="1"/>
      <c r="P420" s="1"/>
      <c r="Q420" s="1"/>
      <c r="R420" s="1"/>
      <c r="S420" s="1"/>
      <c r="T420" s="1"/>
      <c r="U420" s="1"/>
      <c r="V420" s="1"/>
      <c r="W420" s="1"/>
      <c r="X420" s="1"/>
      <c r="Y420" s="1"/>
      <c r="Z420" s="1"/>
      <c r="AA420" s="1"/>
      <c r="AB420" s="1"/>
    </row>
    <row r="421" ht="23.25" customHeight="1">
      <c r="A421" s="1"/>
      <c r="B421" s="1"/>
      <c r="C421" s="34"/>
      <c r="D421" s="1"/>
      <c r="E421" s="58"/>
      <c r="F421" s="1"/>
      <c r="G421" s="1"/>
      <c r="H421" s="1"/>
      <c r="I421" s="1"/>
      <c r="J421" s="1"/>
      <c r="K421" s="1"/>
      <c r="L421" s="1"/>
      <c r="M421" s="1"/>
      <c r="N421" s="1"/>
      <c r="O421" s="1"/>
      <c r="P421" s="1"/>
      <c r="Q421" s="1"/>
      <c r="R421" s="1"/>
      <c r="S421" s="1"/>
      <c r="T421" s="1"/>
      <c r="U421" s="1"/>
      <c r="V421" s="1"/>
      <c r="W421" s="1"/>
      <c r="X421" s="1"/>
      <c r="Y421" s="1"/>
      <c r="Z421" s="1"/>
      <c r="AA421" s="1"/>
      <c r="AB421" s="1"/>
    </row>
    <row r="422" ht="23.25" customHeight="1">
      <c r="A422" s="1"/>
      <c r="B422" s="1"/>
      <c r="C422" s="34"/>
      <c r="D422" s="1"/>
      <c r="E422" s="58"/>
      <c r="F422" s="1"/>
      <c r="G422" s="1"/>
      <c r="H422" s="1"/>
      <c r="I422" s="1"/>
      <c r="J422" s="1"/>
      <c r="K422" s="1"/>
      <c r="L422" s="1"/>
      <c r="M422" s="1"/>
      <c r="N422" s="1"/>
      <c r="O422" s="1"/>
      <c r="P422" s="1"/>
      <c r="Q422" s="1"/>
      <c r="R422" s="1"/>
      <c r="S422" s="1"/>
      <c r="T422" s="1"/>
      <c r="U422" s="1"/>
      <c r="V422" s="1"/>
      <c r="W422" s="1"/>
      <c r="X422" s="1"/>
      <c r="Y422" s="1"/>
      <c r="Z422" s="1"/>
      <c r="AA422" s="1"/>
      <c r="AB422" s="1"/>
    </row>
    <row r="423" ht="23.25" customHeight="1">
      <c r="A423" s="1"/>
      <c r="B423" s="1"/>
      <c r="C423" s="34"/>
      <c r="D423" s="1"/>
      <c r="E423" s="58"/>
      <c r="F423" s="1"/>
      <c r="G423" s="1"/>
      <c r="H423" s="1"/>
      <c r="I423" s="1"/>
      <c r="J423" s="1"/>
      <c r="K423" s="1"/>
      <c r="L423" s="1"/>
      <c r="M423" s="1"/>
      <c r="N423" s="1"/>
      <c r="O423" s="1"/>
      <c r="P423" s="1"/>
      <c r="Q423" s="1"/>
      <c r="R423" s="1"/>
      <c r="S423" s="1"/>
      <c r="T423" s="1"/>
      <c r="U423" s="1"/>
      <c r="V423" s="1"/>
      <c r="W423" s="1"/>
      <c r="X423" s="1"/>
      <c r="Y423" s="1"/>
      <c r="Z423" s="1"/>
      <c r="AA423" s="1"/>
      <c r="AB423" s="1"/>
    </row>
    <row r="424" ht="23.25" customHeight="1">
      <c r="A424" s="1"/>
      <c r="B424" s="1"/>
      <c r="C424" s="34"/>
      <c r="D424" s="1"/>
      <c r="E424" s="58"/>
      <c r="F424" s="1"/>
      <c r="G424" s="1"/>
      <c r="H424" s="1"/>
      <c r="I424" s="1"/>
      <c r="J424" s="1"/>
      <c r="K424" s="1"/>
      <c r="L424" s="1"/>
      <c r="M424" s="1"/>
      <c r="N424" s="1"/>
      <c r="O424" s="1"/>
      <c r="P424" s="1"/>
      <c r="Q424" s="1"/>
      <c r="R424" s="1"/>
      <c r="S424" s="1"/>
      <c r="T424" s="1"/>
      <c r="U424" s="1"/>
      <c r="V424" s="1"/>
      <c r="W424" s="1"/>
      <c r="X424" s="1"/>
      <c r="Y424" s="1"/>
      <c r="Z424" s="1"/>
      <c r="AA424" s="1"/>
      <c r="AB424" s="1"/>
    </row>
    <row r="425" ht="23.25" customHeight="1">
      <c r="A425" s="1"/>
      <c r="B425" s="1"/>
      <c r="C425" s="34"/>
      <c r="D425" s="1"/>
      <c r="E425" s="58"/>
      <c r="F425" s="1"/>
      <c r="G425" s="1"/>
      <c r="H425" s="1"/>
      <c r="I425" s="1"/>
      <c r="J425" s="1"/>
      <c r="K425" s="1"/>
      <c r="L425" s="1"/>
      <c r="M425" s="1"/>
      <c r="N425" s="1"/>
      <c r="O425" s="1"/>
      <c r="P425" s="1"/>
      <c r="Q425" s="1"/>
      <c r="R425" s="1"/>
      <c r="S425" s="1"/>
      <c r="T425" s="1"/>
      <c r="U425" s="1"/>
      <c r="V425" s="1"/>
      <c r="W425" s="1"/>
      <c r="X425" s="1"/>
      <c r="Y425" s="1"/>
      <c r="Z425" s="1"/>
      <c r="AA425" s="1"/>
      <c r="AB425" s="1"/>
    </row>
    <row r="426" ht="23.25" customHeight="1">
      <c r="A426" s="1"/>
      <c r="B426" s="1"/>
      <c r="C426" s="34"/>
      <c r="D426" s="1"/>
      <c r="E426" s="58"/>
      <c r="F426" s="1"/>
      <c r="G426" s="1"/>
      <c r="H426" s="1"/>
      <c r="I426" s="1"/>
      <c r="J426" s="1"/>
      <c r="K426" s="1"/>
      <c r="L426" s="1"/>
      <c r="M426" s="1"/>
      <c r="N426" s="1"/>
      <c r="O426" s="1"/>
      <c r="P426" s="1"/>
      <c r="Q426" s="1"/>
      <c r="R426" s="1"/>
      <c r="S426" s="1"/>
      <c r="T426" s="1"/>
      <c r="U426" s="1"/>
      <c r="V426" s="1"/>
      <c r="W426" s="1"/>
      <c r="X426" s="1"/>
      <c r="Y426" s="1"/>
      <c r="Z426" s="1"/>
      <c r="AA426" s="1"/>
      <c r="AB426" s="1"/>
    </row>
    <row r="427" ht="23.25" customHeight="1">
      <c r="A427" s="1"/>
      <c r="B427" s="1"/>
      <c r="C427" s="34"/>
      <c r="D427" s="1"/>
      <c r="E427" s="58"/>
      <c r="F427" s="1"/>
      <c r="G427" s="1"/>
      <c r="H427" s="1"/>
      <c r="I427" s="1"/>
      <c r="J427" s="1"/>
      <c r="K427" s="1"/>
      <c r="L427" s="1"/>
      <c r="M427" s="1"/>
      <c r="N427" s="1"/>
      <c r="O427" s="1"/>
      <c r="P427" s="1"/>
      <c r="Q427" s="1"/>
      <c r="R427" s="1"/>
      <c r="S427" s="1"/>
      <c r="T427" s="1"/>
      <c r="U427" s="1"/>
      <c r="V427" s="1"/>
      <c r="W427" s="1"/>
      <c r="X427" s="1"/>
      <c r="Y427" s="1"/>
      <c r="Z427" s="1"/>
      <c r="AA427" s="1"/>
      <c r="AB427" s="1"/>
    </row>
    <row r="428" ht="23.25" customHeight="1">
      <c r="A428" s="1"/>
      <c r="B428" s="1"/>
      <c r="C428" s="34"/>
      <c r="D428" s="1"/>
      <c r="E428" s="58"/>
      <c r="F428" s="1"/>
      <c r="G428" s="1"/>
      <c r="H428" s="1"/>
      <c r="I428" s="1"/>
      <c r="J428" s="1"/>
      <c r="K428" s="1"/>
      <c r="L428" s="1"/>
      <c r="M428" s="1"/>
      <c r="N428" s="1"/>
      <c r="O428" s="1"/>
      <c r="P428" s="1"/>
      <c r="Q428" s="1"/>
      <c r="R428" s="1"/>
      <c r="S428" s="1"/>
      <c r="T428" s="1"/>
      <c r="U428" s="1"/>
      <c r="V428" s="1"/>
      <c r="W428" s="1"/>
      <c r="X428" s="1"/>
      <c r="Y428" s="1"/>
      <c r="Z428" s="1"/>
      <c r="AA428" s="1"/>
      <c r="AB428" s="1"/>
    </row>
    <row r="429" ht="23.25" customHeight="1">
      <c r="A429" s="1"/>
      <c r="B429" s="1"/>
      <c r="C429" s="34"/>
      <c r="D429" s="1"/>
      <c r="E429" s="58"/>
      <c r="F429" s="1"/>
      <c r="G429" s="1"/>
      <c r="H429" s="1"/>
      <c r="I429" s="1"/>
      <c r="J429" s="1"/>
      <c r="K429" s="1"/>
      <c r="L429" s="1"/>
      <c r="M429" s="1"/>
      <c r="N429" s="1"/>
      <c r="O429" s="1"/>
      <c r="P429" s="1"/>
      <c r="Q429" s="1"/>
      <c r="R429" s="1"/>
      <c r="S429" s="1"/>
      <c r="T429" s="1"/>
      <c r="U429" s="1"/>
      <c r="V429" s="1"/>
      <c r="W429" s="1"/>
      <c r="X429" s="1"/>
      <c r="Y429" s="1"/>
      <c r="Z429" s="1"/>
      <c r="AA429" s="1"/>
      <c r="AB429" s="1"/>
    </row>
    <row r="430" ht="23.25" customHeight="1">
      <c r="A430" s="1"/>
      <c r="B430" s="1"/>
      <c r="C430" s="34"/>
      <c r="D430" s="1"/>
      <c r="E430" s="58"/>
      <c r="F430" s="1"/>
      <c r="G430" s="1"/>
      <c r="H430" s="1"/>
      <c r="I430" s="1"/>
      <c r="J430" s="1"/>
      <c r="K430" s="1"/>
      <c r="L430" s="1"/>
      <c r="M430" s="1"/>
      <c r="N430" s="1"/>
      <c r="O430" s="1"/>
      <c r="P430" s="1"/>
      <c r="Q430" s="1"/>
      <c r="R430" s="1"/>
      <c r="S430" s="1"/>
      <c r="T430" s="1"/>
      <c r="U430" s="1"/>
      <c r="V430" s="1"/>
      <c r="W430" s="1"/>
      <c r="X430" s="1"/>
      <c r="Y430" s="1"/>
      <c r="Z430" s="1"/>
      <c r="AA430" s="1"/>
      <c r="AB430" s="1"/>
    </row>
    <row r="431" ht="23.25" customHeight="1">
      <c r="A431" s="1"/>
      <c r="B431" s="1"/>
      <c r="C431" s="34"/>
      <c r="D431" s="1"/>
      <c r="E431" s="58"/>
      <c r="F431" s="1"/>
      <c r="G431" s="1"/>
      <c r="H431" s="1"/>
      <c r="I431" s="1"/>
      <c r="J431" s="1"/>
      <c r="K431" s="1"/>
      <c r="L431" s="1"/>
      <c r="M431" s="1"/>
      <c r="N431" s="1"/>
      <c r="O431" s="1"/>
      <c r="P431" s="1"/>
      <c r="Q431" s="1"/>
      <c r="R431" s="1"/>
      <c r="S431" s="1"/>
      <c r="T431" s="1"/>
      <c r="U431" s="1"/>
      <c r="V431" s="1"/>
      <c r="W431" s="1"/>
      <c r="X431" s="1"/>
      <c r="Y431" s="1"/>
      <c r="Z431" s="1"/>
      <c r="AA431" s="1"/>
      <c r="AB431" s="1"/>
    </row>
    <row r="432" ht="23.25" customHeight="1">
      <c r="A432" s="1"/>
      <c r="B432" s="1"/>
      <c r="C432" s="34"/>
      <c r="D432" s="1"/>
      <c r="E432" s="58"/>
      <c r="F432" s="1"/>
      <c r="G432" s="1"/>
      <c r="H432" s="1"/>
      <c r="I432" s="1"/>
      <c r="J432" s="1"/>
      <c r="K432" s="1"/>
      <c r="L432" s="1"/>
      <c r="M432" s="1"/>
      <c r="N432" s="1"/>
      <c r="O432" s="1"/>
      <c r="P432" s="1"/>
      <c r="Q432" s="1"/>
      <c r="R432" s="1"/>
      <c r="S432" s="1"/>
      <c r="T432" s="1"/>
      <c r="U432" s="1"/>
      <c r="V432" s="1"/>
      <c r="W432" s="1"/>
      <c r="X432" s="1"/>
      <c r="Y432" s="1"/>
      <c r="Z432" s="1"/>
      <c r="AA432" s="1"/>
      <c r="AB432" s="1"/>
    </row>
    <row r="433" ht="23.25" customHeight="1">
      <c r="A433" s="1"/>
      <c r="B433" s="1"/>
      <c r="C433" s="34"/>
      <c r="D433" s="1"/>
      <c r="E433" s="58"/>
      <c r="F433" s="1"/>
      <c r="G433" s="1"/>
      <c r="H433" s="1"/>
      <c r="I433" s="1"/>
      <c r="J433" s="1"/>
      <c r="K433" s="1"/>
      <c r="L433" s="1"/>
      <c r="M433" s="1"/>
      <c r="N433" s="1"/>
      <c r="O433" s="1"/>
      <c r="P433" s="1"/>
      <c r="Q433" s="1"/>
      <c r="R433" s="1"/>
      <c r="S433" s="1"/>
      <c r="T433" s="1"/>
      <c r="U433" s="1"/>
      <c r="V433" s="1"/>
      <c r="W433" s="1"/>
      <c r="X433" s="1"/>
      <c r="Y433" s="1"/>
      <c r="Z433" s="1"/>
      <c r="AA433" s="1"/>
      <c r="AB433" s="1"/>
    </row>
    <row r="434" ht="23.25" customHeight="1">
      <c r="A434" s="1"/>
      <c r="B434" s="1"/>
      <c r="C434" s="34"/>
      <c r="D434" s="1"/>
      <c r="E434" s="58"/>
      <c r="F434" s="1"/>
      <c r="G434" s="1"/>
      <c r="H434" s="1"/>
      <c r="I434" s="1"/>
      <c r="J434" s="1"/>
      <c r="K434" s="1"/>
      <c r="L434" s="1"/>
      <c r="M434" s="1"/>
      <c r="N434" s="1"/>
      <c r="O434" s="1"/>
      <c r="P434" s="1"/>
      <c r="Q434" s="1"/>
      <c r="R434" s="1"/>
      <c r="S434" s="1"/>
      <c r="T434" s="1"/>
      <c r="U434" s="1"/>
      <c r="V434" s="1"/>
      <c r="W434" s="1"/>
      <c r="X434" s="1"/>
      <c r="Y434" s="1"/>
      <c r="Z434" s="1"/>
      <c r="AA434" s="1"/>
      <c r="AB434" s="1"/>
    </row>
    <row r="435" ht="23.25" customHeight="1">
      <c r="A435" s="1"/>
      <c r="B435" s="1"/>
      <c r="C435" s="34"/>
      <c r="D435" s="1"/>
      <c r="E435" s="58"/>
      <c r="F435" s="1"/>
      <c r="G435" s="1"/>
      <c r="H435" s="1"/>
      <c r="I435" s="1"/>
      <c r="J435" s="1"/>
      <c r="K435" s="1"/>
      <c r="L435" s="1"/>
      <c r="M435" s="1"/>
      <c r="N435" s="1"/>
      <c r="O435" s="1"/>
      <c r="P435" s="1"/>
      <c r="Q435" s="1"/>
      <c r="R435" s="1"/>
      <c r="S435" s="1"/>
      <c r="T435" s="1"/>
      <c r="U435" s="1"/>
      <c r="V435" s="1"/>
      <c r="W435" s="1"/>
      <c r="X435" s="1"/>
      <c r="Y435" s="1"/>
      <c r="Z435" s="1"/>
      <c r="AA435" s="1"/>
      <c r="AB435" s="1"/>
    </row>
    <row r="436" ht="23.25" customHeight="1">
      <c r="A436" s="1"/>
      <c r="B436" s="1"/>
      <c r="C436" s="34"/>
      <c r="D436" s="1"/>
      <c r="E436" s="58"/>
      <c r="F436" s="1"/>
      <c r="G436" s="1"/>
      <c r="H436" s="1"/>
      <c r="I436" s="1"/>
      <c r="J436" s="1"/>
      <c r="K436" s="1"/>
      <c r="L436" s="1"/>
      <c r="M436" s="1"/>
      <c r="N436" s="1"/>
      <c r="O436" s="1"/>
      <c r="P436" s="1"/>
      <c r="Q436" s="1"/>
      <c r="R436" s="1"/>
      <c r="S436" s="1"/>
      <c r="T436" s="1"/>
      <c r="U436" s="1"/>
      <c r="V436" s="1"/>
      <c r="W436" s="1"/>
      <c r="X436" s="1"/>
      <c r="Y436" s="1"/>
      <c r="Z436" s="1"/>
      <c r="AA436" s="1"/>
      <c r="AB436" s="1"/>
    </row>
    <row r="437" ht="23.25" customHeight="1">
      <c r="A437" s="1"/>
      <c r="B437" s="1"/>
      <c r="C437" s="34"/>
      <c r="D437" s="1"/>
      <c r="E437" s="58"/>
      <c r="F437" s="1"/>
      <c r="G437" s="1"/>
      <c r="H437" s="1"/>
      <c r="I437" s="1"/>
      <c r="J437" s="1"/>
      <c r="K437" s="1"/>
      <c r="L437" s="1"/>
      <c r="M437" s="1"/>
      <c r="N437" s="1"/>
      <c r="O437" s="1"/>
      <c r="P437" s="1"/>
      <c r="Q437" s="1"/>
      <c r="R437" s="1"/>
      <c r="S437" s="1"/>
      <c r="T437" s="1"/>
      <c r="U437" s="1"/>
      <c r="V437" s="1"/>
      <c r="W437" s="1"/>
      <c r="X437" s="1"/>
      <c r="Y437" s="1"/>
      <c r="Z437" s="1"/>
      <c r="AA437" s="1"/>
      <c r="AB437" s="1"/>
    </row>
    <row r="438" ht="23.25" customHeight="1">
      <c r="A438" s="1"/>
      <c r="B438" s="1"/>
      <c r="C438" s="34"/>
      <c r="D438" s="1"/>
      <c r="E438" s="58"/>
      <c r="F438" s="1"/>
      <c r="G438" s="1"/>
      <c r="H438" s="1"/>
      <c r="I438" s="1"/>
      <c r="J438" s="1"/>
      <c r="K438" s="1"/>
      <c r="L438" s="1"/>
      <c r="M438" s="1"/>
      <c r="N438" s="1"/>
      <c r="O438" s="1"/>
      <c r="P438" s="1"/>
      <c r="Q438" s="1"/>
      <c r="R438" s="1"/>
      <c r="S438" s="1"/>
      <c r="T438" s="1"/>
      <c r="U438" s="1"/>
      <c r="V438" s="1"/>
      <c r="W438" s="1"/>
      <c r="X438" s="1"/>
      <c r="Y438" s="1"/>
      <c r="Z438" s="1"/>
      <c r="AA438" s="1"/>
      <c r="AB438" s="1"/>
    </row>
    <row r="439" ht="23.25" customHeight="1">
      <c r="A439" s="1"/>
      <c r="B439" s="1"/>
      <c r="C439" s="34"/>
      <c r="D439" s="1"/>
      <c r="E439" s="58"/>
      <c r="F439" s="1"/>
      <c r="G439" s="1"/>
      <c r="H439" s="1"/>
      <c r="I439" s="1"/>
      <c r="J439" s="1"/>
      <c r="K439" s="1"/>
      <c r="L439" s="1"/>
      <c r="M439" s="1"/>
      <c r="N439" s="1"/>
      <c r="O439" s="1"/>
      <c r="P439" s="1"/>
      <c r="Q439" s="1"/>
      <c r="R439" s="1"/>
      <c r="S439" s="1"/>
      <c r="T439" s="1"/>
      <c r="U439" s="1"/>
      <c r="V439" s="1"/>
      <c r="W439" s="1"/>
      <c r="X439" s="1"/>
      <c r="Y439" s="1"/>
      <c r="Z439" s="1"/>
      <c r="AA439" s="1"/>
      <c r="AB439" s="1"/>
    </row>
    <row r="440" ht="23.25" customHeight="1">
      <c r="A440" s="1"/>
      <c r="B440" s="1"/>
      <c r="C440" s="34"/>
      <c r="D440" s="1"/>
      <c r="E440" s="58"/>
      <c r="F440" s="1"/>
      <c r="G440" s="1"/>
      <c r="H440" s="1"/>
      <c r="I440" s="1"/>
      <c r="J440" s="1"/>
      <c r="K440" s="1"/>
      <c r="L440" s="1"/>
      <c r="M440" s="1"/>
      <c r="N440" s="1"/>
      <c r="O440" s="1"/>
      <c r="P440" s="1"/>
      <c r="Q440" s="1"/>
      <c r="R440" s="1"/>
      <c r="S440" s="1"/>
      <c r="T440" s="1"/>
      <c r="U440" s="1"/>
      <c r="V440" s="1"/>
      <c r="W440" s="1"/>
      <c r="X440" s="1"/>
      <c r="Y440" s="1"/>
      <c r="Z440" s="1"/>
      <c r="AA440" s="1"/>
      <c r="AB440" s="1"/>
    </row>
    <row r="441" ht="23.25" customHeight="1">
      <c r="A441" s="1"/>
      <c r="B441" s="1"/>
      <c r="C441" s="34"/>
      <c r="D441" s="1"/>
      <c r="E441" s="58"/>
      <c r="F441" s="1"/>
      <c r="G441" s="1"/>
      <c r="H441" s="1"/>
      <c r="I441" s="1"/>
      <c r="J441" s="1"/>
      <c r="K441" s="1"/>
      <c r="L441" s="1"/>
      <c r="M441" s="1"/>
      <c r="N441" s="1"/>
      <c r="O441" s="1"/>
      <c r="P441" s="1"/>
      <c r="Q441" s="1"/>
      <c r="R441" s="1"/>
      <c r="S441" s="1"/>
      <c r="T441" s="1"/>
      <c r="U441" s="1"/>
      <c r="V441" s="1"/>
      <c r="W441" s="1"/>
      <c r="X441" s="1"/>
      <c r="Y441" s="1"/>
      <c r="Z441" s="1"/>
      <c r="AA441" s="1"/>
      <c r="AB441" s="1"/>
    </row>
    <row r="442" ht="23.25" customHeight="1">
      <c r="A442" s="1"/>
      <c r="B442" s="1"/>
      <c r="C442" s="34"/>
      <c r="D442" s="1"/>
      <c r="E442" s="58"/>
      <c r="F442" s="1"/>
      <c r="G442" s="1"/>
      <c r="H442" s="1"/>
      <c r="I442" s="1"/>
      <c r="J442" s="1"/>
      <c r="K442" s="1"/>
      <c r="L442" s="1"/>
      <c r="M442" s="1"/>
      <c r="N442" s="1"/>
      <c r="O442" s="1"/>
      <c r="P442" s="1"/>
      <c r="Q442" s="1"/>
      <c r="R442" s="1"/>
      <c r="S442" s="1"/>
      <c r="T442" s="1"/>
      <c r="U442" s="1"/>
      <c r="V442" s="1"/>
      <c r="W442" s="1"/>
      <c r="X442" s="1"/>
      <c r="Y442" s="1"/>
      <c r="Z442" s="1"/>
      <c r="AA442" s="1"/>
      <c r="AB442" s="1"/>
    </row>
    <row r="443" ht="23.25" customHeight="1">
      <c r="A443" s="1"/>
      <c r="B443" s="1"/>
      <c r="C443" s="34"/>
      <c r="D443" s="1"/>
      <c r="E443" s="58"/>
      <c r="F443" s="1"/>
      <c r="G443" s="1"/>
      <c r="H443" s="1"/>
      <c r="I443" s="1"/>
      <c r="J443" s="1"/>
      <c r="K443" s="1"/>
      <c r="L443" s="1"/>
      <c r="M443" s="1"/>
      <c r="N443" s="1"/>
      <c r="O443" s="1"/>
      <c r="P443" s="1"/>
      <c r="Q443" s="1"/>
      <c r="R443" s="1"/>
      <c r="S443" s="1"/>
      <c r="T443" s="1"/>
      <c r="U443" s="1"/>
      <c r="V443" s="1"/>
      <c r="W443" s="1"/>
      <c r="X443" s="1"/>
      <c r="Y443" s="1"/>
      <c r="Z443" s="1"/>
      <c r="AA443" s="1"/>
      <c r="AB443" s="1"/>
    </row>
    <row r="444" ht="23.25" customHeight="1">
      <c r="A444" s="1"/>
      <c r="B444" s="1"/>
      <c r="C444" s="34"/>
      <c r="D444" s="1"/>
      <c r="E444" s="58"/>
      <c r="F444" s="1"/>
      <c r="G444" s="1"/>
      <c r="H444" s="1"/>
      <c r="I444" s="1"/>
      <c r="J444" s="1"/>
      <c r="K444" s="1"/>
      <c r="L444" s="1"/>
      <c r="M444" s="1"/>
      <c r="N444" s="1"/>
      <c r="O444" s="1"/>
      <c r="P444" s="1"/>
      <c r="Q444" s="1"/>
      <c r="R444" s="1"/>
      <c r="S444" s="1"/>
      <c r="T444" s="1"/>
      <c r="U444" s="1"/>
      <c r="V444" s="1"/>
      <c r="W444" s="1"/>
      <c r="X444" s="1"/>
      <c r="Y444" s="1"/>
      <c r="Z444" s="1"/>
      <c r="AA444" s="1"/>
      <c r="AB444" s="1"/>
    </row>
    <row r="445" ht="23.25" customHeight="1">
      <c r="A445" s="1"/>
      <c r="B445" s="1"/>
      <c r="C445" s="34"/>
      <c r="D445" s="1"/>
      <c r="E445" s="58"/>
      <c r="F445" s="1"/>
      <c r="G445" s="1"/>
      <c r="H445" s="1"/>
      <c r="I445" s="1"/>
      <c r="J445" s="1"/>
      <c r="K445" s="1"/>
      <c r="L445" s="1"/>
      <c r="M445" s="1"/>
      <c r="N445" s="1"/>
      <c r="O445" s="1"/>
      <c r="P445" s="1"/>
      <c r="Q445" s="1"/>
      <c r="R445" s="1"/>
      <c r="S445" s="1"/>
      <c r="T445" s="1"/>
      <c r="U445" s="1"/>
      <c r="V445" s="1"/>
      <c r="W445" s="1"/>
      <c r="X445" s="1"/>
      <c r="Y445" s="1"/>
      <c r="Z445" s="1"/>
      <c r="AA445" s="1"/>
      <c r="AB445" s="1"/>
    </row>
    <row r="446" ht="23.25" customHeight="1">
      <c r="A446" s="1"/>
      <c r="B446" s="1"/>
      <c r="C446" s="34"/>
      <c r="D446" s="1"/>
      <c r="E446" s="58"/>
      <c r="F446" s="1"/>
      <c r="G446" s="1"/>
      <c r="H446" s="1"/>
      <c r="I446" s="1"/>
      <c r="J446" s="1"/>
      <c r="K446" s="1"/>
      <c r="L446" s="1"/>
      <c r="M446" s="1"/>
      <c r="N446" s="1"/>
      <c r="O446" s="1"/>
      <c r="P446" s="1"/>
      <c r="Q446" s="1"/>
      <c r="R446" s="1"/>
      <c r="S446" s="1"/>
      <c r="T446" s="1"/>
      <c r="U446" s="1"/>
      <c r="V446" s="1"/>
      <c r="W446" s="1"/>
      <c r="X446" s="1"/>
      <c r="Y446" s="1"/>
      <c r="Z446" s="1"/>
      <c r="AA446" s="1"/>
      <c r="AB446" s="1"/>
    </row>
    <row r="447" ht="23.25" customHeight="1">
      <c r="A447" s="1"/>
      <c r="B447" s="1"/>
      <c r="C447" s="34"/>
      <c r="D447" s="1"/>
      <c r="E447" s="58"/>
      <c r="F447" s="1"/>
      <c r="G447" s="1"/>
      <c r="H447" s="1"/>
      <c r="I447" s="1"/>
      <c r="J447" s="1"/>
      <c r="K447" s="1"/>
      <c r="L447" s="1"/>
      <c r="M447" s="1"/>
      <c r="N447" s="1"/>
      <c r="O447" s="1"/>
      <c r="P447" s="1"/>
      <c r="Q447" s="1"/>
      <c r="R447" s="1"/>
      <c r="S447" s="1"/>
      <c r="T447" s="1"/>
      <c r="U447" s="1"/>
      <c r="V447" s="1"/>
      <c r="W447" s="1"/>
      <c r="X447" s="1"/>
      <c r="Y447" s="1"/>
      <c r="Z447" s="1"/>
      <c r="AA447" s="1"/>
      <c r="AB447" s="1"/>
    </row>
    <row r="448" ht="23.25" customHeight="1">
      <c r="A448" s="1"/>
      <c r="B448" s="1"/>
      <c r="C448" s="34"/>
      <c r="D448" s="1"/>
      <c r="E448" s="58"/>
      <c r="F448" s="1"/>
      <c r="G448" s="1"/>
      <c r="H448" s="1"/>
      <c r="I448" s="1"/>
      <c r="J448" s="1"/>
      <c r="K448" s="1"/>
      <c r="L448" s="1"/>
      <c r="M448" s="1"/>
      <c r="N448" s="1"/>
      <c r="O448" s="1"/>
      <c r="P448" s="1"/>
      <c r="Q448" s="1"/>
      <c r="R448" s="1"/>
      <c r="S448" s="1"/>
      <c r="T448" s="1"/>
      <c r="U448" s="1"/>
      <c r="V448" s="1"/>
      <c r="W448" s="1"/>
      <c r="X448" s="1"/>
      <c r="Y448" s="1"/>
      <c r="Z448" s="1"/>
      <c r="AA448" s="1"/>
      <c r="AB448" s="1"/>
    </row>
    <row r="449" ht="23.25" customHeight="1">
      <c r="A449" s="1"/>
      <c r="B449" s="1"/>
      <c r="C449" s="34"/>
      <c r="D449" s="1"/>
      <c r="E449" s="58"/>
      <c r="F449" s="1"/>
      <c r="G449" s="1"/>
      <c r="H449" s="1"/>
      <c r="I449" s="1"/>
      <c r="J449" s="1"/>
      <c r="K449" s="1"/>
      <c r="L449" s="1"/>
      <c r="M449" s="1"/>
      <c r="N449" s="1"/>
      <c r="O449" s="1"/>
      <c r="P449" s="1"/>
      <c r="Q449" s="1"/>
      <c r="R449" s="1"/>
      <c r="S449" s="1"/>
      <c r="T449" s="1"/>
      <c r="U449" s="1"/>
      <c r="V449" s="1"/>
      <c r="W449" s="1"/>
      <c r="X449" s="1"/>
      <c r="Y449" s="1"/>
      <c r="Z449" s="1"/>
      <c r="AA449" s="1"/>
      <c r="AB449" s="1"/>
    </row>
    <row r="450" ht="23.25" customHeight="1">
      <c r="A450" s="1"/>
      <c r="B450" s="1"/>
      <c r="C450" s="34"/>
      <c r="D450" s="1"/>
      <c r="E450" s="58"/>
      <c r="F450" s="1"/>
      <c r="G450" s="1"/>
      <c r="H450" s="1"/>
      <c r="I450" s="1"/>
      <c r="J450" s="1"/>
      <c r="K450" s="1"/>
      <c r="L450" s="1"/>
      <c r="M450" s="1"/>
      <c r="N450" s="1"/>
      <c r="O450" s="1"/>
      <c r="P450" s="1"/>
      <c r="Q450" s="1"/>
      <c r="R450" s="1"/>
      <c r="S450" s="1"/>
      <c r="T450" s="1"/>
      <c r="U450" s="1"/>
      <c r="V450" s="1"/>
      <c r="W450" s="1"/>
      <c r="X450" s="1"/>
      <c r="Y450" s="1"/>
      <c r="Z450" s="1"/>
      <c r="AA450" s="1"/>
      <c r="AB450" s="1"/>
    </row>
    <row r="451" ht="23.25" customHeight="1">
      <c r="A451" s="1"/>
      <c r="B451" s="1"/>
      <c r="C451" s="34"/>
      <c r="D451" s="1"/>
      <c r="E451" s="58"/>
      <c r="F451" s="1"/>
      <c r="G451" s="1"/>
      <c r="H451" s="1"/>
      <c r="I451" s="1"/>
      <c r="J451" s="1"/>
      <c r="K451" s="1"/>
      <c r="L451" s="1"/>
      <c r="M451" s="1"/>
      <c r="N451" s="1"/>
      <c r="O451" s="1"/>
      <c r="P451" s="1"/>
      <c r="Q451" s="1"/>
      <c r="R451" s="1"/>
      <c r="S451" s="1"/>
      <c r="T451" s="1"/>
      <c r="U451" s="1"/>
      <c r="V451" s="1"/>
      <c r="W451" s="1"/>
      <c r="X451" s="1"/>
      <c r="Y451" s="1"/>
      <c r="Z451" s="1"/>
      <c r="AA451" s="1"/>
      <c r="AB451" s="1"/>
    </row>
    <row r="452" ht="23.25" customHeight="1">
      <c r="A452" s="1"/>
      <c r="B452" s="1"/>
      <c r="C452" s="34"/>
      <c r="D452" s="1"/>
      <c r="E452" s="58"/>
      <c r="F452" s="1"/>
      <c r="G452" s="1"/>
      <c r="H452" s="1"/>
      <c r="I452" s="1"/>
      <c r="J452" s="1"/>
      <c r="K452" s="1"/>
      <c r="L452" s="1"/>
      <c r="M452" s="1"/>
      <c r="N452" s="1"/>
      <c r="O452" s="1"/>
      <c r="P452" s="1"/>
      <c r="Q452" s="1"/>
      <c r="R452" s="1"/>
      <c r="S452" s="1"/>
      <c r="T452" s="1"/>
      <c r="U452" s="1"/>
      <c r="V452" s="1"/>
      <c r="W452" s="1"/>
      <c r="X452" s="1"/>
      <c r="Y452" s="1"/>
      <c r="Z452" s="1"/>
      <c r="AA452" s="1"/>
      <c r="AB452" s="1"/>
    </row>
    <row r="453" ht="23.25" customHeight="1">
      <c r="A453" s="1"/>
      <c r="B453" s="1"/>
      <c r="C453" s="34"/>
      <c r="D453" s="1"/>
      <c r="E453" s="58"/>
      <c r="F453" s="1"/>
      <c r="G453" s="1"/>
      <c r="H453" s="1"/>
      <c r="I453" s="1"/>
      <c r="J453" s="1"/>
      <c r="K453" s="1"/>
      <c r="L453" s="1"/>
      <c r="M453" s="1"/>
      <c r="N453" s="1"/>
      <c r="O453" s="1"/>
      <c r="P453" s="1"/>
      <c r="Q453" s="1"/>
      <c r="R453" s="1"/>
      <c r="S453" s="1"/>
      <c r="T453" s="1"/>
      <c r="U453" s="1"/>
      <c r="V453" s="1"/>
      <c r="W453" s="1"/>
      <c r="X453" s="1"/>
      <c r="Y453" s="1"/>
      <c r="Z453" s="1"/>
      <c r="AA453" s="1"/>
      <c r="AB453" s="1"/>
    </row>
    <row r="454" ht="23.25" customHeight="1">
      <c r="A454" s="1"/>
      <c r="B454" s="1"/>
      <c r="C454" s="34"/>
      <c r="D454" s="1"/>
      <c r="E454" s="58"/>
      <c r="F454" s="1"/>
      <c r="G454" s="1"/>
      <c r="H454" s="1"/>
      <c r="I454" s="1"/>
      <c r="J454" s="1"/>
      <c r="K454" s="1"/>
      <c r="L454" s="1"/>
      <c r="M454" s="1"/>
      <c r="N454" s="1"/>
      <c r="O454" s="1"/>
      <c r="P454" s="1"/>
      <c r="Q454" s="1"/>
      <c r="R454" s="1"/>
      <c r="S454" s="1"/>
      <c r="T454" s="1"/>
      <c r="U454" s="1"/>
      <c r="V454" s="1"/>
      <c r="W454" s="1"/>
      <c r="X454" s="1"/>
      <c r="Y454" s="1"/>
      <c r="Z454" s="1"/>
      <c r="AA454" s="1"/>
      <c r="AB454" s="1"/>
    </row>
    <row r="455" ht="23.25" customHeight="1">
      <c r="A455" s="1"/>
      <c r="B455" s="1"/>
      <c r="C455" s="34"/>
      <c r="D455" s="1"/>
      <c r="E455" s="58"/>
      <c r="F455" s="1"/>
      <c r="G455" s="1"/>
      <c r="H455" s="1"/>
      <c r="I455" s="1"/>
      <c r="J455" s="1"/>
      <c r="K455" s="1"/>
      <c r="L455" s="1"/>
      <c r="M455" s="1"/>
      <c r="N455" s="1"/>
      <c r="O455" s="1"/>
      <c r="P455" s="1"/>
      <c r="Q455" s="1"/>
      <c r="R455" s="1"/>
      <c r="S455" s="1"/>
      <c r="T455" s="1"/>
      <c r="U455" s="1"/>
      <c r="V455" s="1"/>
      <c r="W455" s="1"/>
      <c r="X455" s="1"/>
      <c r="Y455" s="1"/>
      <c r="Z455" s="1"/>
      <c r="AA455" s="1"/>
      <c r="AB455" s="1"/>
    </row>
    <row r="456" ht="23.25" customHeight="1">
      <c r="A456" s="1"/>
      <c r="B456" s="1"/>
      <c r="C456" s="34"/>
      <c r="D456" s="1"/>
      <c r="E456" s="58"/>
      <c r="F456" s="1"/>
      <c r="G456" s="1"/>
      <c r="H456" s="1"/>
      <c r="I456" s="1"/>
      <c r="J456" s="1"/>
      <c r="K456" s="1"/>
      <c r="L456" s="1"/>
      <c r="M456" s="1"/>
      <c r="N456" s="1"/>
      <c r="O456" s="1"/>
      <c r="P456" s="1"/>
      <c r="Q456" s="1"/>
      <c r="R456" s="1"/>
      <c r="S456" s="1"/>
      <c r="T456" s="1"/>
      <c r="U456" s="1"/>
      <c r="V456" s="1"/>
      <c r="W456" s="1"/>
      <c r="X456" s="1"/>
      <c r="Y456" s="1"/>
      <c r="Z456" s="1"/>
      <c r="AA456" s="1"/>
      <c r="AB456" s="1"/>
    </row>
    <row r="457" ht="23.25" customHeight="1">
      <c r="A457" s="1"/>
      <c r="B457" s="1"/>
      <c r="C457" s="34"/>
      <c r="D457" s="1"/>
      <c r="E457" s="58"/>
      <c r="F457" s="1"/>
      <c r="G457" s="1"/>
      <c r="H457" s="1"/>
      <c r="I457" s="1"/>
      <c r="J457" s="1"/>
      <c r="K457" s="1"/>
      <c r="L457" s="1"/>
      <c r="M457" s="1"/>
      <c r="N457" s="1"/>
      <c r="O457" s="1"/>
      <c r="P457" s="1"/>
      <c r="Q457" s="1"/>
      <c r="R457" s="1"/>
      <c r="S457" s="1"/>
      <c r="T457" s="1"/>
      <c r="U457" s="1"/>
      <c r="V457" s="1"/>
      <c r="W457" s="1"/>
      <c r="X457" s="1"/>
      <c r="Y457" s="1"/>
      <c r="Z457" s="1"/>
      <c r="AA457" s="1"/>
      <c r="AB457" s="1"/>
    </row>
    <row r="458" ht="23.25" customHeight="1">
      <c r="A458" s="1"/>
      <c r="B458" s="1"/>
      <c r="C458" s="34"/>
      <c r="D458" s="1"/>
      <c r="E458" s="58"/>
      <c r="F458" s="1"/>
      <c r="G458" s="1"/>
      <c r="H458" s="1"/>
      <c r="I458" s="1"/>
      <c r="J458" s="1"/>
      <c r="K458" s="1"/>
      <c r="L458" s="1"/>
      <c r="M458" s="1"/>
      <c r="N458" s="1"/>
      <c r="O458" s="1"/>
      <c r="P458" s="1"/>
      <c r="Q458" s="1"/>
      <c r="R458" s="1"/>
      <c r="S458" s="1"/>
      <c r="T458" s="1"/>
      <c r="U458" s="1"/>
      <c r="V458" s="1"/>
      <c r="W458" s="1"/>
      <c r="X458" s="1"/>
      <c r="Y458" s="1"/>
      <c r="Z458" s="1"/>
      <c r="AA458" s="1"/>
      <c r="AB458" s="1"/>
    </row>
    <row r="459" ht="23.25" customHeight="1">
      <c r="A459" s="1"/>
      <c r="B459" s="1"/>
      <c r="C459" s="34"/>
      <c r="D459" s="1"/>
      <c r="E459" s="58"/>
      <c r="F459" s="1"/>
      <c r="G459" s="1"/>
      <c r="H459" s="1"/>
      <c r="I459" s="1"/>
      <c r="J459" s="1"/>
      <c r="K459" s="1"/>
      <c r="L459" s="1"/>
      <c r="M459" s="1"/>
      <c r="N459" s="1"/>
      <c r="O459" s="1"/>
      <c r="P459" s="1"/>
      <c r="Q459" s="1"/>
      <c r="R459" s="1"/>
      <c r="S459" s="1"/>
      <c r="T459" s="1"/>
      <c r="U459" s="1"/>
      <c r="V459" s="1"/>
      <c r="W459" s="1"/>
      <c r="X459" s="1"/>
      <c r="Y459" s="1"/>
      <c r="Z459" s="1"/>
      <c r="AA459" s="1"/>
      <c r="AB459" s="1"/>
    </row>
    <row r="460" ht="23.25" customHeight="1">
      <c r="A460" s="1"/>
      <c r="B460" s="1"/>
      <c r="C460" s="34"/>
      <c r="D460" s="1"/>
      <c r="E460" s="58"/>
      <c r="F460" s="1"/>
      <c r="G460" s="1"/>
      <c r="H460" s="1"/>
      <c r="I460" s="1"/>
      <c r="J460" s="1"/>
      <c r="K460" s="1"/>
      <c r="L460" s="1"/>
      <c r="M460" s="1"/>
      <c r="N460" s="1"/>
      <c r="O460" s="1"/>
      <c r="P460" s="1"/>
      <c r="Q460" s="1"/>
      <c r="R460" s="1"/>
      <c r="S460" s="1"/>
      <c r="T460" s="1"/>
      <c r="U460" s="1"/>
      <c r="V460" s="1"/>
      <c r="W460" s="1"/>
      <c r="X460" s="1"/>
      <c r="Y460" s="1"/>
      <c r="Z460" s="1"/>
      <c r="AA460" s="1"/>
      <c r="AB460" s="1"/>
    </row>
    <row r="461" ht="23.25" customHeight="1">
      <c r="A461" s="1"/>
      <c r="B461" s="1"/>
      <c r="C461" s="34"/>
      <c r="D461" s="1"/>
      <c r="E461" s="58"/>
      <c r="F461" s="1"/>
      <c r="G461" s="1"/>
      <c r="H461" s="1"/>
      <c r="I461" s="1"/>
      <c r="J461" s="1"/>
      <c r="K461" s="1"/>
      <c r="L461" s="1"/>
      <c r="M461" s="1"/>
      <c r="N461" s="1"/>
      <c r="O461" s="1"/>
      <c r="P461" s="1"/>
      <c r="Q461" s="1"/>
      <c r="R461" s="1"/>
      <c r="S461" s="1"/>
      <c r="T461" s="1"/>
      <c r="U461" s="1"/>
      <c r="V461" s="1"/>
      <c r="W461" s="1"/>
      <c r="X461" s="1"/>
      <c r="Y461" s="1"/>
      <c r="Z461" s="1"/>
      <c r="AA461" s="1"/>
      <c r="AB461" s="1"/>
    </row>
    <row r="462" ht="23.25" customHeight="1">
      <c r="A462" s="1"/>
      <c r="B462" s="1"/>
      <c r="C462" s="34"/>
      <c r="D462" s="1"/>
      <c r="E462" s="58"/>
      <c r="F462" s="1"/>
      <c r="G462" s="1"/>
      <c r="H462" s="1"/>
      <c r="I462" s="1"/>
      <c r="J462" s="1"/>
      <c r="K462" s="1"/>
      <c r="L462" s="1"/>
      <c r="M462" s="1"/>
      <c r="N462" s="1"/>
      <c r="O462" s="1"/>
      <c r="P462" s="1"/>
      <c r="Q462" s="1"/>
      <c r="R462" s="1"/>
      <c r="S462" s="1"/>
      <c r="T462" s="1"/>
      <c r="U462" s="1"/>
      <c r="V462" s="1"/>
      <c r="W462" s="1"/>
      <c r="X462" s="1"/>
      <c r="Y462" s="1"/>
      <c r="Z462" s="1"/>
      <c r="AA462" s="1"/>
      <c r="AB462" s="1"/>
    </row>
    <row r="463" ht="23.25" customHeight="1">
      <c r="A463" s="1"/>
      <c r="B463" s="1"/>
      <c r="C463" s="34"/>
      <c r="D463" s="1"/>
      <c r="E463" s="58"/>
      <c r="F463" s="1"/>
      <c r="G463" s="1"/>
      <c r="H463" s="1"/>
      <c r="I463" s="1"/>
      <c r="J463" s="1"/>
      <c r="K463" s="1"/>
      <c r="L463" s="1"/>
      <c r="M463" s="1"/>
      <c r="N463" s="1"/>
      <c r="O463" s="1"/>
      <c r="P463" s="1"/>
      <c r="Q463" s="1"/>
      <c r="R463" s="1"/>
      <c r="S463" s="1"/>
      <c r="T463" s="1"/>
      <c r="U463" s="1"/>
      <c r="V463" s="1"/>
      <c r="W463" s="1"/>
      <c r="X463" s="1"/>
      <c r="Y463" s="1"/>
      <c r="Z463" s="1"/>
      <c r="AA463" s="1"/>
      <c r="AB463" s="1"/>
    </row>
    <row r="464" ht="23.25" customHeight="1">
      <c r="A464" s="1"/>
      <c r="B464" s="1"/>
      <c r="C464" s="34"/>
      <c r="D464" s="1"/>
      <c r="E464" s="58"/>
      <c r="F464" s="1"/>
      <c r="G464" s="1"/>
      <c r="H464" s="1"/>
      <c r="I464" s="1"/>
      <c r="J464" s="1"/>
      <c r="K464" s="1"/>
      <c r="L464" s="1"/>
      <c r="M464" s="1"/>
      <c r="N464" s="1"/>
      <c r="O464" s="1"/>
      <c r="P464" s="1"/>
      <c r="Q464" s="1"/>
      <c r="R464" s="1"/>
      <c r="S464" s="1"/>
      <c r="T464" s="1"/>
      <c r="U464" s="1"/>
      <c r="V464" s="1"/>
      <c r="W464" s="1"/>
      <c r="X464" s="1"/>
      <c r="Y464" s="1"/>
      <c r="Z464" s="1"/>
      <c r="AA464" s="1"/>
      <c r="AB464" s="1"/>
    </row>
    <row r="465" ht="23.25" customHeight="1">
      <c r="A465" s="1"/>
      <c r="B465" s="1"/>
      <c r="C465" s="34"/>
      <c r="D465" s="1"/>
      <c r="E465" s="58"/>
      <c r="F465" s="1"/>
      <c r="G465" s="1"/>
      <c r="H465" s="1"/>
      <c r="I465" s="1"/>
      <c r="J465" s="1"/>
      <c r="K465" s="1"/>
      <c r="L465" s="1"/>
      <c r="M465" s="1"/>
      <c r="N465" s="1"/>
      <c r="O465" s="1"/>
      <c r="P465" s="1"/>
      <c r="Q465" s="1"/>
      <c r="R465" s="1"/>
      <c r="S465" s="1"/>
      <c r="T465" s="1"/>
      <c r="U465" s="1"/>
      <c r="V465" s="1"/>
      <c r="W465" s="1"/>
      <c r="X465" s="1"/>
      <c r="Y465" s="1"/>
      <c r="Z465" s="1"/>
      <c r="AA465" s="1"/>
      <c r="AB465" s="1"/>
    </row>
    <row r="466" ht="23.25" customHeight="1">
      <c r="A466" s="1"/>
      <c r="B466" s="1"/>
      <c r="C466" s="34"/>
      <c r="D466" s="1"/>
      <c r="E466" s="58"/>
      <c r="F466" s="1"/>
      <c r="G466" s="1"/>
      <c r="H466" s="1"/>
      <c r="I466" s="1"/>
      <c r="J466" s="1"/>
      <c r="K466" s="1"/>
      <c r="L466" s="1"/>
      <c r="M466" s="1"/>
      <c r="N466" s="1"/>
      <c r="O466" s="1"/>
      <c r="P466" s="1"/>
      <c r="Q466" s="1"/>
      <c r="R466" s="1"/>
      <c r="S466" s="1"/>
      <c r="T466" s="1"/>
      <c r="U466" s="1"/>
      <c r="V466" s="1"/>
      <c r="W466" s="1"/>
      <c r="X466" s="1"/>
      <c r="Y466" s="1"/>
      <c r="Z466" s="1"/>
      <c r="AA466" s="1"/>
      <c r="AB466" s="1"/>
    </row>
    <row r="467" ht="23.25" customHeight="1">
      <c r="A467" s="1"/>
      <c r="B467" s="1"/>
      <c r="C467" s="34"/>
      <c r="D467" s="1"/>
      <c r="E467" s="58"/>
      <c r="F467" s="1"/>
      <c r="G467" s="1"/>
      <c r="H467" s="1"/>
      <c r="I467" s="1"/>
      <c r="J467" s="1"/>
      <c r="K467" s="1"/>
      <c r="L467" s="1"/>
      <c r="M467" s="1"/>
      <c r="N467" s="1"/>
      <c r="O467" s="1"/>
      <c r="P467" s="1"/>
      <c r="Q467" s="1"/>
      <c r="R467" s="1"/>
      <c r="S467" s="1"/>
      <c r="T467" s="1"/>
      <c r="U467" s="1"/>
      <c r="V467" s="1"/>
      <c r="W467" s="1"/>
      <c r="X467" s="1"/>
      <c r="Y467" s="1"/>
      <c r="Z467" s="1"/>
      <c r="AA467" s="1"/>
      <c r="AB467" s="1"/>
    </row>
    <row r="468" ht="23.25" customHeight="1">
      <c r="A468" s="1"/>
      <c r="B468" s="1"/>
      <c r="C468" s="34"/>
      <c r="D468" s="1"/>
      <c r="E468" s="58"/>
      <c r="F468" s="1"/>
      <c r="G468" s="1"/>
      <c r="H468" s="1"/>
      <c r="I468" s="1"/>
      <c r="J468" s="1"/>
      <c r="K468" s="1"/>
      <c r="L468" s="1"/>
      <c r="M468" s="1"/>
      <c r="N468" s="1"/>
      <c r="O468" s="1"/>
      <c r="P468" s="1"/>
      <c r="Q468" s="1"/>
      <c r="R468" s="1"/>
      <c r="S468" s="1"/>
      <c r="T468" s="1"/>
      <c r="U468" s="1"/>
      <c r="V468" s="1"/>
      <c r="W468" s="1"/>
      <c r="X468" s="1"/>
      <c r="Y468" s="1"/>
      <c r="Z468" s="1"/>
      <c r="AA468" s="1"/>
      <c r="AB468" s="1"/>
    </row>
    <row r="469" ht="23.25" customHeight="1">
      <c r="A469" s="1"/>
      <c r="B469" s="1"/>
      <c r="C469" s="34"/>
      <c r="D469" s="1"/>
      <c r="E469" s="58"/>
      <c r="F469" s="1"/>
      <c r="G469" s="1"/>
      <c r="H469" s="1"/>
      <c r="I469" s="1"/>
      <c r="J469" s="1"/>
      <c r="K469" s="1"/>
      <c r="L469" s="1"/>
      <c r="M469" s="1"/>
      <c r="N469" s="1"/>
      <c r="O469" s="1"/>
      <c r="P469" s="1"/>
      <c r="Q469" s="1"/>
      <c r="R469" s="1"/>
      <c r="S469" s="1"/>
      <c r="T469" s="1"/>
      <c r="U469" s="1"/>
      <c r="V469" s="1"/>
      <c r="W469" s="1"/>
      <c r="X469" s="1"/>
      <c r="Y469" s="1"/>
      <c r="Z469" s="1"/>
      <c r="AA469" s="1"/>
      <c r="AB469" s="1"/>
    </row>
    <row r="470" ht="23.25" customHeight="1">
      <c r="A470" s="1"/>
      <c r="B470" s="1"/>
      <c r="C470" s="34"/>
      <c r="D470" s="1"/>
      <c r="E470" s="58"/>
      <c r="F470" s="1"/>
      <c r="G470" s="1"/>
      <c r="H470" s="1"/>
      <c r="I470" s="1"/>
      <c r="J470" s="1"/>
      <c r="K470" s="1"/>
      <c r="L470" s="1"/>
      <c r="M470" s="1"/>
      <c r="N470" s="1"/>
      <c r="O470" s="1"/>
      <c r="P470" s="1"/>
      <c r="Q470" s="1"/>
      <c r="R470" s="1"/>
      <c r="S470" s="1"/>
      <c r="T470" s="1"/>
      <c r="U470" s="1"/>
      <c r="V470" s="1"/>
      <c r="W470" s="1"/>
      <c r="X470" s="1"/>
      <c r="Y470" s="1"/>
      <c r="Z470" s="1"/>
      <c r="AA470" s="1"/>
      <c r="AB470" s="1"/>
    </row>
    <row r="471" ht="23.25" customHeight="1">
      <c r="A471" s="1"/>
      <c r="B471" s="1"/>
      <c r="C471" s="34"/>
      <c r="D471" s="1"/>
      <c r="E471" s="58"/>
      <c r="F471" s="1"/>
      <c r="G471" s="1"/>
      <c r="H471" s="1"/>
      <c r="I471" s="1"/>
      <c r="J471" s="1"/>
      <c r="K471" s="1"/>
      <c r="L471" s="1"/>
      <c r="M471" s="1"/>
      <c r="N471" s="1"/>
      <c r="O471" s="1"/>
      <c r="P471" s="1"/>
      <c r="Q471" s="1"/>
      <c r="R471" s="1"/>
      <c r="S471" s="1"/>
      <c r="T471" s="1"/>
      <c r="U471" s="1"/>
      <c r="V471" s="1"/>
      <c r="W471" s="1"/>
      <c r="X471" s="1"/>
      <c r="Y471" s="1"/>
      <c r="Z471" s="1"/>
      <c r="AA471" s="1"/>
      <c r="AB471" s="1"/>
    </row>
    <row r="472" ht="23.25" customHeight="1">
      <c r="A472" s="1"/>
      <c r="B472" s="1"/>
      <c r="C472" s="34"/>
      <c r="D472" s="1"/>
      <c r="E472" s="58"/>
      <c r="F472" s="1"/>
      <c r="G472" s="1"/>
      <c r="H472" s="1"/>
      <c r="I472" s="1"/>
      <c r="J472" s="1"/>
      <c r="K472" s="1"/>
      <c r="L472" s="1"/>
      <c r="M472" s="1"/>
      <c r="N472" s="1"/>
      <c r="O472" s="1"/>
      <c r="P472" s="1"/>
      <c r="Q472" s="1"/>
      <c r="R472" s="1"/>
      <c r="S472" s="1"/>
      <c r="T472" s="1"/>
      <c r="U472" s="1"/>
      <c r="V472" s="1"/>
      <c r="W472" s="1"/>
      <c r="X472" s="1"/>
      <c r="Y472" s="1"/>
      <c r="Z472" s="1"/>
      <c r="AA472" s="1"/>
      <c r="AB472" s="1"/>
    </row>
    <row r="473" ht="23.25" customHeight="1">
      <c r="A473" s="1"/>
      <c r="B473" s="1"/>
      <c r="C473" s="34"/>
      <c r="D473" s="1"/>
      <c r="E473" s="58"/>
      <c r="F473" s="1"/>
      <c r="G473" s="1"/>
      <c r="H473" s="1"/>
      <c r="I473" s="1"/>
      <c r="J473" s="1"/>
      <c r="K473" s="1"/>
      <c r="L473" s="1"/>
      <c r="M473" s="1"/>
      <c r="N473" s="1"/>
      <c r="O473" s="1"/>
      <c r="P473" s="1"/>
      <c r="Q473" s="1"/>
      <c r="R473" s="1"/>
      <c r="S473" s="1"/>
      <c r="T473" s="1"/>
      <c r="U473" s="1"/>
      <c r="V473" s="1"/>
      <c r="W473" s="1"/>
      <c r="X473" s="1"/>
      <c r="Y473" s="1"/>
      <c r="Z473" s="1"/>
      <c r="AA473" s="1"/>
      <c r="AB473" s="1"/>
    </row>
    <row r="474" ht="23.25" customHeight="1">
      <c r="A474" s="1"/>
      <c r="B474" s="1"/>
      <c r="C474" s="34"/>
      <c r="D474" s="1"/>
      <c r="E474" s="58"/>
      <c r="F474" s="1"/>
      <c r="G474" s="1"/>
      <c r="H474" s="1"/>
      <c r="I474" s="1"/>
      <c r="J474" s="1"/>
      <c r="K474" s="1"/>
      <c r="L474" s="1"/>
      <c r="M474" s="1"/>
      <c r="N474" s="1"/>
      <c r="O474" s="1"/>
      <c r="P474" s="1"/>
      <c r="Q474" s="1"/>
      <c r="R474" s="1"/>
      <c r="S474" s="1"/>
      <c r="T474" s="1"/>
      <c r="U474" s="1"/>
      <c r="V474" s="1"/>
      <c r="W474" s="1"/>
      <c r="X474" s="1"/>
      <c r="Y474" s="1"/>
      <c r="Z474" s="1"/>
      <c r="AA474" s="1"/>
      <c r="AB474" s="1"/>
    </row>
    <row r="475" ht="23.25" customHeight="1">
      <c r="A475" s="1"/>
      <c r="B475" s="1"/>
      <c r="C475" s="34"/>
      <c r="D475" s="1"/>
      <c r="E475" s="58"/>
      <c r="F475" s="1"/>
      <c r="G475" s="1"/>
      <c r="H475" s="1"/>
      <c r="I475" s="1"/>
      <c r="J475" s="1"/>
      <c r="K475" s="1"/>
      <c r="L475" s="1"/>
      <c r="M475" s="1"/>
      <c r="N475" s="1"/>
      <c r="O475" s="1"/>
      <c r="P475" s="1"/>
      <c r="Q475" s="1"/>
      <c r="R475" s="1"/>
      <c r="S475" s="1"/>
      <c r="T475" s="1"/>
      <c r="U475" s="1"/>
      <c r="V475" s="1"/>
      <c r="W475" s="1"/>
      <c r="X475" s="1"/>
      <c r="Y475" s="1"/>
      <c r="Z475" s="1"/>
      <c r="AA475" s="1"/>
      <c r="AB475" s="1"/>
    </row>
    <row r="476" ht="23.25" customHeight="1">
      <c r="A476" s="1"/>
      <c r="B476" s="1"/>
      <c r="C476" s="34"/>
      <c r="D476" s="1"/>
      <c r="E476" s="58"/>
      <c r="F476" s="1"/>
      <c r="G476" s="1"/>
      <c r="H476" s="1"/>
      <c r="I476" s="1"/>
      <c r="J476" s="1"/>
      <c r="K476" s="1"/>
      <c r="L476" s="1"/>
      <c r="M476" s="1"/>
      <c r="N476" s="1"/>
      <c r="O476" s="1"/>
      <c r="P476" s="1"/>
      <c r="Q476" s="1"/>
      <c r="R476" s="1"/>
      <c r="S476" s="1"/>
      <c r="T476" s="1"/>
      <c r="U476" s="1"/>
      <c r="V476" s="1"/>
      <c r="W476" s="1"/>
      <c r="X476" s="1"/>
      <c r="Y476" s="1"/>
      <c r="Z476" s="1"/>
      <c r="AA476" s="1"/>
      <c r="AB476" s="1"/>
    </row>
    <row r="477" ht="23.25" customHeight="1">
      <c r="A477" s="1"/>
      <c r="B477" s="1"/>
      <c r="C477" s="34"/>
      <c r="D477" s="1"/>
      <c r="E477" s="58"/>
      <c r="F477" s="1"/>
      <c r="G477" s="1"/>
      <c r="H477" s="1"/>
      <c r="I477" s="1"/>
      <c r="J477" s="1"/>
      <c r="K477" s="1"/>
      <c r="L477" s="1"/>
      <c r="M477" s="1"/>
      <c r="N477" s="1"/>
      <c r="O477" s="1"/>
      <c r="P477" s="1"/>
      <c r="Q477" s="1"/>
      <c r="R477" s="1"/>
      <c r="S477" s="1"/>
      <c r="T477" s="1"/>
      <c r="U477" s="1"/>
      <c r="V477" s="1"/>
      <c r="W477" s="1"/>
      <c r="X477" s="1"/>
      <c r="Y477" s="1"/>
      <c r="Z477" s="1"/>
      <c r="AA477" s="1"/>
      <c r="AB477" s="1"/>
    </row>
    <row r="478" ht="23.25" customHeight="1">
      <c r="A478" s="1"/>
      <c r="B478" s="1"/>
      <c r="C478" s="34"/>
      <c r="D478" s="1"/>
      <c r="E478" s="58"/>
      <c r="F478" s="1"/>
      <c r="G478" s="1"/>
      <c r="H478" s="1"/>
      <c r="I478" s="1"/>
      <c r="J478" s="1"/>
      <c r="K478" s="1"/>
      <c r="L478" s="1"/>
      <c r="M478" s="1"/>
      <c r="N478" s="1"/>
      <c r="O478" s="1"/>
      <c r="P478" s="1"/>
      <c r="Q478" s="1"/>
      <c r="R478" s="1"/>
      <c r="S478" s="1"/>
      <c r="T478" s="1"/>
      <c r="U478" s="1"/>
      <c r="V478" s="1"/>
      <c r="W478" s="1"/>
      <c r="X478" s="1"/>
      <c r="Y478" s="1"/>
      <c r="Z478" s="1"/>
      <c r="AA478" s="1"/>
      <c r="AB478" s="1"/>
    </row>
    <row r="479" ht="23.25" customHeight="1">
      <c r="A479" s="1"/>
      <c r="B479" s="1"/>
      <c r="C479" s="34"/>
      <c r="D479" s="1"/>
      <c r="E479" s="58"/>
      <c r="F479" s="1"/>
      <c r="G479" s="1"/>
      <c r="H479" s="1"/>
      <c r="I479" s="1"/>
      <c r="J479" s="1"/>
      <c r="K479" s="1"/>
      <c r="L479" s="1"/>
      <c r="M479" s="1"/>
      <c r="N479" s="1"/>
      <c r="O479" s="1"/>
      <c r="P479" s="1"/>
      <c r="Q479" s="1"/>
      <c r="R479" s="1"/>
      <c r="S479" s="1"/>
      <c r="T479" s="1"/>
      <c r="U479" s="1"/>
      <c r="V479" s="1"/>
      <c r="W479" s="1"/>
      <c r="X479" s="1"/>
      <c r="Y479" s="1"/>
      <c r="Z479" s="1"/>
      <c r="AA479" s="1"/>
      <c r="AB479" s="1"/>
    </row>
    <row r="480" ht="23.25" customHeight="1">
      <c r="A480" s="1"/>
      <c r="B480" s="1"/>
      <c r="C480" s="34"/>
      <c r="D480" s="1"/>
      <c r="E480" s="58"/>
      <c r="F480" s="1"/>
      <c r="G480" s="1"/>
      <c r="H480" s="1"/>
      <c r="I480" s="1"/>
      <c r="J480" s="1"/>
      <c r="K480" s="1"/>
      <c r="L480" s="1"/>
      <c r="M480" s="1"/>
      <c r="N480" s="1"/>
      <c r="O480" s="1"/>
      <c r="P480" s="1"/>
      <c r="Q480" s="1"/>
      <c r="R480" s="1"/>
      <c r="S480" s="1"/>
      <c r="T480" s="1"/>
      <c r="U480" s="1"/>
      <c r="V480" s="1"/>
      <c r="W480" s="1"/>
      <c r="X480" s="1"/>
      <c r="Y480" s="1"/>
      <c r="Z480" s="1"/>
      <c r="AA480" s="1"/>
      <c r="AB480" s="1"/>
    </row>
    <row r="481" ht="23.25" customHeight="1">
      <c r="A481" s="1"/>
      <c r="B481" s="1"/>
      <c r="C481" s="34"/>
      <c r="D481" s="1"/>
      <c r="E481" s="58"/>
      <c r="F481" s="1"/>
      <c r="G481" s="1"/>
      <c r="H481" s="1"/>
      <c r="I481" s="1"/>
      <c r="J481" s="1"/>
      <c r="K481" s="1"/>
      <c r="L481" s="1"/>
      <c r="M481" s="1"/>
      <c r="N481" s="1"/>
      <c r="O481" s="1"/>
      <c r="P481" s="1"/>
      <c r="Q481" s="1"/>
      <c r="R481" s="1"/>
      <c r="S481" s="1"/>
      <c r="T481" s="1"/>
      <c r="U481" s="1"/>
      <c r="V481" s="1"/>
      <c r="W481" s="1"/>
      <c r="X481" s="1"/>
      <c r="Y481" s="1"/>
      <c r="Z481" s="1"/>
      <c r="AA481" s="1"/>
      <c r="AB481" s="1"/>
    </row>
    <row r="482" ht="23.25" customHeight="1">
      <c r="A482" s="1"/>
      <c r="B482" s="1"/>
      <c r="C482" s="34"/>
      <c r="D482" s="1"/>
      <c r="E482" s="58"/>
      <c r="F482" s="1"/>
      <c r="G482" s="1"/>
      <c r="H482" s="1"/>
      <c r="I482" s="1"/>
      <c r="J482" s="1"/>
      <c r="K482" s="1"/>
      <c r="L482" s="1"/>
      <c r="M482" s="1"/>
      <c r="N482" s="1"/>
      <c r="O482" s="1"/>
      <c r="P482" s="1"/>
      <c r="Q482" s="1"/>
      <c r="R482" s="1"/>
      <c r="S482" s="1"/>
      <c r="T482" s="1"/>
      <c r="U482" s="1"/>
      <c r="V482" s="1"/>
      <c r="W482" s="1"/>
      <c r="X482" s="1"/>
      <c r="Y482" s="1"/>
      <c r="Z482" s="1"/>
      <c r="AA482" s="1"/>
      <c r="AB482" s="1"/>
    </row>
    <row r="483" ht="23.25" customHeight="1">
      <c r="A483" s="5"/>
      <c r="B483" s="5"/>
      <c r="C483" s="176"/>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ht="23.25" customHeight="1">
      <c r="A484" s="5"/>
      <c r="B484" s="5"/>
      <c r="C484" s="176"/>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ht="23.25" customHeight="1">
      <c r="A485" s="5"/>
      <c r="B485" s="5"/>
      <c r="C485" s="176"/>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ht="23.25" customHeight="1">
      <c r="A486" s="5"/>
      <c r="B486" s="5"/>
      <c r="C486" s="176"/>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ht="23.25" customHeight="1">
      <c r="A487" s="5"/>
      <c r="B487" s="5"/>
      <c r="C487" s="176"/>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ht="23.25" customHeight="1">
      <c r="A488" s="5"/>
      <c r="B488" s="5"/>
      <c r="C488" s="176"/>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ht="23.25" customHeight="1">
      <c r="A489" s="5"/>
      <c r="B489" s="5"/>
      <c r="C489" s="176"/>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ht="23.25" customHeight="1">
      <c r="A490" s="5"/>
      <c r="B490" s="5"/>
      <c r="C490" s="176"/>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ht="23.25" customHeight="1">
      <c r="A491" s="5"/>
      <c r="B491" s="5"/>
      <c r="C491" s="176"/>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ht="23.25" customHeight="1">
      <c r="A492" s="5"/>
      <c r="B492" s="5"/>
      <c r="C492" s="176"/>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ht="23.25" customHeight="1">
      <c r="A493" s="5"/>
      <c r="B493" s="5"/>
      <c r="C493" s="176"/>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ht="23.25" customHeight="1">
      <c r="A494" s="5"/>
      <c r="B494" s="5"/>
      <c r="C494" s="176"/>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ht="23.25" customHeight="1">
      <c r="A495" s="5"/>
      <c r="B495" s="5"/>
      <c r="C495" s="176"/>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ht="23.25" customHeight="1">
      <c r="A496" s="5"/>
      <c r="B496" s="5"/>
      <c r="C496" s="176"/>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ht="23.25" customHeight="1">
      <c r="A497" s="5"/>
      <c r="B497" s="5"/>
      <c r="C497" s="176"/>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ht="23.25" customHeight="1">
      <c r="A498" s="5"/>
      <c r="B498" s="5"/>
      <c r="C498" s="176"/>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ht="23.25" customHeight="1">
      <c r="A499" s="5"/>
      <c r="B499" s="5"/>
      <c r="C499" s="176"/>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ht="23.25" customHeight="1">
      <c r="A500" s="5"/>
      <c r="B500" s="5"/>
      <c r="C500" s="176"/>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ht="23.25" customHeight="1">
      <c r="A501" s="5"/>
      <c r="B501" s="5"/>
      <c r="C501" s="176"/>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ht="23.25" customHeight="1">
      <c r="A502" s="5"/>
      <c r="B502" s="5"/>
      <c r="C502" s="176"/>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ht="23.25" customHeight="1">
      <c r="A503" s="5"/>
      <c r="B503" s="5"/>
      <c r="C503" s="176"/>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ht="23.25" customHeight="1">
      <c r="A504" s="5"/>
      <c r="B504" s="5"/>
      <c r="C504" s="176"/>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ht="23.25" customHeight="1">
      <c r="A505" s="5"/>
      <c r="B505" s="5"/>
      <c r="C505" s="176"/>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ht="23.25" customHeight="1">
      <c r="A506" s="5"/>
      <c r="B506" s="5"/>
      <c r="C506" s="176"/>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ht="23.25" customHeight="1">
      <c r="A507" s="5"/>
      <c r="B507" s="5"/>
      <c r="C507" s="176"/>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ht="23.25" customHeight="1">
      <c r="A508" s="5"/>
      <c r="B508" s="5"/>
      <c r="C508" s="176"/>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ht="23.25" customHeight="1">
      <c r="A509" s="5"/>
      <c r="B509" s="5"/>
      <c r="C509" s="176"/>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ht="23.25" customHeight="1">
      <c r="A510" s="5"/>
      <c r="B510" s="5"/>
      <c r="C510" s="176"/>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ht="23.25" customHeight="1">
      <c r="A511" s="5"/>
      <c r="B511" s="5"/>
      <c r="C511" s="176"/>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ht="23.25" customHeight="1">
      <c r="A512" s="5"/>
      <c r="B512" s="5"/>
      <c r="C512" s="176"/>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ht="23.25" customHeight="1">
      <c r="A513" s="5"/>
      <c r="B513" s="5"/>
      <c r="C513" s="176"/>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ht="23.25" customHeight="1">
      <c r="A514" s="5"/>
      <c r="B514" s="5"/>
      <c r="C514" s="176"/>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ht="23.25" customHeight="1">
      <c r="A515" s="5"/>
      <c r="B515" s="5"/>
      <c r="C515" s="176"/>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ht="23.25" customHeight="1">
      <c r="A516" s="5"/>
      <c r="B516" s="5"/>
      <c r="C516" s="176"/>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ht="23.25" customHeight="1">
      <c r="A517" s="5"/>
      <c r="B517" s="5"/>
      <c r="C517" s="176"/>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ht="23.25" customHeight="1">
      <c r="A518" s="5"/>
      <c r="B518" s="5"/>
      <c r="C518" s="176"/>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ht="23.25" customHeight="1">
      <c r="A519" s="5"/>
      <c r="B519" s="5"/>
      <c r="C519" s="176"/>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ht="23.25" customHeight="1">
      <c r="A520" s="5"/>
      <c r="B520" s="5"/>
      <c r="C520" s="176"/>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ht="23.25" customHeight="1">
      <c r="A521" s="5"/>
      <c r="B521" s="5"/>
      <c r="C521" s="176"/>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ht="23.25" customHeight="1">
      <c r="A522" s="5"/>
      <c r="B522" s="5"/>
      <c r="C522" s="176"/>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ht="23.25" customHeight="1">
      <c r="A523" s="5"/>
      <c r="B523" s="5"/>
      <c r="C523" s="176"/>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ht="23.25" customHeight="1">
      <c r="A524" s="5"/>
      <c r="B524" s="5"/>
      <c r="C524" s="176"/>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ht="23.25" customHeight="1">
      <c r="A525" s="5"/>
      <c r="B525" s="5"/>
      <c r="C525" s="176"/>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ht="23.25" customHeight="1">
      <c r="A526" s="5"/>
      <c r="B526" s="5"/>
      <c r="C526" s="176"/>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ht="23.25" customHeight="1">
      <c r="A527" s="5"/>
      <c r="B527" s="5"/>
      <c r="C527" s="176"/>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ht="23.25" customHeight="1">
      <c r="A528" s="5"/>
      <c r="B528" s="5"/>
      <c r="C528" s="176"/>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ht="23.25" customHeight="1">
      <c r="A529" s="5"/>
      <c r="B529" s="5"/>
      <c r="C529" s="176"/>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ht="23.25" customHeight="1">
      <c r="A530" s="5"/>
      <c r="B530" s="5"/>
      <c r="C530" s="176"/>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ht="23.25" customHeight="1">
      <c r="A531" s="5"/>
      <c r="B531" s="5"/>
      <c r="C531" s="176"/>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ht="23.25" customHeight="1">
      <c r="A532" s="5"/>
      <c r="B532" s="5"/>
      <c r="C532" s="176"/>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ht="23.25" customHeight="1">
      <c r="A533" s="5"/>
      <c r="B533" s="5"/>
      <c r="C533" s="176"/>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ht="23.25" customHeight="1">
      <c r="A534" s="5"/>
      <c r="B534" s="5"/>
      <c r="C534" s="176"/>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ht="23.25" customHeight="1">
      <c r="A535" s="5"/>
      <c r="B535" s="5"/>
      <c r="C535" s="176"/>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ht="23.25" customHeight="1">
      <c r="A536" s="5"/>
      <c r="B536" s="5"/>
      <c r="C536" s="176"/>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ht="23.25" customHeight="1">
      <c r="A537" s="5"/>
      <c r="B537" s="5"/>
      <c r="C537" s="176"/>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ht="23.25" customHeight="1">
      <c r="A538" s="5"/>
      <c r="B538" s="5"/>
      <c r="C538" s="176"/>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ht="23.25" customHeight="1">
      <c r="A539" s="5"/>
      <c r="B539" s="5"/>
      <c r="C539" s="176"/>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ht="23.25" customHeight="1">
      <c r="A540" s="5"/>
      <c r="B540" s="5"/>
      <c r="C540" s="176"/>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ht="23.25" customHeight="1">
      <c r="A541" s="5"/>
      <c r="B541" s="5"/>
      <c r="C541" s="176"/>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ht="23.25" customHeight="1">
      <c r="A542" s="5"/>
      <c r="B542" s="5"/>
      <c r="C542" s="176"/>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ht="23.25" customHeight="1">
      <c r="A543" s="5"/>
      <c r="B543" s="5"/>
      <c r="C543" s="176"/>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ht="23.25" customHeight="1">
      <c r="A544" s="5"/>
      <c r="B544" s="5"/>
      <c r="C544" s="176"/>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ht="23.25" customHeight="1">
      <c r="A545" s="5"/>
      <c r="B545" s="5"/>
      <c r="C545" s="176"/>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ht="23.25" customHeight="1">
      <c r="A546" s="5"/>
      <c r="B546" s="5"/>
      <c r="C546" s="176"/>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ht="23.25" customHeight="1">
      <c r="A547" s="5"/>
      <c r="B547" s="5"/>
      <c r="C547" s="176"/>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ht="23.25" customHeight="1">
      <c r="A548" s="5"/>
      <c r="B548" s="5"/>
      <c r="C548" s="176"/>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ht="23.25" customHeight="1">
      <c r="A549" s="5"/>
      <c r="B549" s="5"/>
      <c r="C549" s="176"/>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ht="23.25" customHeight="1">
      <c r="A550" s="5"/>
      <c r="B550" s="5"/>
      <c r="C550" s="176"/>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ht="23.25" customHeight="1">
      <c r="A551" s="5"/>
      <c r="B551" s="5"/>
      <c r="C551" s="176"/>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ht="23.25" customHeight="1">
      <c r="A552" s="5"/>
      <c r="B552" s="5"/>
      <c r="C552" s="176"/>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ht="23.25" customHeight="1">
      <c r="A553" s="5"/>
      <c r="B553" s="5"/>
      <c r="C553" s="176"/>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ht="23.25" customHeight="1">
      <c r="A554" s="5"/>
      <c r="B554" s="5"/>
      <c r="C554" s="176"/>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ht="23.25" customHeight="1">
      <c r="A555" s="5"/>
      <c r="B555" s="5"/>
      <c r="C555" s="176"/>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ht="23.25" customHeight="1">
      <c r="A556" s="5"/>
      <c r="B556" s="5"/>
      <c r="C556" s="176"/>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ht="23.25" customHeight="1">
      <c r="A557" s="5"/>
      <c r="B557" s="5"/>
      <c r="C557" s="176"/>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ht="23.25" customHeight="1">
      <c r="A558" s="5"/>
      <c r="B558" s="5"/>
      <c r="C558" s="176"/>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ht="23.25" customHeight="1">
      <c r="A559" s="5"/>
      <c r="B559" s="5"/>
      <c r="C559" s="176"/>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ht="23.25" customHeight="1">
      <c r="A560" s="5"/>
      <c r="B560" s="5"/>
      <c r="C560" s="176"/>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ht="23.25" customHeight="1">
      <c r="A561" s="5"/>
      <c r="B561" s="5"/>
      <c r="C561" s="176"/>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ht="23.25" customHeight="1">
      <c r="A562" s="5"/>
      <c r="B562" s="5"/>
      <c r="C562" s="176"/>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ht="23.25" customHeight="1">
      <c r="A563" s="5"/>
      <c r="B563" s="5"/>
      <c r="C563" s="176"/>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ht="23.25" customHeight="1">
      <c r="A564" s="5"/>
      <c r="B564" s="5"/>
      <c r="C564" s="176"/>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ht="23.25" customHeight="1">
      <c r="A565" s="5"/>
      <c r="B565" s="5"/>
      <c r="C565" s="176"/>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ht="23.25" customHeight="1">
      <c r="A566" s="5"/>
      <c r="B566" s="5"/>
      <c r="C566" s="176"/>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ht="23.25" customHeight="1">
      <c r="A567" s="5"/>
      <c r="B567" s="5"/>
      <c r="C567" s="176"/>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ht="23.25" customHeight="1">
      <c r="A568" s="5"/>
      <c r="B568" s="5"/>
      <c r="C568" s="176"/>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ht="23.25" customHeight="1">
      <c r="A569" s="5"/>
      <c r="B569" s="5"/>
      <c r="C569" s="176"/>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ht="23.25" customHeight="1">
      <c r="A570" s="5"/>
      <c r="B570" s="5"/>
      <c r="C570" s="176"/>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ht="23.25" customHeight="1">
      <c r="A571" s="5"/>
      <c r="B571" s="5"/>
      <c r="C571" s="176"/>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ht="23.25" customHeight="1">
      <c r="A572" s="5"/>
      <c r="B572" s="5"/>
      <c r="C572" s="176"/>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ht="23.25" customHeight="1">
      <c r="A573" s="5"/>
      <c r="B573" s="5"/>
      <c r="C573" s="176"/>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ht="23.25" customHeight="1">
      <c r="A574" s="5"/>
      <c r="B574" s="5"/>
      <c r="C574" s="176"/>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ht="23.25" customHeight="1">
      <c r="A575" s="5"/>
      <c r="B575" s="5"/>
      <c r="C575" s="176"/>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ht="23.25" customHeight="1">
      <c r="A576" s="5"/>
      <c r="B576" s="5"/>
      <c r="C576" s="176"/>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ht="23.25" customHeight="1">
      <c r="A577" s="5"/>
      <c r="B577" s="5"/>
      <c r="C577" s="176"/>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ht="23.25" customHeight="1">
      <c r="A578" s="5"/>
      <c r="B578" s="5"/>
      <c r="C578" s="176"/>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ht="23.25" customHeight="1">
      <c r="A579" s="5"/>
      <c r="B579" s="5"/>
      <c r="C579" s="176"/>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ht="23.25" customHeight="1">
      <c r="A580" s="5"/>
      <c r="B580" s="5"/>
      <c r="C580" s="176"/>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ht="23.25" customHeight="1">
      <c r="A581" s="5"/>
      <c r="B581" s="5"/>
      <c r="C581" s="176"/>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ht="23.25" customHeight="1">
      <c r="A582" s="5"/>
      <c r="B582" s="5"/>
      <c r="C582" s="176"/>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ht="23.25" customHeight="1">
      <c r="A583" s="5"/>
      <c r="B583" s="5"/>
      <c r="C583" s="176"/>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ht="23.25" customHeight="1">
      <c r="A584" s="5"/>
      <c r="B584" s="5"/>
      <c r="C584" s="176"/>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ht="23.25" customHeight="1">
      <c r="A585" s="5"/>
      <c r="B585" s="5"/>
      <c r="C585" s="176"/>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ht="23.25" customHeight="1">
      <c r="A586" s="5"/>
      <c r="B586" s="5"/>
      <c r="C586" s="176"/>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ht="23.25" customHeight="1">
      <c r="A587" s="5"/>
      <c r="B587" s="5"/>
      <c r="C587" s="176"/>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ht="23.25" customHeight="1">
      <c r="A588" s="5"/>
      <c r="B588" s="5"/>
      <c r="C588" s="176"/>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ht="23.25" customHeight="1">
      <c r="A589" s="5"/>
      <c r="B589" s="5"/>
      <c r="C589" s="176"/>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ht="23.25" customHeight="1">
      <c r="A590" s="5"/>
      <c r="B590" s="5"/>
      <c r="C590" s="176"/>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ht="23.25" customHeight="1">
      <c r="A591" s="5"/>
      <c r="B591" s="5"/>
      <c r="C591" s="176"/>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ht="23.25" customHeight="1">
      <c r="A592" s="5"/>
      <c r="B592" s="5"/>
      <c r="C592" s="176"/>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ht="23.25" customHeight="1">
      <c r="A593" s="5"/>
      <c r="B593" s="5"/>
      <c r="C593" s="176"/>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ht="23.25" customHeight="1">
      <c r="A594" s="5"/>
      <c r="B594" s="5"/>
      <c r="C594" s="176"/>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ht="23.25" customHeight="1">
      <c r="A595" s="5"/>
      <c r="B595" s="5"/>
      <c r="C595" s="176"/>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ht="23.25" customHeight="1">
      <c r="A596" s="5"/>
      <c r="B596" s="5"/>
      <c r="C596" s="176"/>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ht="23.25" customHeight="1">
      <c r="A597" s="5"/>
      <c r="B597" s="5"/>
      <c r="C597" s="176"/>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ht="23.25" customHeight="1">
      <c r="A598" s="5"/>
      <c r="B598" s="5"/>
      <c r="C598" s="176"/>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ht="23.25" customHeight="1">
      <c r="A599" s="5"/>
      <c r="B599" s="5"/>
      <c r="C599" s="176"/>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ht="23.25" customHeight="1">
      <c r="A600" s="5"/>
      <c r="B600" s="5"/>
      <c r="C600" s="176"/>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ht="23.25" customHeight="1">
      <c r="A601" s="5"/>
      <c r="B601" s="5"/>
      <c r="C601" s="176"/>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ht="23.25" customHeight="1">
      <c r="A602" s="5"/>
      <c r="B602" s="5"/>
      <c r="C602" s="176"/>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ht="23.25" customHeight="1">
      <c r="A603" s="5"/>
      <c r="B603" s="5"/>
      <c r="C603" s="176"/>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ht="23.25" customHeight="1">
      <c r="A604" s="5"/>
      <c r="B604" s="5"/>
      <c r="C604" s="176"/>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ht="23.25" customHeight="1">
      <c r="A605" s="5"/>
      <c r="B605" s="5"/>
      <c r="C605" s="176"/>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ht="23.25" customHeight="1">
      <c r="A606" s="5"/>
      <c r="B606" s="5"/>
      <c r="C606" s="176"/>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ht="23.25" customHeight="1">
      <c r="A607" s="5"/>
      <c r="B607" s="5"/>
      <c r="C607" s="176"/>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ht="23.25" customHeight="1">
      <c r="A608" s="5"/>
      <c r="B608" s="5"/>
      <c r="C608" s="176"/>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ht="23.25" customHeight="1">
      <c r="A609" s="5"/>
      <c r="B609" s="5"/>
      <c r="C609" s="176"/>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ht="23.25" customHeight="1">
      <c r="A610" s="5"/>
      <c r="B610" s="5"/>
      <c r="C610" s="176"/>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ht="23.25" customHeight="1">
      <c r="A611" s="5"/>
      <c r="B611" s="5"/>
      <c r="C611" s="176"/>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ht="23.25" customHeight="1">
      <c r="A612" s="5"/>
      <c r="B612" s="5"/>
      <c r="C612" s="176"/>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ht="23.25" customHeight="1">
      <c r="A613" s="5"/>
      <c r="B613" s="5"/>
      <c r="C613" s="176"/>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ht="23.25" customHeight="1">
      <c r="A614" s="5"/>
      <c r="B614" s="5"/>
      <c r="C614" s="176"/>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ht="23.25" customHeight="1">
      <c r="A615" s="5"/>
      <c r="B615" s="5"/>
      <c r="C615" s="176"/>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ht="23.25" customHeight="1">
      <c r="A616" s="5"/>
      <c r="B616" s="5"/>
      <c r="C616" s="176"/>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ht="23.25" customHeight="1">
      <c r="A617" s="5"/>
      <c r="B617" s="5"/>
      <c r="C617" s="176"/>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ht="23.25" customHeight="1">
      <c r="A618" s="5"/>
      <c r="B618" s="5"/>
      <c r="C618" s="176"/>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ht="23.25" customHeight="1">
      <c r="A619" s="5"/>
      <c r="B619" s="5"/>
      <c r="C619" s="176"/>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ht="23.25" customHeight="1">
      <c r="A620" s="5"/>
      <c r="B620" s="5"/>
      <c r="C620" s="176"/>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ht="23.25" customHeight="1">
      <c r="A621" s="5"/>
      <c r="B621" s="5"/>
      <c r="C621" s="176"/>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ht="23.25" customHeight="1">
      <c r="A622" s="5"/>
      <c r="B622" s="5"/>
      <c r="C622" s="176"/>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ht="23.25" customHeight="1">
      <c r="A623" s="5"/>
      <c r="B623" s="5"/>
      <c r="C623" s="176"/>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ht="23.25" customHeight="1">
      <c r="A624" s="5"/>
      <c r="B624" s="5"/>
      <c r="C624" s="176"/>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ht="23.25" customHeight="1">
      <c r="A625" s="5"/>
      <c r="B625" s="5"/>
      <c r="C625" s="176"/>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ht="23.25" customHeight="1">
      <c r="A626" s="5"/>
      <c r="B626" s="5"/>
      <c r="C626" s="176"/>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ht="23.25" customHeight="1">
      <c r="A627" s="5"/>
      <c r="B627" s="5"/>
      <c r="C627" s="176"/>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ht="23.25" customHeight="1">
      <c r="A628" s="5"/>
      <c r="B628" s="5"/>
      <c r="C628" s="176"/>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ht="23.25" customHeight="1">
      <c r="A629" s="5"/>
      <c r="B629" s="5"/>
      <c r="C629" s="176"/>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ht="23.25" customHeight="1">
      <c r="A630" s="5"/>
      <c r="B630" s="5"/>
      <c r="C630" s="176"/>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ht="23.25" customHeight="1">
      <c r="A631" s="5"/>
      <c r="B631" s="5"/>
      <c r="C631" s="176"/>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ht="23.25" customHeight="1">
      <c r="A632" s="5"/>
      <c r="B632" s="5"/>
      <c r="C632" s="176"/>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ht="23.25" customHeight="1">
      <c r="A633" s="5"/>
      <c r="B633" s="5"/>
      <c r="C633" s="176"/>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ht="23.25" customHeight="1">
      <c r="A634" s="5"/>
      <c r="B634" s="5"/>
      <c r="C634" s="176"/>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ht="23.25" customHeight="1">
      <c r="A635" s="5"/>
      <c r="B635" s="5"/>
      <c r="C635" s="176"/>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ht="23.25" customHeight="1">
      <c r="A636" s="5"/>
      <c r="B636" s="5"/>
      <c r="C636" s="176"/>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ht="23.25" customHeight="1">
      <c r="A637" s="5"/>
      <c r="B637" s="5"/>
      <c r="C637" s="176"/>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ht="23.25" customHeight="1">
      <c r="A638" s="5"/>
      <c r="B638" s="5"/>
      <c r="C638" s="176"/>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ht="23.25" customHeight="1">
      <c r="A639" s="5"/>
      <c r="B639" s="5"/>
      <c r="C639" s="176"/>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ht="23.25" customHeight="1">
      <c r="A640" s="5"/>
      <c r="B640" s="5"/>
      <c r="C640" s="176"/>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ht="23.25" customHeight="1">
      <c r="A641" s="5"/>
      <c r="B641" s="5"/>
      <c r="C641" s="176"/>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ht="23.25" customHeight="1">
      <c r="A642" s="5"/>
      <c r="B642" s="5"/>
      <c r="C642" s="176"/>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ht="23.25" customHeight="1">
      <c r="A643" s="5"/>
      <c r="B643" s="5"/>
      <c r="C643" s="176"/>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ht="23.25" customHeight="1">
      <c r="A644" s="5"/>
      <c r="B644" s="5"/>
      <c r="C644" s="176"/>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ht="23.25" customHeight="1">
      <c r="A645" s="5"/>
      <c r="B645" s="5"/>
      <c r="C645" s="176"/>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ht="23.25" customHeight="1">
      <c r="A646" s="5"/>
      <c r="B646" s="5"/>
      <c r="C646" s="176"/>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ht="23.25" customHeight="1">
      <c r="A647" s="5"/>
      <c r="B647" s="5"/>
      <c r="C647" s="176"/>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ht="23.25" customHeight="1">
      <c r="A648" s="5"/>
      <c r="B648" s="5"/>
      <c r="C648" s="176"/>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ht="23.25" customHeight="1">
      <c r="A649" s="5"/>
      <c r="B649" s="5"/>
      <c r="C649" s="176"/>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ht="23.25" customHeight="1">
      <c r="A650" s="5"/>
      <c r="B650" s="5"/>
      <c r="C650" s="176"/>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ht="23.25" customHeight="1">
      <c r="A651" s="5"/>
      <c r="B651" s="5"/>
      <c r="C651" s="176"/>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ht="23.25" customHeight="1">
      <c r="A652" s="5"/>
      <c r="B652" s="5"/>
      <c r="C652" s="176"/>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ht="23.25" customHeight="1">
      <c r="A653" s="5"/>
      <c r="B653" s="5"/>
      <c r="C653" s="176"/>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ht="23.25" customHeight="1">
      <c r="A654" s="5"/>
      <c r="B654" s="5"/>
      <c r="C654" s="176"/>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ht="23.25" customHeight="1">
      <c r="A655" s="5"/>
      <c r="B655" s="5"/>
      <c r="C655" s="176"/>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ht="23.25" customHeight="1">
      <c r="A656" s="5"/>
      <c r="B656" s="5"/>
      <c r="C656" s="176"/>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ht="23.25" customHeight="1">
      <c r="A657" s="5"/>
      <c r="B657" s="5"/>
      <c r="C657" s="176"/>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ht="23.25" customHeight="1">
      <c r="A658" s="5"/>
      <c r="B658" s="5"/>
      <c r="C658" s="176"/>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ht="23.25" customHeight="1">
      <c r="A659" s="5"/>
      <c r="B659" s="5"/>
      <c r="C659" s="176"/>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ht="23.25" customHeight="1">
      <c r="A660" s="5"/>
      <c r="B660" s="5"/>
      <c r="C660" s="176"/>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ht="23.25" customHeight="1">
      <c r="A661" s="5"/>
      <c r="B661" s="5"/>
      <c r="C661" s="176"/>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ht="23.25" customHeight="1">
      <c r="A662" s="5"/>
      <c r="B662" s="5"/>
      <c r="C662" s="176"/>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ht="23.25" customHeight="1">
      <c r="A663" s="5"/>
      <c r="B663" s="5"/>
      <c r="C663" s="176"/>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ht="23.25" customHeight="1">
      <c r="A664" s="5"/>
      <c r="B664" s="5"/>
      <c r="C664" s="176"/>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ht="23.25" customHeight="1">
      <c r="A665" s="5"/>
      <c r="B665" s="5"/>
      <c r="C665" s="176"/>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ht="23.25" customHeight="1">
      <c r="A666" s="5"/>
      <c r="B666" s="5"/>
      <c r="C666" s="176"/>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ht="23.25" customHeight="1">
      <c r="A667" s="5"/>
      <c r="B667" s="5"/>
      <c r="C667" s="176"/>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ht="23.25" customHeight="1">
      <c r="A668" s="5"/>
      <c r="B668" s="5"/>
      <c r="C668" s="176"/>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ht="23.25" customHeight="1">
      <c r="A669" s="5"/>
      <c r="B669" s="5"/>
      <c r="C669" s="176"/>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ht="23.25" customHeight="1">
      <c r="A670" s="5"/>
      <c r="B670" s="5"/>
      <c r="C670" s="176"/>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ht="23.25" customHeight="1">
      <c r="A671" s="5"/>
      <c r="B671" s="5"/>
      <c r="C671" s="176"/>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ht="23.25" customHeight="1">
      <c r="A672" s="5"/>
      <c r="B672" s="5"/>
      <c r="C672" s="176"/>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ht="23.25" customHeight="1">
      <c r="A673" s="5"/>
      <c r="B673" s="5"/>
      <c r="C673" s="176"/>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ht="23.25" customHeight="1">
      <c r="A674" s="5"/>
      <c r="B674" s="5"/>
      <c r="C674" s="176"/>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ht="23.25" customHeight="1">
      <c r="A675" s="5"/>
      <c r="B675" s="5"/>
      <c r="C675" s="176"/>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ht="23.25" customHeight="1">
      <c r="A676" s="5"/>
      <c r="B676" s="5"/>
      <c r="C676" s="176"/>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ht="23.25" customHeight="1">
      <c r="A677" s="5"/>
      <c r="B677" s="5"/>
      <c r="C677" s="176"/>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ht="23.25" customHeight="1">
      <c r="A678" s="5"/>
      <c r="B678" s="5"/>
      <c r="C678" s="176"/>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ht="23.25" customHeight="1">
      <c r="A679" s="5"/>
      <c r="B679" s="5"/>
      <c r="C679" s="176"/>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ht="23.25" customHeight="1">
      <c r="A680" s="5"/>
      <c r="B680" s="5"/>
      <c r="C680" s="176"/>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ht="23.25" customHeight="1">
      <c r="A681" s="5"/>
      <c r="B681" s="5"/>
      <c r="C681" s="176"/>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ht="23.25" customHeight="1">
      <c r="A682" s="5"/>
      <c r="B682" s="5"/>
      <c r="C682" s="176"/>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ht="23.25" customHeight="1">
      <c r="A683" s="5"/>
      <c r="B683" s="5"/>
      <c r="C683" s="176"/>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ht="23.25" customHeight="1">
      <c r="A684" s="5"/>
      <c r="B684" s="5"/>
      <c r="C684" s="176"/>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ht="23.25" customHeight="1">
      <c r="A685" s="5"/>
      <c r="B685" s="5"/>
      <c r="C685" s="176"/>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ht="23.25" customHeight="1">
      <c r="A686" s="5"/>
      <c r="B686" s="5"/>
      <c r="C686" s="176"/>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ht="23.25" customHeight="1">
      <c r="A687" s="5"/>
      <c r="B687" s="5"/>
      <c r="C687" s="176"/>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ht="23.25" customHeight="1">
      <c r="A688" s="5"/>
      <c r="B688" s="5"/>
      <c r="C688" s="176"/>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ht="23.25" customHeight="1">
      <c r="A689" s="5"/>
      <c r="B689" s="5"/>
      <c r="C689" s="176"/>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ht="23.25" customHeight="1">
      <c r="A690" s="5"/>
      <c r="B690" s="5"/>
      <c r="C690" s="176"/>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ht="23.25" customHeight="1">
      <c r="A691" s="5"/>
      <c r="B691" s="5"/>
      <c r="C691" s="176"/>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ht="23.25" customHeight="1">
      <c r="A692" s="5"/>
      <c r="B692" s="5"/>
      <c r="C692" s="176"/>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ht="23.25" customHeight="1">
      <c r="A693" s="5"/>
      <c r="B693" s="5"/>
      <c r="C693" s="176"/>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ht="23.25" customHeight="1">
      <c r="A694" s="5"/>
      <c r="B694" s="5"/>
      <c r="C694" s="176"/>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ht="23.25" customHeight="1">
      <c r="A695" s="5"/>
      <c r="B695" s="5"/>
      <c r="C695" s="176"/>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ht="23.25" customHeight="1">
      <c r="A696" s="5"/>
      <c r="B696" s="5"/>
      <c r="C696" s="176"/>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ht="23.25" customHeight="1">
      <c r="A697" s="5"/>
      <c r="B697" s="5"/>
      <c r="C697" s="176"/>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ht="23.25" customHeight="1">
      <c r="A698" s="5"/>
      <c r="B698" s="5"/>
      <c r="C698" s="176"/>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ht="23.25" customHeight="1">
      <c r="A699" s="5"/>
      <c r="B699" s="5"/>
      <c r="C699" s="176"/>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ht="23.25" customHeight="1">
      <c r="A700" s="5"/>
      <c r="B700" s="5"/>
      <c r="C700" s="176"/>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ht="23.25" customHeight="1">
      <c r="A701" s="5"/>
      <c r="B701" s="5"/>
      <c r="C701" s="176"/>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ht="23.25" customHeight="1">
      <c r="A702" s="5"/>
      <c r="B702" s="5"/>
      <c r="C702" s="176"/>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ht="23.25" customHeight="1">
      <c r="A703" s="5"/>
      <c r="B703" s="5"/>
      <c r="C703" s="176"/>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ht="23.25" customHeight="1">
      <c r="A704" s="5"/>
      <c r="B704" s="5"/>
      <c r="C704" s="176"/>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ht="23.25" customHeight="1">
      <c r="A705" s="5"/>
      <c r="B705" s="5"/>
      <c r="C705" s="176"/>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ht="23.25" customHeight="1">
      <c r="A706" s="5"/>
      <c r="B706" s="5"/>
      <c r="C706" s="176"/>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ht="23.25" customHeight="1">
      <c r="A707" s="5"/>
      <c r="B707" s="5"/>
      <c r="C707" s="176"/>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ht="23.25" customHeight="1">
      <c r="A708" s="5"/>
      <c r="B708" s="5"/>
      <c r="C708" s="176"/>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ht="23.25" customHeight="1">
      <c r="A709" s="5"/>
      <c r="B709" s="5"/>
      <c r="C709" s="176"/>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ht="23.25" customHeight="1">
      <c r="A710" s="5"/>
      <c r="B710" s="5"/>
      <c r="C710" s="176"/>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ht="23.25" customHeight="1">
      <c r="A711" s="5"/>
      <c r="B711" s="5"/>
      <c r="C711" s="176"/>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ht="23.25" customHeight="1">
      <c r="A712" s="5"/>
      <c r="B712" s="5"/>
      <c r="C712" s="176"/>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ht="23.25" customHeight="1">
      <c r="A713" s="5"/>
      <c r="B713" s="5"/>
      <c r="C713" s="176"/>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ht="23.25" customHeight="1">
      <c r="A714" s="5"/>
      <c r="B714" s="5"/>
      <c r="C714" s="176"/>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ht="23.25" customHeight="1">
      <c r="A715" s="5"/>
      <c r="B715" s="5"/>
      <c r="C715" s="176"/>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ht="23.25" customHeight="1">
      <c r="A716" s="5"/>
      <c r="B716" s="5"/>
      <c r="C716" s="176"/>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ht="23.25" customHeight="1">
      <c r="A717" s="5"/>
      <c r="B717" s="5"/>
      <c r="C717" s="176"/>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ht="23.25" customHeight="1">
      <c r="A718" s="5"/>
      <c r="B718" s="5"/>
      <c r="C718" s="176"/>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ht="23.25" customHeight="1">
      <c r="A719" s="5"/>
      <c r="B719" s="5"/>
      <c r="C719" s="176"/>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ht="23.25" customHeight="1">
      <c r="A720" s="5"/>
      <c r="B720" s="5"/>
      <c r="C720" s="176"/>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ht="23.25" customHeight="1">
      <c r="A721" s="5"/>
      <c r="B721" s="5"/>
      <c r="C721" s="176"/>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ht="23.25" customHeight="1">
      <c r="A722" s="5"/>
      <c r="B722" s="5"/>
      <c r="C722" s="176"/>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ht="23.25" customHeight="1">
      <c r="A723" s="5"/>
      <c r="B723" s="5"/>
      <c r="C723" s="176"/>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ht="23.25" customHeight="1">
      <c r="A724" s="5"/>
      <c r="B724" s="5"/>
      <c r="C724" s="176"/>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ht="23.25" customHeight="1">
      <c r="A725" s="5"/>
      <c r="B725" s="5"/>
      <c r="C725" s="176"/>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ht="23.25" customHeight="1">
      <c r="A726" s="5"/>
      <c r="B726" s="5"/>
      <c r="C726" s="176"/>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ht="23.25" customHeight="1">
      <c r="A727" s="5"/>
      <c r="B727" s="5"/>
      <c r="C727" s="176"/>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ht="23.25" customHeight="1">
      <c r="A728" s="5"/>
      <c r="B728" s="5"/>
      <c r="C728" s="176"/>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ht="23.25" customHeight="1">
      <c r="A729" s="5"/>
      <c r="B729" s="5"/>
      <c r="C729" s="176"/>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ht="23.25" customHeight="1">
      <c r="A730" s="5"/>
      <c r="B730" s="5"/>
      <c r="C730" s="176"/>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ht="23.25" customHeight="1">
      <c r="A731" s="5"/>
      <c r="B731" s="5"/>
      <c r="C731" s="176"/>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ht="23.25" customHeight="1">
      <c r="A732" s="5"/>
      <c r="B732" s="5"/>
      <c r="C732" s="176"/>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ht="23.25" customHeight="1">
      <c r="A733" s="5"/>
      <c r="B733" s="5"/>
      <c r="C733" s="176"/>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ht="23.25" customHeight="1">
      <c r="A734" s="5"/>
      <c r="B734" s="5"/>
      <c r="C734" s="176"/>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ht="23.25" customHeight="1">
      <c r="A735" s="5"/>
      <c r="B735" s="5"/>
      <c r="C735" s="176"/>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ht="23.25" customHeight="1">
      <c r="A736" s="5"/>
      <c r="B736" s="5"/>
      <c r="C736" s="176"/>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ht="23.25" customHeight="1">
      <c r="A737" s="5"/>
      <c r="B737" s="5"/>
      <c r="C737" s="176"/>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ht="23.25" customHeight="1">
      <c r="A738" s="5"/>
      <c r="B738" s="5"/>
      <c r="C738" s="176"/>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ht="23.25" customHeight="1">
      <c r="A739" s="5"/>
      <c r="B739" s="5"/>
      <c r="C739" s="176"/>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ht="23.25" customHeight="1">
      <c r="A740" s="5"/>
      <c r="B740" s="5"/>
      <c r="C740" s="176"/>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ht="23.25" customHeight="1">
      <c r="A741" s="5"/>
      <c r="B741" s="5"/>
      <c r="C741" s="176"/>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ht="23.25" customHeight="1">
      <c r="A742" s="5"/>
      <c r="B742" s="5"/>
      <c r="C742" s="176"/>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ht="23.25" customHeight="1">
      <c r="A743" s="5"/>
      <c r="B743" s="5"/>
      <c r="C743" s="176"/>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ht="23.25" customHeight="1">
      <c r="A744" s="5"/>
      <c r="B744" s="5"/>
      <c r="C744" s="176"/>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ht="23.25" customHeight="1">
      <c r="A745" s="5"/>
      <c r="B745" s="5"/>
      <c r="C745" s="176"/>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ht="23.25" customHeight="1">
      <c r="A746" s="5"/>
      <c r="B746" s="5"/>
      <c r="C746" s="176"/>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ht="23.25" customHeight="1">
      <c r="A747" s="5"/>
      <c r="B747" s="5"/>
      <c r="C747" s="176"/>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ht="23.25" customHeight="1">
      <c r="A748" s="5"/>
      <c r="B748" s="5"/>
      <c r="C748" s="176"/>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ht="23.25" customHeight="1">
      <c r="A749" s="5"/>
      <c r="B749" s="5"/>
      <c r="C749" s="176"/>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ht="23.25" customHeight="1">
      <c r="A750" s="5"/>
      <c r="B750" s="5"/>
      <c r="C750" s="176"/>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ht="23.25" customHeight="1">
      <c r="A751" s="5"/>
      <c r="B751" s="5"/>
      <c r="C751" s="176"/>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ht="23.25" customHeight="1">
      <c r="A752" s="5"/>
      <c r="B752" s="5"/>
      <c r="C752" s="176"/>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ht="23.25" customHeight="1">
      <c r="A753" s="5"/>
      <c r="B753" s="5"/>
      <c r="C753" s="176"/>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ht="23.25" customHeight="1">
      <c r="A754" s="5"/>
      <c r="B754" s="5"/>
      <c r="C754" s="176"/>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ht="23.25" customHeight="1">
      <c r="A755" s="5"/>
      <c r="B755" s="5"/>
      <c r="C755" s="176"/>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ht="23.25" customHeight="1">
      <c r="A756" s="5"/>
      <c r="B756" s="5"/>
      <c r="C756" s="176"/>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ht="23.25" customHeight="1">
      <c r="A757" s="5"/>
      <c r="B757" s="5"/>
      <c r="C757" s="176"/>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ht="23.25" customHeight="1">
      <c r="A758" s="5"/>
      <c r="B758" s="5"/>
      <c r="C758" s="176"/>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ht="23.25" customHeight="1">
      <c r="A759" s="5"/>
      <c r="B759" s="5"/>
      <c r="C759" s="176"/>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ht="23.25" customHeight="1">
      <c r="A760" s="5"/>
      <c r="B760" s="5"/>
      <c r="C760" s="176"/>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ht="23.25" customHeight="1">
      <c r="A761" s="5"/>
      <c r="B761" s="5"/>
      <c r="C761" s="176"/>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ht="23.25" customHeight="1">
      <c r="A762" s="5"/>
      <c r="B762" s="5"/>
      <c r="C762" s="176"/>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ht="23.25" customHeight="1">
      <c r="A763" s="5"/>
      <c r="B763" s="5"/>
      <c r="C763" s="176"/>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ht="23.25" customHeight="1">
      <c r="A764" s="5"/>
      <c r="B764" s="5"/>
      <c r="C764" s="176"/>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ht="23.25" customHeight="1">
      <c r="A765" s="5"/>
      <c r="B765" s="5"/>
      <c r="C765" s="176"/>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ht="23.25" customHeight="1">
      <c r="A766" s="5"/>
      <c r="B766" s="5"/>
      <c r="C766" s="176"/>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ht="23.25" customHeight="1">
      <c r="A767" s="5"/>
      <c r="B767" s="5"/>
      <c r="C767" s="176"/>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ht="23.25" customHeight="1">
      <c r="A768" s="5"/>
      <c r="B768" s="5"/>
      <c r="C768" s="176"/>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ht="23.25" customHeight="1">
      <c r="A769" s="5"/>
      <c r="B769" s="5"/>
      <c r="C769" s="176"/>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ht="23.25" customHeight="1">
      <c r="A770" s="5"/>
      <c r="B770" s="5"/>
      <c r="C770" s="176"/>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ht="23.25" customHeight="1">
      <c r="A771" s="5"/>
      <c r="B771" s="5"/>
      <c r="C771" s="176"/>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ht="23.25" customHeight="1">
      <c r="A772" s="5"/>
      <c r="B772" s="5"/>
      <c r="C772" s="176"/>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ht="23.25" customHeight="1">
      <c r="A773" s="5"/>
      <c r="B773" s="5"/>
      <c r="C773" s="176"/>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ht="23.25" customHeight="1">
      <c r="A774" s="5"/>
      <c r="B774" s="5"/>
      <c r="C774" s="176"/>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ht="23.25" customHeight="1">
      <c r="A775" s="5"/>
      <c r="B775" s="5"/>
      <c r="C775" s="176"/>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ht="23.25" customHeight="1">
      <c r="A776" s="5"/>
      <c r="B776" s="5"/>
      <c r="C776" s="176"/>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ht="23.25" customHeight="1">
      <c r="A777" s="5"/>
      <c r="B777" s="5"/>
      <c r="C777" s="176"/>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ht="23.25" customHeight="1">
      <c r="A778" s="5"/>
      <c r="B778" s="5"/>
      <c r="C778" s="176"/>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ht="23.25" customHeight="1">
      <c r="A779" s="5"/>
      <c r="B779" s="5"/>
      <c r="C779" s="176"/>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ht="23.25" customHeight="1">
      <c r="A780" s="5"/>
      <c r="B780" s="5"/>
      <c r="C780" s="176"/>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ht="23.25" customHeight="1">
      <c r="A781" s="5"/>
      <c r="B781" s="5"/>
      <c r="C781" s="176"/>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ht="23.25" customHeight="1">
      <c r="A782" s="5"/>
      <c r="B782" s="5"/>
      <c r="C782" s="176"/>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ht="23.25" customHeight="1">
      <c r="A783" s="5"/>
      <c r="B783" s="5"/>
      <c r="C783" s="176"/>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ht="23.25" customHeight="1">
      <c r="A784" s="5"/>
      <c r="B784" s="5"/>
      <c r="C784" s="176"/>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ht="23.25" customHeight="1">
      <c r="A785" s="5"/>
      <c r="B785" s="5"/>
      <c r="C785" s="176"/>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ht="23.25" customHeight="1">
      <c r="A786" s="5"/>
      <c r="B786" s="5"/>
      <c r="C786" s="176"/>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ht="23.25" customHeight="1">
      <c r="A787" s="5"/>
      <c r="B787" s="5"/>
      <c r="C787" s="176"/>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ht="23.25" customHeight="1">
      <c r="A788" s="5"/>
      <c r="B788" s="5"/>
      <c r="C788" s="176"/>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ht="23.25" customHeight="1">
      <c r="A789" s="5"/>
      <c r="B789" s="5"/>
      <c r="C789" s="176"/>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ht="23.25" customHeight="1">
      <c r="A790" s="5"/>
      <c r="B790" s="5"/>
      <c r="C790" s="176"/>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ht="23.25" customHeight="1">
      <c r="A791" s="5"/>
      <c r="B791" s="5"/>
      <c r="C791" s="176"/>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ht="23.25" customHeight="1">
      <c r="A792" s="5"/>
      <c r="B792" s="5"/>
      <c r="C792" s="176"/>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ht="23.25" customHeight="1">
      <c r="A793" s="5"/>
      <c r="B793" s="5"/>
      <c r="C793" s="176"/>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ht="23.25" customHeight="1">
      <c r="A794" s="5"/>
      <c r="B794" s="5"/>
      <c r="C794" s="176"/>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ht="23.25" customHeight="1">
      <c r="A795" s="5"/>
      <c r="B795" s="5"/>
      <c r="C795" s="176"/>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ht="23.25" customHeight="1">
      <c r="A796" s="5"/>
      <c r="B796" s="5"/>
      <c r="C796" s="176"/>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ht="23.25" customHeight="1">
      <c r="A797" s="5"/>
      <c r="B797" s="5"/>
      <c r="C797" s="176"/>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ht="23.25" customHeight="1">
      <c r="A798" s="5"/>
      <c r="B798" s="5"/>
      <c r="C798" s="176"/>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ht="23.25" customHeight="1">
      <c r="A799" s="5"/>
      <c r="B799" s="5"/>
      <c r="C799" s="176"/>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ht="23.25" customHeight="1">
      <c r="A800" s="5"/>
      <c r="B800" s="5"/>
      <c r="C800" s="176"/>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ht="23.25" customHeight="1">
      <c r="A801" s="5"/>
      <c r="B801" s="5"/>
      <c r="C801" s="176"/>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ht="23.25" customHeight="1">
      <c r="A802" s="5"/>
      <c r="B802" s="5"/>
      <c r="C802" s="176"/>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ht="23.25" customHeight="1">
      <c r="A803" s="5"/>
      <c r="B803" s="5"/>
      <c r="C803" s="176"/>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ht="23.25" customHeight="1">
      <c r="A804" s="5"/>
      <c r="B804" s="5"/>
      <c r="C804" s="176"/>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ht="23.25" customHeight="1">
      <c r="A805" s="5"/>
      <c r="B805" s="5"/>
      <c r="C805" s="176"/>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ht="23.25" customHeight="1">
      <c r="A806" s="5"/>
      <c r="B806" s="5"/>
      <c r="C806" s="176"/>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ht="23.25" customHeight="1">
      <c r="A807" s="5"/>
      <c r="B807" s="5"/>
      <c r="C807" s="176"/>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ht="23.25" customHeight="1">
      <c r="A808" s="5"/>
      <c r="B808" s="5"/>
      <c r="C808" s="176"/>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ht="23.25" customHeight="1">
      <c r="A809" s="5"/>
      <c r="B809" s="5"/>
      <c r="C809" s="176"/>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ht="23.25" customHeight="1">
      <c r="A810" s="5"/>
      <c r="B810" s="5"/>
      <c r="C810" s="176"/>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ht="23.25" customHeight="1">
      <c r="A811" s="5"/>
      <c r="B811" s="5"/>
      <c r="C811" s="176"/>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ht="23.25" customHeight="1">
      <c r="A812" s="5"/>
      <c r="B812" s="5"/>
      <c r="C812" s="176"/>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ht="23.25" customHeight="1">
      <c r="A813" s="5"/>
      <c r="B813" s="5"/>
      <c r="C813" s="176"/>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ht="23.25" customHeight="1">
      <c r="A814" s="5"/>
      <c r="B814" s="5"/>
      <c r="C814" s="176"/>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ht="23.25" customHeight="1">
      <c r="A815" s="5"/>
      <c r="B815" s="5"/>
      <c r="C815" s="176"/>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ht="23.25" customHeight="1">
      <c r="A816" s="5"/>
      <c r="B816" s="5"/>
      <c r="C816" s="176"/>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ht="23.25" customHeight="1">
      <c r="A817" s="5"/>
      <c r="B817" s="5"/>
      <c r="C817" s="176"/>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ht="23.25" customHeight="1">
      <c r="A818" s="5"/>
      <c r="B818" s="5"/>
      <c r="C818" s="176"/>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ht="23.25" customHeight="1">
      <c r="A819" s="5"/>
      <c r="B819" s="5"/>
      <c r="C819" s="176"/>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ht="23.25" customHeight="1">
      <c r="A820" s="5"/>
      <c r="B820" s="5"/>
      <c r="C820" s="176"/>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ht="23.25" customHeight="1">
      <c r="A821" s="5"/>
      <c r="B821" s="5"/>
      <c r="C821" s="176"/>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ht="23.25" customHeight="1">
      <c r="A822" s="5"/>
      <c r="B822" s="5"/>
      <c r="C822" s="176"/>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ht="23.25" customHeight="1">
      <c r="A823" s="5"/>
      <c r="B823" s="5"/>
      <c r="C823" s="176"/>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ht="23.25" customHeight="1">
      <c r="A824" s="5"/>
      <c r="B824" s="5"/>
      <c r="C824" s="176"/>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ht="23.25" customHeight="1">
      <c r="A825" s="5"/>
      <c r="B825" s="5"/>
      <c r="C825" s="176"/>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ht="23.25" customHeight="1">
      <c r="A826" s="5"/>
      <c r="B826" s="5"/>
      <c r="C826" s="176"/>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ht="23.25" customHeight="1">
      <c r="A827" s="5"/>
      <c r="B827" s="5"/>
      <c r="C827" s="176"/>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ht="23.25" customHeight="1">
      <c r="A828" s="5"/>
      <c r="B828" s="5"/>
      <c r="C828" s="176"/>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ht="23.25" customHeight="1">
      <c r="A829" s="5"/>
      <c r="B829" s="5"/>
      <c r="C829" s="176"/>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ht="23.25" customHeight="1">
      <c r="A830" s="5"/>
      <c r="B830" s="5"/>
      <c r="C830" s="176"/>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ht="23.25" customHeight="1">
      <c r="A831" s="5"/>
      <c r="B831" s="5"/>
      <c r="C831" s="176"/>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ht="23.25" customHeight="1">
      <c r="A832" s="5"/>
      <c r="B832" s="5"/>
      <c r="C832" s="176"/>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ht="23.25" customHeight="1">
      <c r="A833" s="5"/>
      <c r="B833" s="5"/>
      <c r="C833" s="176"/>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ht="23.25" customHeight="1">
      <c r="A834" s="5"/>
      <c r="B834" s="5"/>
      <c r="C834" s="176"/>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ht="23.25" customHeight="1">
      <c r="A835" s="5"/>
      <c r="B835" s="5"/>
      <c r="C835" s="176"/>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ht="23.25" customHeight="1">
      <c r="A836" s="5"/>
      <c r="B836" s="5"/>
      <c r="C836" s="176"/>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ht="23.25" customHeight="1">
      <c r="A837" s="5"/>
      <c r="B837" s="5"/>
      <c r="C837" s="176"/>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ht="23.25" customHeight="1">
      <c r="A838" s="5"/>
      <c r="B838" s="5"/>
      <c r="C838" s="176"/>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ht="23.25" customHeight="1">
      <c r="A839" s="5"/>
      <c r="B839" s="5"/>
      <c r="C839" s="176"/>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ht="23.25" customHeight="1">
      <c r="A840" s="5"/>
      <c r="B840" s="5"/>
      <c r="C840" s="176"/>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ht="23.25" customHeight="1">
      <c r="A841" s="5"/>
      <c r="B841" s="5"/>
      <c r="C841" s="176"/>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ht="23.25" customHeight="1">
      <c r="A842" s="5"/>
      <c r="B842" s="5"/>
      <c r="C842" s="176"/>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ht="23.25" customHeight="1">
      <c r="A843" s="5"/>
      <c r="B843" s="5"/>
      <c r="C843" s="176"/>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ht="23.25" customHeight="1">
      <c r="A844" s="5"/>
      <c r="B844" s="5"/>
      <c r="C844" s="176"/>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ht="23.25" customHeight="1">
      <c r="A845" s="5"/>
      <c r="B845" s="5"/>
      <c r="C845" s="176"/>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ht="23.25" customHeight="1">
      <c r="A846" s="5"/>
      <c r="B846" s="5"/>
      <c r="C846" s="176"/>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ht="23.25" customHeight="1">
      <c r="A847" s="5"/>
      <c r="B847" s="5"/>
      <c r="C847" s="176"/>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ht="23.25" customHeight="1">
      <c r="A848" s="5"/>
      <c r="B848" s="5"/>
      <c r="C848" s="176"/>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ht="23.25" customHeight="1">
      <c r="A849" s="5"/>
      <c r="B849" s="5"/>
      <c r="C849" s="176"/>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ht="23.25" customHeight="1">
      <c r="A850" s="5"/>
      <c r="B850" s="5"/>
      <c r="C850" s="176"/>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ht="23.25" customHeight="1">
      <c r="A851" s="5"/>
      <c r="B851" s="5"/>
      <c r="C851" s="176"/>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ht="23.25" customHeight="1">
      <c r="A852" s="5"/>
      <c r="B852" s="5"/>
      <c r="C852" s="176"/>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ht="23.25" customHeight="1">
      <c r="A853" s="5"/>
      <c r="B853" s="5"/>
      <c r="C853" s="176"/>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ht="23.25" customHeight="1">
      <c r="A854" s="5"/>
      <c r="B854" s="5"/>
      <c r="C854" s="176"/>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ht="23.25" customHeight="1">
      <c r="A855" s="5"/>
      <c r="B855" s="5"/>
      <c r="C855" s="176"/>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ht="23.25" customHeight="1">
      <c r="A856" s="5"/>
      <c r="B856" s="5"/>
      <c r="C856" s="176"/>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ht="23.25" customHeight="1">
      <c r="A857" s="5"/>
      <c r="B857" s="5"/>
      <c r="C857" s="176"/>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ht="23.25" customHeight="1">
      <c r="A858" s="5"/>
      <c r="B858" s="5"/>
      <c r="C858" s="176"/>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ht="23.25" customHeight="1">
      <c r="A859" s="5"/>
      <c r="B859" s="5"/>
      <c r="C859" s="176"/>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ht="23.25" customHeight="1">
      <c r="A860" s="5"/>
      <c r="B860" s="5"/>
      <c r="C860" s="176"/>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ht="23.25" customHeight="1">
      <c r="A861" s="5"/>
      <c r="B861" s="5"/>
      <c r="C861" s="176"/>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ht="23.25" customHeight="1">
      <c r="A862" s="5"/>
      <c r="B862" s="5"/>
      <c r="C862" s="176"/>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ht="23.25" customHeight="1">
      <c r="A863" s="5"/>
      <c r="B863" s="5"/>
      <c r="C863" s="176"/>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ht="23.25" customHeight="1">
      <c r="A864" s="5"/>
      <c r="B864" s="5"/>
      <c r="C864" s="176"/>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ht="23.25" customHeight="1">
      <c r="A865" s="5"/>
      <c r="B865" s="5"/>
      <c r="C865" s="176"/>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ht="23.25" customHeight="1">
      <c r="A866" s="5"/>
      <c r="B866" s="5"/>
      <c r="C866" s="176"/>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ht="23.25" customHeight="1">
      <c r="A867" s="5"/>
      <c r="B867" s="5"/>
      <c r="C867" s="176"/>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ht="23.25" customHeight="1">
      <c r="A868" s="5"/>
      <c r="B868" s="5"/>
      <c r="C868" s="176"/>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ht="23.25" customHeight="1">
      <c r="A869" s="5"/>
      <c r="B869" s="5"/>
      <c r="C869" s="176"/>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ht="23.25" customHeight="1">
      <c r="A870" s="5"/>
      <c r="B870" s="5"/>
      <c r="C870" s="176"/>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ht="23.25" customHeight="1">
      <c r="A871" s="5"/>
      <c r="B871" s="5"/>
      <c r="C871" s="176"/>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ht="23.25" customHeight="1">
      <c r="A872" s="5"/>
      <c r="B872" s="5"/>
      <c r="C872" s="176"/>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ht="23.25" customHeight="1">
      <c r="A873" s="5"/>
      <c r="B873" s="5"/>
      <c r="C873" s="176"/>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ht="23.25" customHeight="1">
      <c r="A874" s="5"/>
      <c r="B874" s="5"/>
      <c r="C874" s="176"/>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ht="23.25" customHeight="1">
      <c r="A875" s="5"/>
      <c r="B875" s="5"/>
      <c r="C875" s="176"/>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ht="23.25" customHeight="1">
      <c r="A876" s="5"/>
      <c r="B876" s="5"/>
      <c r="C876" s="176"/>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ht="23.25" customHeight="1">
      <c r="A877" s="5"/>
      <c r="B877" s="5"/>
      <c r="C877" s="176"/>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ht="23.25" customHeight="1">
      <c r="A878" s="5"/>
      <c r="B878" s="5"/>
      <c r="C878" s="176"/>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ht="23.25" customHeight="1">
      <c r="A879" s="5"/>
      <c r="B879" s="5"/>
      <c r="C879" s="176"/>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ht="23.25" customHeight="1">
      <c r="A880" s="5"/>
      <c r="B880" s="5"/>
      <c r="C880" s="176"/>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ht="23.25" customHeight="1">
      <c r="A881" s="5"/>
      <c r="B881" s="5"/>
      <c r="C881" s="176"/>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ht="23.25" customHeight="1">
      <c r="A882" s="5"/>
      <c r="B882" s="5"/>
      <c r="C882" s="176"/>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ht="23.25" customHeight="1">
      <c r="A883" s="5"/>
      <c r="B883" s="5"/>
      <c r="C883" s="176"/>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ht="23.25" customHeight="1">
      <c r="A884" s="5"/>
      <c r="B884" s="5"/>
      <c r="C884" s="176"/>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ht="23.25" customHeight="1">
      <c r="A885" s="5"/>
      <c r="B885" s="5"/>
      <c r="C885" s="176"/>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ht="23.25" customHeight="1">
      <c r="A886" s="5"/>
      <c r="B886" s="5"/>
      <c r="C886" s="176"/>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ht="23.25" customHeight="1">
      <c r="A887" s="5"/>
      <c r="B887" s="5"/>
      <c r="C887" s="176"/>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ht="23.25" customHeight="1">
      <c r="A888" s="5"/>
      <c r="B888" s="5"/>
      <c r="C888" s="176"/>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ht="23.25" customHeight="1">
      <c r="A889" s="5"/>
      <c r="B889" s="5"/>
      <c r="C889" s="176"/>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ht="23.25" customHeight="1">
      <c r="A890" s="5"/>
      <c r="B890" s="5"/>
      <c r="C890" s="176"/>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ht="23.25" customHeight="1">
      <c r="A891" s="5"/>
      <c r="B891" s="5"/>
      <c r="C891" s="176"/>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ht="23.25" customHeight="1">
      <c r="A892" s="5"/>
      <c r="B892" s="5"/>
      <c r="C892" s="176"/>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ht="23.25" customHeight="1">
      <c r="A893" s="5"/>
      <c r="B893" s="5"/>
      <c r="C893" s="176"/>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ht="23.25" customHeight="1">
      <c r="A894" s="5"/>
      <c r="B894" s="5"/>
      <c r="C894" s="176"/>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ht="23.25" customHeight="1">
      <c r="A895" s="5"/>
      <c r="B895" s="5"/>
      <c r="C895" s="176"/>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ht="23.25" customHeight="1">
      <c r="A896" s="5"/>
      <c r="B896" s="5"/>
      <c r="C896" s="176"/>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ht="23.25" customHeight="1">
      <c r="A897" s="5"/>
      <c r="B897" s="5"/>
      <c r="C897" s="176"/>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ht="23.25" customHeight="1">
      <c r="A898" s="5"/>
      <c r="B898" s="5"/>
      <c r="C898" s="176"/>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ht="23.25" customHeight="1">
      <c r="A899" s="5"/>
      <c r="B899" s="5"/>
      <c r="C899" s="176"/>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ht="23.25" customHeight="1">
      <c r="A900" s="5"/>
      <c r="B900" s="5"/>
      <c r="C900" s="176"/>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ht="23.25" customHeight="1">
      <c r="A901" s="5"/>
      <c r="B901" s="5"/>
      <c r="C901" s="176"/>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ht="23.25" customHeight="1">
      <c r="A902" s="5"/>
      <c r="B902" s="5"/>
      <c r="C902" s="176"/>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ht="23.25" customHeight="1">
      <c r="A903" s="5"/>
      <c r="B903" s="5"/>
      <c r="C903" s="176"/>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ht="23.25" customHeight="1">
      <c r="A904" s="5"/>
      <c r="B904" s="5"/>
      <c r="C904" s="176"/>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ht="23.25" customHeight="1">
      <c r="A905" s="5"/>
      <c r="B905" s="5"/>
      <c r="C905" s="176"/>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ht="23.25" customHeight="1">
      <c r="A906" s="5"/>
      <c r="B906" s="5"/>
      <c r="C906" s="176"/>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ht="23.25" customHeight="1">
      <c r="A907" s="5"/>
      <c r="B907" s="5"/>
      <c r="C907" s="176"/>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ht="23.25" customHeight="1">
      <c r="A908" s="5"/>
      <c r="B908" s="5"/>
      <c r="C908" s="176"/>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ht="23.25" customHeight="1">
      <c r="A909" s="5"/>
      <c r="B909" s="5"/>
      <c r="C909" s="176"/>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ht="23.25" customHeight="1">
      <c r="A910" s="5"/>
      <c r="B910" s="5"/>
      <c r="C910" s="176"/>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ht="23.25" customHeight="1">
      <c r="A911" s="5"/>
      <c r="B911" s="5"/>
      <c r="C911" s="176"/>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ht="23.25" customHeight="1">
      <c r="A912" s="5"/>
      <c r="B912" s="5"/>
      <c r="C912" s="176"/>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ht="23.25" customHeight="1">
      <c r="A913" s="5"/>
      <c r="B913" s="5"/>
      <c r="C913" s="176"/>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ht="23.25" customHeight="1">
      <c r="A914" s="5"/>
      <c r="B914" s="5"/>
      <c r="C914" s="176"/>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ht="23.25" customHeight="1">
      <c r="A915" s="5"/>
      <c r="B915" s="5"/>
      <c r="C915" s="176"/>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ht="23.25" customHeight="1">
      <c r="A916" s="5"/>
      <c r="B916" s="5"/>
      <c r="C916" s="176"/>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ht="23.25" customHeight="1">
      <c r="A917" s="5"/>
      <c r="B917" s="5"/>
      <c r="C917" s="176"/>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ht="23.25" customHeight="1">
      <c r="A918" s="5"/>
      <c r="B918" s="5"/>
      <c r="C918" s="176"/>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ht="23.25" customHeight="1">
      <c r="A919" s="5"/>
      <c r="B919" s="5"/>
      <c r="C919" s="176"/>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ht="23.25" customHeight="1">
      <c r="A920" s="5"/>
      <c r="B920" s="5"/>
      <c r="C920" s="176"/>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ht="23.25" customHeight="1">
      <c r="A921" s="5"/>
      <c r="B921" s="5"/>
      <c r="C921" s="176"/>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ht="23.25" customHeight="1">
      <c r="A922" s="5"/>
      <c r="B922" s="5"/>
      <c r="C922" s="176"/>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ht="23.25" customHeight="1">
      <c r="A923" s="5"/>
      <c r="B923" s="5"/>
      <c r="C923" s="176"/>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ht="23.25" customHeight="1">
      <c r="A924" s="5"/>
      <c r="B924" s="5"/>
      <c r="C924" s="176"/>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ht="23.25" customHeight="1">
      <c r="A925" s="5"/>
      <c r="B925" s="5"/>
      <c r="C925" s="176"/>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ht="23.25" customHeight="1">
      <c r="A926" s="5"/>
      <c r="B926" s="5"/>
      <c r="C926" s="176"/>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ht="23.25" customHeight="1">
      <c r="A927" s="5"/>
      <c r="B927" s="5"/>
      <c r="C927" s="176"/>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ht="23.25" customHeight="1">
      <c r="A928" s="5"/>
      <c r="B928" s="5"/>
      <c r="C928" s="176"/>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ht="23.25" customHeight="1">
      <c r="A929" s="5"/>
      <c r="B929" s="5"/>
      <c r="C929" s="176"/>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ht="23.25" customHeight="1">
      <c r="A930" s="5"/>
      <c r="B930" s="5"/>
      <c r="C930" s="176"/>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ht="23.25" customHeight="1">
      <c r="A931" s="5"/>
      <c r="B931" s="5"/>
      <c r="C931" s="176"/>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ht="23.25" customHeight="1">
      <c r="A932" s="5"/>
      <c r="B932" s="5"/>
      <c r="C932" s="176"/>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ht="23.25" customHeight="1">
      <c r="A933" s="5"/>
      <c r="B933" s="5"/>
      <c r="C933" s="176"/>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ht="23.25" customHeight="1">
      <c r="A934" s="5"/>
      <c r="B934" s="5"/>
      <c r="C934" s="176"/>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ht="23.25" customHeight="1">
      <c r="A935" s="5"/>
      <c r="B935" s="5"/>
      <c r="C935" s="176"/>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ht="23.25" customHeight="1">
      <c r="A936" s="5"/>
      <c r="B936" s="5"/>
      <c r="C936" s="176"/>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ht="23.25" customHeight="1">
      <c r="A937" s="5"/>
      <c r="B937" s="5"/>
      <c r="C937" s="176"/>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ht="23.25" customHeight="1">
      <c r="A938" s="5"/>
      <c r="B938" s="5"/>
      <c r="C938" s="176"/>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ht="23.25" customHeight="1">
      <c r="A939" s="5"/>
      <c r="B939" s="5"/>
      <c r="C939" s="176"/>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ht="23.25" customHeight="1">
      <c r="A940" s="5"/>
      <c r="B940" s="5"/>
      <c r="C940" s="176"/>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ht="23.25" customHeight="1">
      <c r="A941" s="5"/>
      <c r="B941" s="5"/>
      <c r="C941" s="176"/>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ht="23.25" customHeight="1">
      <c r="A942" s="5"/>
      <c r="B942" s="5"/>
      <c r="C942" s="176"/>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ht="23.25" customHeight="1">
      <c r="A943" s="5"/>
      <c r="B943" s="5"/>
      <c r="C943" s="176"/>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ht="23.25" customHeight="1">
      <c r="A944" s="5"/>
      <c r="B944" s="5"/>
      <c r="C944" s="176"/>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ht="23.25" customHeight="1">
      <c r="A945" s="5"/>
      <c r="B945" s="5"/>
      <c r="C945" s="176"/>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ht="23.25" customHeight="1">
      <c r="A946" s="5"/>
      <c r="B946" s="5"/>
      <c r="C946" s="176"/>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ht="23.25" customHeight="1">
      <c r="A947" s="5"/>
      <c r="B947" s="5"/>
      <c r="C947" s="176"/>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ht="23.25" customHeight="1">
      <c r="A948" s="5"/>
      <c r="B948" s="5"/>
      <c r="C948" s="176"/>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ht="23.25" customHeight="1">
      <c r="A949" s="5"/>
      <c r="B949" s="5"/>
      <c r="C949" s="176"/>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ht="23.25" customHeight="1">
      <c r="A950" s="5"/>
      <c r="B950" s="5"/>
      <c r="C950" s="176"/>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ht="23.25" customHeight="1">
      <c r="A951" s="5"/>
      <c r="B951" s="5"/>
      <c r="C951" s="176"/>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ht="23.25" customHeight="1">
      <c r="A952" s="5"/>
      <c r="B952" s="5"/>
      <c r="C952" s="176"/>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ht="23.25" customHeight="1">
      <c r="A953" s="5"/>
      <c r="B953" s="5"/>
      <c r="C953" s="176"/>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ht="23.25" customHeight="1">
      <c r="A954" s="5"/>
      <c r="B954" s="5"/>
      <c r="C954" s="176"/>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ht="23.25" customHeight="1">
      <c r="A955" s="5"/>
      <c r="B955" s="5"/>
      <c r="C955" s="176"/>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ht="23.25" customHeight="1">
      <c r="A956" s="5"/>
      <c r="B956" s="5"/>
      <c r="C956" s="176"/>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ht="23.25" customHeight="1">
      <c r="A957" s="5"/>
      <c r="B957" s="5"/>
      <c r="C957" s="176"/>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ht="23.25" customHeight="1">
      <c r="A958" s="5"/>
      <c r="B958" s="5"/>
      <c r="C958" s="176"/>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ht="23.25" customHeight="1">
      <c r="A959" s="5"/>
      <c r="B959" s="5"/>
      <c r="C959" s="176"/>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ht="23.25" customHeight="1">
      <c r="A960" s="5"/>
      <c r="B960" s="5"/>
      <c r="C960" s="176"/>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ht="23.25" customHeight="1">
      <c r="A961" s="5"/>
      <c r="B961" s="5"/>
      <c r="C961" s="176"/>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ht="23.25" customHeight="1">
      <c r="A962" s="5"/>
      <c r="B962" s="5"/>
      <c r="C962" s="176"/>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ht="23.25" customHeight="1">
      <c r="A963" s="5"/>
      <c r="B963" s="5"/>
      <c r="C963" s="176"/>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ht="23.25" customHeight="1">
      <c r="A964" s="5"/>
      <c r="B964" s="5"/>
      <c r="C964" s="176"/>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ht="23.25" customHeight="1">
      <c r="A965" s="5"/>
      <c r="B965" s="5"/>
      <c r="C965" s="176"/>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ht="23.25" customHeight="1">
      <c r="A966" s="5"/>
      <c r="B966" s="5"/>
      <c r="C966" s="176"/>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ht="23.25" customHeight="1">
      <c r="A967" s="5"/>
      <c r="B967" s="5"/>
      <c r="C967" s="176"/>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ht="23.25" customHeight="1">
      <c r="A968" s="5"/>
      <c r="B968" s="5"/>
      <c r="C968" s="176"/>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ht="23.25" customHeight="1">
      <c r="A969" s="5"/>
      <c r="B969" s="5"/>
      <c r="C969" s="176"/>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ht="23.25" customHeight="1">
      <c r="A970" s="5"/>
      <c r="B970" s="5"/>
      <c r="C970" s="176"/>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ht="23.25" customHeight="1">
      <c r="A971" s="5"/>
      <c r="B971" s="5"/>
      <c r="C971" s="176"/>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ht="23.25" customHeight="1">
      <c r="A972" s="5"/>
      <c r="B972" s="5"/>
      <c r="C972" s="176"/>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ht="23.25" customHeight="1">
      <c r="A973" s="5"/>
      <c r="B973" s="5"/>
      <c r="C973" s="176"/>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ht="23.25" customHeight="1">
      <c r="A974" s="5"/>
      <c r="B974" s="5"/>
      <c r="C974" s="176"/>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ht="23.25" customHeight="1">
      <c r="A975" s="5"/>
      <c r="B975" s="5"/>
      <c r="C975" s="176"/>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ht="23.25" customHeight="1">
      <c r="A976" s="5"/>
      <c r="B976" s="5"/>
      <c r="C976" s="176"/>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ht="23.25" customHeight="1">
      <c r="A977" s="5"/>
      <c r="B977" s="5"/>
      <c r="C977" s="176"/>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ht="23.25" customHeight="1">
      <c r="A978" s="5"/>
      <c r="B978" s="5"/>
      <c r="C978" s="176"/>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ht="23.25" customHeight="1">
      <c r="A979" s="5"/>
      <c r="B979" s="5"/>
      <c r="C979" s="176"/>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ht="23.25" customHeight="1">
      <c r="A980" s="5"/>
      <c r="B980" s="5"/>
      <c r="C980" s="176"/>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ht="23.25" customHeight="1">
      <c r="A981" s="5"/>
      <c r="B981" s="5"/>
      <c r="C981" s="176"/>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ht="23.25" customHeight="1">
      <c r="A982" s="5"/>
      <c r="B982" s="5"/>
      <c r="C982" s="176"/>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ht="23.25" customHeight="1">
      <c r="A983" s="5"/>
      <c r="B983" s="5"/>
      <c r="C983" s="176"/>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ht="23.25" customHeight="1">
      <c r="A984" s="5"/>
      <c r="B984" s="5"/>
      <c r="C984" s="176"/>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ht="23.25" customHeight="1">
      <c r="A985" s="5"/>
      <c r="B985" s="5"/>
      <c r="C985" s="176"/>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ht="23.25" customHeight="1">
      <c r="A986" s="5"/>
      <c r="B986" s="5"/>
      <c r="C986" s="176"/>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ht="23.25" customHeight="1">
      <c r="A987" s="5"/>
      <c r="B987" s="5"/>
      <c r="C987" s="176"/>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ht="23.25" customHeight="1">
      <c r="A988" s="5"/>
      <c r="B988" s="5"/>
      <c r="C988" s="176"/>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ht="23.25" customHeight="1">
      <c r="A989" s="5"/>
      <c r="B989" s="5"/>
      <c r="C989" s="176"/>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ht="23.25" customHeight="1">
      <c r="A990" s="5"/>
      <c r="B990" s="5"/>
      <c r="C990" s="176"/>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ht="23.25" customHeight="1">
      <c r="A991" s="5"/>
      <c r="B991" s="5"/>
      <c r="C991" s="176"/>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ht="23.25" customHeight="1">
      <c r="A992" s="5"/>
      <c r="B992" s="5"/>
      <c r="C992" s="176"/>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ht="23.25" customHeight="1">
      <c r="A993" s="5"/>
      <c r="B993" s="5"/>
      <c r="C993" s="176"/>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ht="23.25" customHeight="1">
      <c r="A994" s="5"/>
      <c r="B994" s="5"/>
      <c r="C994" s="176"/>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ht="23.25" customHeight="1">
      <c r="A995" s="5"/>
      <c r="B995" s="5"/>
      <c r="C995" s="176"/>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ht="23.25" customHeight="1">
      <c r="A996" s="5"/>
      <c r="B996" s="5"/>
      <c r="C996" s="176"/>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ht="23.25" customHeight="1">
      <c r="A997" s="5"/>
      <c r="B997" s="5"/>
      <c r="C997" s="176"/>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row r="998" ht="23.25" customHeight="1">
      <c r="A998" s="5"/>
      <c r="B998" s="5"/>
      <c r="C998" s="176"/>
      <c r="D998" s="5"/>
      <c r="E998" s="5"/>
      <c r="F998" s="5"/>
      <c r="G998" s="5"/>
      <c r="H998" s="5"/>
      <c r="I998" s="5"/>
      <c r="J998" s="5"/>
      <c r="K998" s="5"/>
      <c r="L998" s="5"/>
      <c r="M998" s="5"/>
      <c r="N998" s="5"/>
      <c r="O998" s="5"/>
      <c r="P998" s="5"/>
      <c r="Q998" s="5"/>
      <c r="R998" s="5"/>
      <c r="S998" s="5"/>
      <c r="T998" s="5"/>
      <c r="U998" s="5"/>
      <c r="V998" s="5"/>
      <c r="W998" s="5"/>
      <c r="X998" s="5"/>
      <c r="Y998" s="5"/>
      <c r="Z998" s="5"/>
      <c r="AA998" s="5"/>
      <c r="AB998" s="5"/>
    </row>
    <row r="999" ht="23.25" customHeight="1">
      <c r="A999" s="5"/>
      <c r="B999" s="5"/>
      <c r="C999" s="176"/>
      <c r="D999" s="5"/>
      <c r="E999" s="5"/>
      <c r="F999" s="5"/>
      <c r="G999" s="5"/>
      <c r="H999" s="5"/>
      <c r="I999" s="5"/>
      <c r="J999" s="5"/>
      <c r="K999" s="5"/>
      <c r="L999" s="5"/>
      <c r="M999" s="5"/>
      <c r="N999" s="5"/>
      <c r="O999" s="5"/>
      <c r="P999" s="5"/>
      <c r="Q999" s="5"/>
      <c r="R999" s="5"/>
      <c r="S999" s="5"/>
      <c r="T999" s="5"/>
      <c r="U999" s="5"/>
      <c r="V999" s="5"/>
      <c r="W999" s="5"/>
      <c r="X999" s="5"/>
      <c r="Y999" s="5"/>
      <c r="Z999" s="5"/>
      <c r="AA999" s="5"/>
      <c r="AB999" s="5"/>
    </row>
    <row r="1000" ht="23.25" customHeight="1">
      <c r="A1000" s="5"/>
      <c r="B1000" s="5"/>
      <c r="C1000" s="176"/>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row>
    <row r="1001" ht="23.25" customHeight="1">
      <c r="A1001" s="5"/>
      <c r="B1001" s="5"/>
      <c r="C1001" s="176"/>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row>
    <row r="1002" ht="23.25" customHeight="1">
      <c r="A1002" s="5"/>
      <c r="B1002" s="5"/>
      <c r="C1002" s="176"/>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row>
    <row r="1003" ht="23.25" customHeight="1">
      <c r="A1003" s="5"/>
      <c r="B1003" s="5"/>
      <c r="C1003" s="176"/>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row>
    <row r="1004" ht="23.25" customHeight="1">
      <c r="A1004" s="5"/>
      <c r="B1004" s="5"/>
      <c r="C1004" s="176"/>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row>
    <row r="1005" ht="23.25" customHeight="1">
      <c r="A1005" s="5"/>
      <c r="B1005" s="5"/>
      <c r="C1005" s="176"/>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row>
    <row r="1006" ht="23.25" customHeight="1">
      <c r="A1006" s="5"/>
      <c r="B1006" s="5"/>
      <c r="C1006" s="176"/>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row>
    <row r="1007" ht="23.25" customHeight="1">
      <c r="A1007" s="5"/>
      <c r="B1007" s="5"/>
      <c r="C1007" s="176"/>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row>
    <row r="1008" ht="23.25" customHeight="1">
      <c r="A1008" s="5"/>
      <c r="B1008" s="5"/>
      <c r="C1008" s="176"/>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row>
    <row r="1009" ht="23.25" customHeight="1">
      <c r="A1009" s="5"/>
      <c r="B1009" s="5"/>
      <c r="C1009" s="176"/>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row>
    <row r="1010" ht="23.25" customHeight="1">
      <c r="A1010" s="5"/>
      <c r="B1010" s="5"/>
      <c r="C1010" s="176"/>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row>
    <row r="1011" ht="23.25" customHeight="1">
      <c r="A1011" s="5"/>
      <c r="B1011" s="5"/>
      <c r="C1011" s="176"/>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row>
    <row r="1012" ht="23.25" customHeight="1">
      <c r="A1012" s="5"/>
      <c r="B1012" s="5"/>
      <c r="C1012" s="176"/>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row>
    <row r="1013" ht="23.25" customHeight="1">
      <c r="A1013" s="5"/>
      <c r="B1013" s="5"/>
      <c r="C1013" s="176"/>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row>
    <row r="1014" ht="23.25" customHeight="1">
      <c r="A1014" s="5"/>
      <c r="B1014" s="5"/>
      <c r="C1014" s="176"/>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row>
    <row r="1015" ht="23.25" customHeight="1">
      <c r="A1015" s="5"/>
      <c r="B1015" s="5"/>
      <c r="C1015" s="176"/>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row>
    <row r="1016" ht="23.25" customHeight="1">
      <c r="A1016" s="5"/>
      <c r="B1016" s="5"/>
      <c r="C1016" s="176"/>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row>
    <row r="1017" ht="23.25" customHeight="1">
      <c r="A1017" s="5"/>
      <c r="B1017" s="5"/>
      <c r="C1017" s="176"/>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row>
    <row r="1018" ht="23.25" customHeight="1">
      <c r="A1018" s="5"/>
      <c r="B1018" s="5"/>
      <c r="C1018" s="176"/>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row>
    <row r="1019" ht="23.25" customHeight="1">
      <c r="A1019" s="5"/>
      <c r="B1019" s="5"/>
      <c r="C1019" s="176"/>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row>
    <row r="1020" ht="23.25" customHeight="1">
      <c r="A1020" s="5"/>
      <c r="B1020" s="5"/>
      <c r="C1020" s="176"/>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row>
    <row r="1021" ht="23.25" customHeight="1">
      <c r="A1021" s="5"/>
      <c r="B1021" s="5"/>
      <c r="C1021" s="176"/>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row>
    <row r="1022" ht="23.25" customHeight="1">
      <c r="A1022" s="5"/>
      <c r="B1022" s="5"/>
      <c r="C1022" s="176"/>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row>
    <row r="1023" ht="23.25" customHeight="1">
      <c r="A1023" s="5"/>
      <c r="B1023" s="5"/>
      <c r="C1023" s="176"/>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row>
    <row r="1024" ht="23.25" customHeight="1">
      <c r="A1024" s="5"/>
      <c r="B1024" s="5"/>
      <c r="C1024" s="176"/>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row>
    <row r="1025" ht="23.25" customHeight="1">
      <c r="A1025" s="5"/>
      <c r="B1025" s="5"/>
      <c r="C1025" s="176"/>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row>
    <row r="1026" ht="23.25" customHeight="1">
      <c r="A1026" s="5"/>
      <c r="B1026" s="5"/>
      <c r="C1026" s="176"/>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row>
    <row r="1027" ht="23.25" customHeight="1">
      <c r="A1027" s="5"/>
      <c r="B1027" s="5"/>
      <c r="C1027" s="176"/>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row>
    <row r="1028" ht="23.25" customHeight="1">
      <c r="A1028" s="5"/>
      <c r="B1028" s="5"/>
      <c r="C1028" s="176"/>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row>
    <row r="1029" ht="23.25" customHeight="1">
      <c r="A1029" s="5"/>
      <c r="B1029" s="5"/>
      <c r="C1029" s="176"/>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row>
    <row r="1030" ht="23.25" customHeight="1">
      <c r="A1030" s="5"/>
      <c r="B1030" s="5"/>
      <c r="C1030" s="176"/>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row>
    <row r="1031" ht="23.25" customHeight="1">
      <c r="A1031" s="5"/>
      <c r="B1031" s="5"/>
      <c r="C1031" s="176"/>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row>
    <row r="1032" ht="23.25" customHeight="1">
      <c r="A1032" s="5"/>
      <c r="B1032" s="5"/>
      <c r="C1032" s="176"/>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row>
    <row r="1033" ht="23.25" customHeight="1">
      <c r="A1033" s="5"/>
      <c r="B1033" s="5"/>
      <c r="C1033" s="176"/>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row>
    <row r="1034" ht="23.25" customHeight="1">
      <c r="A1034" s="5"/>
      <c r="B1034" s="5"/>
      <c r="C1034" s="176"/>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row>
    <row r="1035" ht="23.25" customHeight="1">
      <c r="A1035" s="5"/>
      <c r="B1035" s="5"/>
      <c r="C1035" s="176"/>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row>
    <row r="1036" ht="23.25" customHeight="1">
      <c r="A1036" s="5"/>
      <c r="B1036" s="5"/>
      <c r="C1036" s="176"/>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row>
    <row r="1037" ht="23.25" customHeight="1">
      <c r="A1037" s="5"/>
      <c r="B1037" s="5"/>
      <c r="C1037" s="176"/>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row>
    <row r="1038" ht="23.25" customHeight="1">
      <c r="A1038" s="5"/>
      <c r="B1038" s="5"/>
      <c r="C1038" s="176"/>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row>
    <row r="1039" ht="23.25" customHeight="1">
      <c r="A1039" s="5"/>
      <c r="B1039" s="5"/>
      <c r="C1039" s="176"/>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row>
    <row r="1040" ht="23.25" customHeight="1">
      <c r="A1040" s="5"/>
      <c r="B1040" s="5"/>
      <c r="C1040" s="176"/>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row>
    <row r="1041" ht="23.25" customHeight="1">
      <c r="A1041" s="5"/>
      <c r="B1041" s="5"/>
      <c r="C1041" s="176"/>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row>
    <row r="1042" ht="23.25" customHeight="1">
      <c r="A1042" s="5"/>
      <c r="B1042" s="5"/>
      <c r="C1042" s="176"/>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row>
    <row r="1043" ht="23.25" customHeight="1">
      <c r="A1043" s="5"/>
      <c r="B1043" s="5"/>
      <c r="C1043" s="176"/>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row>
    <row r="1044" ht="23.25" customHeight="1">
      <c r="A1044" s="5"/>
      <c r="B1044" s="5"/>
      <c r="C1044" s="176"/>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row>
    <row r="1045" ht="23.25" customHeight="1">
      <c r="A1045" s="5"/>
      <c r="B1045" s="5"/>
      <c r="C1045" s="176"/>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row>
    <row r="1046" ht="23.25" customHeight="1">
      <c r="A1046" s="5"/>
      <c r="B1046" s="5"/>
      <c r="C1046" s="176"/>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row>
    <row r="1047" ht="23.25" customHeight="1">
      <c r="A1047" s="5"/>
      <c r="B1047" s="5"/>
      <c r="C1047" s="176"/>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row>
    <row r="1048" ht="23.25" customHeight="1">
      <c r="A1048" s="5"/>
      <c r="B1048" s="5"/>
      <c r="C1048" s="176"/>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row>
    <row r="1049" ht="23.25" customHeight="1">
      <c r="A1049" s="5"/>
      <c r="B1049" s="5"/>
      <c r="C1049" s="176"/>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row>
    <row r="1050" ht="23.25" customHeight="1">
      <c r="A1050" s="5"/>
      <c r="B1050" s="5"/>
      <c r="C1050" s="176"/>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row>
    <row r="1051" ht="23.25" customHeight="1">
      <c r="A1051" s="5"/>
      <c r="B1051" s="5"/>
      <c r="C1051" s="176"/>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row>
    <row r="1052" ht="23.25" customHeight="1">
      <c r="A1052" s="5"/>
      <c r="B1052" s="5"/>
      <c r="C1052" s="176"/>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row>
    <row r="1053" ht="23.25" customHeight="1">
      <c r="A1053" s="5"/>
      <c r="B1053" s="5"/>
      <c r="C1053" s="176"/>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row>
    <row r="1054" ht="23.25" customHeight="1">
      <c r="A1054" s="5"/>
      <c r="B1054" s="5"/>
      <c r="C1054" s="176"/>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row>
    <row r="1055" ht="23.25" customHeight="1">
      <c r="A1055" s="5"/>
      <c r="B1055" s="5"/>
      <c r="C1055" s="176"/>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row>
    <row r="1056" ht="23.25" customHeight="1">
      <c r="A1056" s="5"/>
      <c r="B1056" s="5"/>
      <c r="C1056" s="176"/>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row>
    <row r="1057" ht="23.25" customHeight="1">
      <c r="A1057" s="5"/>
      <c r="B1057" s="5"/>
      <c r="C1057" s="176"/>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row>
    <row r="1058" ht="23.25" customHeight="1">
      <c r="A1058" s="5"/>
      <c r="B1058" s="5"/>
      <c r="C1058" s="176"/>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row>
    <row r="1059" ht="23.25" customHeight="1">
      <c r="A1059" s="5"/>
      <c r="B1059" s="5"/>
      <c r="C1059" s="176"/>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row>
    <row r="1060" ht="23.25" customHeight="1">
      <c r="A1060" s="5"/>
      <c r="B1060" s="5"/>
      <c r="C1060" s="176"/>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row>
    <row r="1061" ht="23.25" customHeight="1">
      <c r="A1061" s="5"/>
      <c r="B1061" s="5"/>
      <c r="C1061" s="176"/>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row>
    <row r="1062" ht="23.25" customHeight="1">
      <c r="A1062" s="5"/>
      <c r="B1062" s="5"/>
      <c r="C1062" s="176"/>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row>
    <row r="1063" ht="23.25" customHeight="1">
      <c r="A1063" s="5"/>
      <c r="B1063" s="5"/>
      <c r="C1063" s="176"/>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row>
    <row r="1064" ht="23.25" customHeight="1">
      <c r="A1064" s="5"/>
      <c r="B1064" s="5"/>
      <c r="C1064" s="176"/>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row>
    <row r="1065" ht="23.25" customHeight="1">
      <c r="A1065" s="5"/>
      <c r="B1065" s="5"/>
      <c r="C1065" s="176"/>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row>
    <row r="1066" ht="23.25" customHeight="1">
      <c r="A1066" s="5"/>
      <c r="B1066" s="5"/>
      <c r="C1066" s="176"/>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row>
    <row r="1067" ht="23.25" customHeight="1">
      <c r="A1067" s="5"/>
      <c r="B1067" s="5"/>
      <c r="C1067" s="176"/>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row>
    <row r="1068" ht="23.25" customHeight="1">
      <c r="A1068" s="5"/>
      <c r="B1068" s="5"/>
      <c r="C1068" s="176"/>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row>
    <row r="1069" ht="23.25" customHeight="1">
      <c r="A1069" s="5"/>
      <c r="B1069" s="5"/>
      <c r="C1069" s="176"/>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row>
    <row r="1070" ht="23.25" customHeight="1">
      <c r="A1070" s="5"/>
      <c r="B1070" s="5"/>
      <c r="C1070" s="176"/>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row>
    <row r="1071" ht="23.25" customHeight="1">
      <c r="A1071" s="5"/>
      <c r="B1071" s="5"/>
      <c r="C1071" s="176"/>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row>
    <row r="1072" ht="23.25" customHeight="1">
      <c r="A1072" s="5"/>
      <c r="B1072" s="5"/>
      <c r="C1072" s="176"/>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row>
    <row r="1073" ht="23.25" customHeight="1">
      <c r="A1073" s="5"/>
      <c r="B1073" s="5"/>
      <c r="C1073" s="176"/>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row>
    <row r="1074" ht="23.25" customHeight="1">
      <c r="A1074" s="5"/>
      <c r="B1074" s="5"/>
      <c r="C1074" s="176"/>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row>
    <row r="1075" ht="23.25" customHeight="1">
      <c r="A1075" s="5"/>
      <c r="B1075" s="5"/>
      <c r="C1075" s="176"/>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row>
    <row r="1076" ht="23.25" customHeight="1">
      <c r="A1076" s="5"/>
      <c r="B1076" s="5"/>
      <c r="C1076" s="176"/>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row>
    <row r="1077" ht="23.25" customHeight="1">
      <c r="A1077" s="5"/>
      <c r="B1077" s="5"/>
      <c r="C1077" s="176"/>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row>
    <row r="1078" ht="23.25" customHeight="1">
      <c r="A1078" s="5"/>
      <c r="B1078" s="5"/>
      <c r="C1078" s="176"/>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row>
    <row r="1079" ht="23.25" customHeight="1">
      <c r="A1079" s="5"/>
      <c r="B1079" s="5"/>
      <c r="C1079" s="176"/>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row>
    <row r="1080" ht="23.25" customHeight="1">
      <c r="A1080" s="5"/>
      <c r="B1080" s="5"/>
      <c r="C1080" s="176"/>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row>
    <row r="1081" ht="23.25" customHeight="1">
      <c r="A1081" s="5"/>
      <c r="B1081" s="5"/>
      <c r="C1081" s="176"/>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row>
    <row r="1082" ht="23.25" customHeight="1">
      <c r="A1082" s="5"/>
      <c r="B1082" s="5"/>
      <c r="C1082" s="176"/>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row>
    <row r="1083" ht="23.25" customHeight="1">
      <c r="A1083" s="5"/>
      <c r="B1083" s="5"/>
      <c r="C1083" s="176"/>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row>
    <row r="1084" ht="23.25" customHeight="1">
      <c r="A1084" s="5"/>
      <c r="B1084" s="5"/>
      <c r="C1084" s="176"/>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row>
    <row r="1085" ht="23.25" customHeight="1">
      <c r="A1085" s="5"/>
      <c r="B1085" s="5"/>
      <c r="C1085" s="176"/>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row>
    <row r="1086" ht="23.25" customHeight="1">
      <c r="A1086" s="5"/>
      <c r="B1086" s="5"/>
      <c r="C1086" s="176"/>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row>
    <row r="1087" ht="23.25" customHeight="1">
      <c r="A1087" s="5"/>
      <c r="B1087" s="5"/>
      <c r="C1087" s="176"/>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row>
    <row r="1088" ht="23.25" customHeight="1">
      <c r="A1088" s="5"/>
      <c r="B1088" s="5"/>
      <c r="C1088" s="176"/>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row>
    <row r="1089" ht="23.25" customHeight="1">
      <c r="A1089" s="5"/>
      <c r="B1089" s="5"/>
      <c r="C1089" s="176"/>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row>
    <row r="1090" ht="23.25" customHeight="1">
      <c r="A1090" s="5"/>
      <c r="B1090" s="5"/>
      <c r="C1090" s="176"/>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row>
    <row r="1091" ht="23.25" customHeight="1">
      <c r="A1091" s="5"/>
      <c r="B1091" s="5"/>
      <c r="C1091" s="176"/>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row>
    <row r="1092" ht="23.25" customHeight="1">
      <c r="A1092" s="5"/>
      <c r="B1092" s="5"/>
      <c r="C1092" s="176"/>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row>
    <row r="1093" ht="23.25" customHeight="1">
      <c r="A1093" s="5"/>
      <c r="B1093" s="5"/>
      <c r="C1093" s="176"/>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row>
    <row r="1094" ht="23.25" customHeight="1">
      <c r="A1094" s="5"/>
      <c r="B1094" s="5"/>
      <c r="C1094" s="176"/>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row>
    <row r="1095" ht="23.25" customHeight="1">
      <c r="A1095" s="5"/>
      <c r="B1095" s="5"/>
      <c r="C1095" s="176"/>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row>
    <row r="1096" ht="23.25" customHeight="1">
      <c r="A1096" s="5"/>
      <c r="B1096" s="5"/>
      <c r="C1096" s="176"/>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row>
    <row r="1097" ht="23.25" customHeight="1">
      <c r="A1097" s="5"/>
      <c r="B1097" s="5"/>
      <c r="C1097" s="176"/>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row>
    <row r="1098" ht="23.25" customHeight="1">
      <c r="A1098" s="5"/>
      <c r="B1098" s="5"/>
      <c r="C1098" s="176"/>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row>
    <row r="1099" ht="23.25" customHeight="1">
      <c r="A1099" s="5"/>
      <c r="B1099" s="5"/>
      <c r="C1099" s="176"/>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row>
    <row r="1100" ht="23.25" customHeight="1">
      <c r="A1100" s="5"/>
      <c r="B1100" s="5"/>
      <c r="C1100" s="176"/>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row>
    <row r="1101" ht="23.25" customHeight="1">
      <c r="A1101" s="5"/>
      <c r="B1101" s="5"/>
      <c r="C1101" s="176"/>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row>
    <row r="1102" ht="23.25" customHeight="1">
      <c r="A1102" s="5"/>
      <c r="B1102" s="5"/>
      <c r="C1102" s="176"/>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row>
    <row r="1103" ht="23.25" customHeight="1">
      <c r="A1103" s="5"/>
      <c r="B1103" s="5"/>
      <c r="C1103" s="176"/>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row>
    <row r="1104" ht="23.25" customHeight="1">
      <c r="A1104" s="5"/>
      <c r="B1104" s="5"/>
      <c r="C1104" s="176"/>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row>
    <row r="1105" ht="23.25" customHeight="1">
      <c r="A1105" s="5"/>
      <c r="B1105" s="5"/>
      <c r="C1105" s="176"/>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row>
    <row r="1106" ht="23.25" customHeight="1">
      <c r="A1106" s="5"/>
      <c r="B1106" s="5"/>
      <c r="C1106" s="176"/>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row>
    <row r="1107" ht="23.25" customHeight="1">
      <c r="A1107" s="5"/>
      <c r="B1107" s="5"/>
      <c r="C1107" s="176"/>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row>
    <row r="1108" ht="23.25" customHeight="1">
      <c r="A1108" s="5"/>
      <c r="B1108" s="5"/>
      <c r="C1108" s="176"/>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row>
    <row r="1109" ht="23.25" customHeight="1">
      <c r="A1109" s="5"/>
      <c r="B1109" s="5"/>
      <c r="C1109" s="176"/>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row>
    <row r="1110" ht="23.25" customHeight="1">
      <c r="A1110" s="5"/>
      <c r="B1110" s="5"/>
      <c r="C1110" s="176"/>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row>
    <row r="1111" ht="23.25" customHeight="1">
      <c r="A1111" s="5"/>
      <c r="B1111" s="5"/>
      <c r="C1111" s="176"/>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row>
    <row r="1112" ht="23.25" customHeight="1">
      <c r="A1112" s="5"/>
      <c r="B1112" s="5"/>
      <c r="C1112" s="176"/>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row>
    <row r="1113" ht="23.25" customHeight="1">
      <c r="A1113" s="5"/>
      <c r="B1113" s="5"/>
      <c r="C1113" s="176"/>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row>
    <row r="1114" ht="23.25" customHeight="1">
      <c r="A1114" s="5"/>
      <c r="B1114" s="5"/>
      <c r="C1114" s="176"/>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row>
    <row r="1115" ht="23.25" customHeight="1">
      <c r="A1115" s="5"/>
      <c r="B1115" s="5"/>
      <c r="C1115" s="176"/>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row>
    <row r="1116" ht="23.25" customHeight="1">
      <c r="A1116" s="5"/>
      <c r="B1116" s="5"/>
      <c r="C1116" s="176"/>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row>
    <row r="1117" ht="23.25" customHeight="1">
      <c r="A1117" s="5"/>
      <c r="B1117" s="5"/>
      <c r="C1117" s="176"/>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row>
    <row r="1118" ht="23.25" customHeight="1">
      <c r="A1118" s="5"/>
      <c r="B1118" s="5"/>
      <c r="C1118" s="176"/>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row>
    <row r="1119" ht="23.25" customHeight="1">
      <c r="A1119" s="5"/>
      <c r="B1119" s="5"/>
      <c r="C1119" s="176"/>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row>
    <row r="1120" ht="23.25" customHeight="1">
      <c r="A1120" s="5"/>
      <c r="B1120" s="5"/>
      <c r="C1120" s="176"/>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row>
    <row r="1121" ht="23.25" customHeight="1">
      <c r="A1121" s="5"/>
      <c r="B1121" s="5"/>
      <c r="C1121" s="176"/>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row>
    <row r="1122" ht="23.25" customHeight="1">
      <c r="A1122" s="5"/>
      <c r="B1122" s="5"/>
      <c r="C1122" s="176"/>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row>
    <row r="1123" ht="23.25" customHeight="1">
      <c r="A1123" s="5"/>
      <c r="B1123" s="5"/>
      <c r="C1123" s="176"/>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row>
    <row r="1124" ht="23.25" customHeight="1">
      <c r="A1124" s="5"/>
      <c r="B1124" s="5"/>
      <c r="C1124" s="176"/>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row>
    <row r="1125" ht="23.25" customHeight="1">
      <c r="A1125" s="5"/>
      <c r="B1125" s="5"/>
      <c r="C1125" s="176"/>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row>
    <row r="1126" ht="23.25" customHeight="1">
      <c r="A1126" s="5"/>
      <c r="B1126" s="5"/>
      <c r="C1126" s="176"/>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row>
    <row r="1127" ht="23.25" customHeight="1">
      <c r="A1127" s="5"/>
      <c r="B1127" s="5"/>
      <c r="C1127" s="176"/>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row>
    <row r="1128" ht="23.25" customHeight="1">
      <c r="A1128" s="5"/>
      <c r="B1128" s="5"/>
      <c r="C1128" s="176"/>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row>
    <row r="1129" ht="23.25" customHeight="1">
      <c r="A1129" s="5"/>
      <c r="B1129" s="5"/>
      <c r="C1129" s="176"/>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row>
    <row r="1130" ht="23.25" customHeight="1">
      <c r="A1130" s="5"/>
      <c r="B1130" s="5"/>
      <c r="C1130" s="176"/>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row>
    <row r="1131" ht="23.25" customHeight="1">
      <c r="A1131" s="5"/>
      <c r="B1131" s="5"/>
      <c r="C1131" s="176"/>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row>
    <row r="1132" ht="23.25" customHeight="1">
      <c r="A1132" s="5"/>
      <c r="B1132" s="5"/>
      <c r="C1132" s="176"/>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row>
    <row r="1133" ht="23.25" customHeight="1">
      <c r="A1133" s="5"/>
      <c r="B1133" s="5"/>
      <c r="C1133" s="176"/>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row>
    <row r="1134" ht="23.25" customHeight="1">
      <c r="A1134" s="5"/>
      <c r="B1134" s="5"/>
      <c r="C1134" s="176"/>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row>
    <row r="1135" ht="23.25" customHeight="1">
      <c r="A1135" s="5"/>
      <c r="B1135" s="5"/>
      <c r="C1135" s="176"/>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row>
    <row r="1136" ht="23.25" customHeight="1">
      <c r="A1136" s="5"/>
      <c r="B1136" s="5"/>
      <c r="C1136" s="176"/>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row>
    <row r="1137" ht="23.25" customHeight="1">
      <c r="A1137" s="5"/>
      <c r="B1137" s="5"/>
      <c r="C1137" s="176"/>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row>
    <row r="1138" ht="23.25" customHeight="1">
      <c r="A1138" s="5"/>
      <c r="B1138" s="5"/>
      <c r="C1138" s="176"/>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row>
    <row r="1139" ht="23.25" customHeight="1">
      <c r="A1139" s="5"/>
      <c r="B1139" s="5"/>
      <c r="C1139" s="176"/>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row>
    <row r="1140" ht="23.25" customHeight="1">
      <c r="A1140" s="5"/>
      <c r="B1140" s="5"/>
      <c r="C1140" s="176"/>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row>
    <row r="1141" ht="23.25" customHeight="1">
      <c r="A1141" s="5"/>
      <c r="B1141" s="5"/>
      <c r="C1141" s="176"/>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row>
    <row r="1142" ht="23.25" customHeight="1">
      <c r="A1142" s="5"/>
      <c r="B1142" s="5"/>
      <c r="C1142" s="176"/>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row>
    <row r="1143" ht="23.25" customHeight="1">
      <c r="A1143" s="5"/>
      <c r="B1143" s="5"/>
      <c r="C1143" s="176"/>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row>
    <row r="1144" ht="23.25" customHeight="1">
      <c r="A1144" s="5"/>
      <c r="B1144" s="5"/>
      <c r="C1144" s="176"/>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row>
    <row r="1145" ht="23.25" customHeight="1">
      <c r="A1145" s="5"/>
      <c r="B1145" s="5"/>
      <c r="C1145" s="176"/>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row>
    <row r="1146" ht="23.25" customHeight="1">
      <c r="A1146" s="5"/>
      <c r="B1146" s="5"/>
      <c r="C1146" s="176"/>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row>
    <row r="1147" ht="23.25" customHeight="1">
      <c r="A1147" s="5"/>
      <c r="B1147" s="5"/>
      <c r="C1147" s="176"/>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row>
    <row r="1148" ht="23.25" customHeight="1">
      <c r="A1148" s="5"/>
      <c r="B1148" s="5"/>
      <c r="C1148" s="176"/>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row>
    <row r="1149" ht="23.25" customHeight="1">
      <c r="A1149" s="5"/>
      <c r="B1149" s="5"/>
      <c r="C1149" s="176"/>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row>
    <row r="1150" ht="23.25" customHeight="1">
      <c r="A1150" s="5"/>
      <c r="B1150" s="5"/>
      <c r="C1150" s="176"/>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row>
    <row r="1151" ht="23.25" customHeight="1">
      <c r="A1151" s="5"/>
      <c r="B1151" s="5"/>
      <c r="C1151" s="176"/>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row>
    <row r="1152" ht="23.25" customHeight="1">
      <c r="A1152" s="5"/>
      <c r="B1152" s="5"/>
      <c r="C1152" s="176"/>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row>
    <row r="1153" ht="23.25" customHeight="1">
      <c r="A1153" s="5"/>
      <c r="B1153" s="5"/>
      <c r="C1153" s="176"/>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row>
    <row r="1154" ht="23.25" customHeight="1">
      <c r="A1154" s="5"/>
      <c r="B1154" s="5"/>
      <c r="C1154" s="176"/>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row>
    <row r="1155" ht="23.25" customHeight="1">
      <c r="A1155" s="5"/>
      <c r="B1155" s="5"/>
      <c r="C1155" s="176"/>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row>
    <row r="1156" ht="23.25" customHeight="1">
      <c r="A1156" s="5"/>
      <c r="B1156" s="5"/>
      <c r="C1156" s="176"/>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row>
    <row r="1157" ht="23.25" customHeight="1">
      <c r="A1157" s="5"/>
      <c r="B1157" s="5"/>
      <c r="C1157" s="176"/>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row>
    <row r="1158" ht="23.25" customHeight="1">
      <c r="A1158" s="5"/>
      <c r="B1158" s="5"/>
      <c r="C1158" s="176"/>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row>
    <row r="1159" ht="23.25" customHeight="1">
      <c r="A1159" s="5"/>
      <c r="B1159" s="5"/>
      <c r="C1159" s="176"/>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row>
    <row r="1160" ht="23.25" customHeight="1">
      <c r="A1160" s="5"/>
      <c r="B1160" s="5"/>
      <c r="C1160" s="176"/>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row>
  </sheetData>
  <mergeCells count="34">
    <mergeCell ref="B4:C4"/>
    <mergeCell ref="D5:D13"/>
    <mergeCell ref="B15:C15"/>
    <mergeCell ref="D15:D21"/>
    <mergeCell ref="B20:C20"/>
    <mergeCell ref="B23:F24"/>
    <mergeCell ref="B25:F25"/>
    <mergeCell ref="B61:D61"/>
    <mergeCell ref="B75:D75"/>
    <mergeCell ref="B76:D76"/>
    <mergeCell ref="B79:F79"/>
    <mergeCell ref="B96:D96"/>
    <mergeCell ref="B102:D102"/>
    <mergeCell ref="B155:D155"/>
    <mergeCell ref="B156:D156"/>
    <mergeCell ref="B158:F158"/>
    <mergeCell ref="B167:D167"/>
    <mergeCell ref="B172:D172"/>
    <mergeCell ref="B184:D184"/>
    <mergeCell ref="A203:A204"/>
    <mergeCell ref="B220:D220"/>
    <mergeCell ref="B271:D271"/>
    <mergeCell ref="B279:D279"/>
    <mergeCell ref="B281:E281"/>
    <mergeCell ref="F281:F283"/>
    <mergeCell ref="B282:D282"/>
    <mergeCell ref="B283:D283"/>
    <mergeCell ref="B221:D221"/>
    <mergeCell ref="B225:F225"/>
    <mergeCell ref="B246:D246"/>
    <mergeCell ref="B248:F248"/>
    <mergeCell ref="B255:D255"/>
    <mergeCell ref="B257:F257"/>
    <mergeCell ref="B273:F273"/>
  </mergeCells>
  <hyperlinks>
    <hyperlink r:id="rId2" location="polycard_client=search-desktop&amp;be_origin=backend&amp;search_layout=grid&amp;position=3&amp;type=product&amp;tracking_id=98ad0d0e-198c-4f85-8446-1b3a5207b038&amp;wid=MLA2490236402&amp;sid=search" ref="F27"/>
    <hyperlink r:id="rId3" location="polycard_client=search-desktop&amp;be_origin=backend&amp;search_layout=grid&amp;position=2&amp;type=product&amp;tracking_id=4782507d-d349-4300-853d-75a9867f86c2&amp;wid=MLA1441937481&amp;sid=search" ref="F28"/>
    <hyperlink r:id="rId4" ref="F29"/>
    <hyperlink r:id="rId5" ref="F30"/>
    <hyperlink r:id="rId6" ref="F31"/>
    <hyperlink r:id="rId7" location="polycard_client=search-desktop&amp;be_origin=backend&amp;search_layout=grid&amp;position=10&amp;type=product&amp;tracking_id=28d99ac4-93e9-4019-a375-afb7f62242ba&amp;wid=MLA3365003112&amp;sid=search" ref="F32"/>
    <hyperlink r:id="rId8" ref="F33"/>
    <hyperlink r:id="rId9" ref="F34"/>
    <hyperlink r:id="rId10" location="polycard_client=search-desktop&amp;be_origin=backend&amp;search_layout=grid&amp;position=46&amp;type=product&amp;float_highlight=last_units&amp;tracking_id=a06246be-ba51-4958-a6d2-d45be798a4a3&amp;wid=MLA859377434&amp;sid=search" ref="F35"/>
    <hyperlink r:id="rId11" ref="F36"/>
    <hyperlink r:id="rId12" ref="F37"/>
    <hyperlink r:id="rId13" ref="F38"/>
    <hyperlink r:id="rId14" ref="F39"/>
    <hyperlink r:id="rId15" ref="F40"/>
    <hyperlink r:id="rId16" ref="F41"/>
    <hyperlink r:id="rId17" ref="F42"/>
    <hyperlink r:id="rId18" ref="F43"/>
    <hyperlink r:id="rId19" ref="F44"/>
    <hyperlink r:id="rId20" ref="F45"/>
    <hyperlink r:id="rId21" location="polycard_client=search-desktop&amp;be_origin=backend&amp;search_layout=grid&amp;position=2&amp;type=product&amp;tracking_id=5fb8ca27-9d68-4aed-b786-c2d8e6e59120&amp;wid=MLA1737441613&amp;sid=search" ref="F46"/>
    <hyperlink r:id="rId22" ref="F47"/>
    <hyperlink r:id="rId23" ref="F48"/>
    <hyperlink r:id="rId24" location="polycard_client=search-desktop&amp;be_origin=backend&amp;search_layout=grid&amp;position=21&amp;type=product&amp;tracking_id=2e3385f4-19e7-4de6-be58-760db7a62fb1&amp;wid=MLA3448186568&amp;sid=search" ref="F49"/>
    <hyperlink r:id="rId25" ref="F50"/>
    <hyperlink r:id="rId26" location="polycard_client=recommendations_vip-seller_items-above&amp;reco_backend=ranker-retsys-same-seller&amp;reco_model=rk_entity_sameseller&amp;reco_client=vip-seller_items-above&amp;reco_item_pos=1&amp;reco_backend_type=low_level&amp;reco_id=398965fa-5aeb-4269-9bac-3d68a4c594de&amp;wid=MLA2200132566&amp;sid=recos" ref="F51"/>
    <hyperlink r:id="rId27" location="polycard_client=mshops-appearance-api&amp;component=relevant_item_container&amp;wid=MLA1509138681&amp;title=Nuestro+Producto+Estrella&amp;tracking_id=dddb56378836529d8bd7907da99880ac&amp;sid=storefronts&amp;global_position=6" ref="F52"/>
    <hyperlink r:id="rId28" location="polycard_client=search-desktop&amp;be_origin=backend&amp;search_layout=grid&amp;position=27&amp;type=product&amp;tracking_id=47cb39e9-5314-4a65-bc9a-b9553fd311e3&amp;wid=MLA2129163576&amp;sid=search" ref="F53"/>
    <hyperlink r:id="rId29" location="polycard_client=search-desktop&amp;be_origin=backend&amp;search_layout=grid&amp;position=4&amp;type=product&amp;float_highlight=last_units&amp;tracking_id=27d5f202-2011-4f45-a1ac-efb35f32cf03&amp;wid=MLA1440813034&amp;sid=search" ref="F54"/>
    <hyperlink r:id="rId30" location="polycard_client%3Drecommendations_recoview-selleritems-eshops%26reco_backend%3Dsame-seller-odin%26reco_client%3Drecoview-selleritems-eshops%26reco_item_pos%3D0%26reco_backend_type%3Dlow_level%26reco_id%3D38792983-a5ac-404c-9c55-bd0dcb2924fc%26tracking_id%3D3a1a7bfd9f5d2df121c98cad927dae99%26source%3Deshops%26seller_id%3D256439218%26category_id%3DMLA11034" ref="F55"/>
    <hyperlink r:id="rId31" ref="F56"/>
    <hyperlink r:id="rId32" location="polycard_client=search-desktop&amp;be_origin=backend&amp;search_layout=grid&amp;position=35&amp;type=product&amp;tracking_id=2dd15244-66c1-4b6c-9b59-624751278ab0&amp;wid=MLA3485003090&amp;sid=search" ref="F57"/>
    <hyperlink r:id="rId33" ref="F58"/>
    <hyperlink r:id="rId34" ref="F59"/>
    <hyperlink r:id="rId35" location="polycard_client=search-desktop&amp;be_origin=backend&amp;search_layout=grid&amp;position=7&amp;type=product&amp;tracking_id=e6112490-821a-433c-9ca1-b709bbfe0651&amp;wid=MLA904324375&amp;sid=search" ref="F60"/>
    <hyperlink r:id="rId36" location="polycard_client=recommendations_pdp-pads-up&amp;wid=MLA2896780446&amp;sid=recos&amp;reco_backend=recomm_platform_base_pads_ron_MERGE&amp;reco_model=search_recos_backend_merge&amp;reco_client=pdp-pads-up&amp;reco_item_pos=1&amp;reco_backend_type=low_level&amp;reco_id=16382891-a21b-401c-8d35-39bdc778f1f3&amp;is_advertising=true&amp;ad_domain=PDPDESKTOP_UP&amp;ad_position=2&amp;ad_click_id=OTI0YjhkM2EtYmY1Yy00NTQ3LWI1YTctNjAyNjFlNTA0MjEx" ref="F65"/>
    <hyperlink r:id="rId37" location="polycard_client=search-desktop&amp;be_origin=backend&amp;search_layout=grid&amp;position=7&amp;type=product&amp;tracking_id=e6112490-821a-433c-9ca1-b709bbfe0651&amp;wid=MLA904324375&amp;sid=search" ref="F66"/>
    <hyperlink r:id="rId38" location="polycard_client=search-desktop&amp;be_origin=backend&amp;search_layout=grid&amp;position=3&amp;type=product&amp;tracking_id=3fc95a82-1c9c-4ccf-8faf-9629027c627c&amp;wid=MLA1373198727&amp;sid=search" ref="F67"/>
    <hyperlink r:id="rId39" ref="F68"/>
    <hyperlink r:id="rId40" location="polycard_client=search-desktop&amp;be_origin=backend&amp;search_layout=grid&amp;position=2&amp;type=product&amp;tracking_id=5fb8ca27-9d68-4aed-b786-c2d8e6e59120&amp;wid=MLA1737441613&amp;sid=search" ref="F69"/>
    <hyperlink r:id="rId41" ref="F70"/>
    <hyperlink r:id="rId42" ref="F71"/>
    <hyperlink r:id="rId43" ref="F72"/>
    <hyperlink r:id="rId44" ref="F73"/>
    <hyperlink r:id="rId45" ref="F74"/>
    <hyperlink r:id="rId46" location="polycard_client=search-desktop&amp;be_origin=backend&amp;searchVariation=193474128470&amp;search_layout=grid&amp;position=26&amp;type=item&amp;tracking_id=5963c1ce-d86d-4b74-8a4e-fc1341b67326" ref="F81"/>
    <hyperlink r:id="rId47" ref="F82"/>
    <hyperlink r:id="rId48" ref="F83"/>
    <hyperlink r:id="rId49" location="is_advertising=true&amp;searchVariation=MLAU214366583&amp;backend_model=search-backend&amp;be_origin=backend&amp;position=1&amp;search_layout=grid&amp;type=pad&amp;tracking_id=ae85da25-5daa-4398-b7ec-3bcd594ea4b6&amp;ad_domain=VQCATCORE_LST&amp;ad_position=1&amp;ad_click_id=MzhhMDBmYzYtNjJkMi00ZTMyLTljNmQtNmNkOTIwZWNmZGU5" ref="F84"/>
    <hyperlink r:id="rId50" location="is_advertising=true&amp;searchVariation=MLA44117754&amp;backend_model=search-backend&amp;be_origin=fallback&amp;position=1&amp;search_layout=grid&amp;type=pad&amp;tracking_id=6c002d21-d68e-4e3e-8eeb-fb0d5daf9fcf&amp;ad_domain=VQCATCORE_LST&amp;ad_position=1&amp;ad_click_id=NTk1NTBlNzUtYTQ0OC00M2NkLWIwMTktY2QzODY3YzQ5NjZh" ref="F85"/>
    <hyperlink r:id="rId51" ref="F86"/>
    <hyperlink r:id="rId52" ref="F87"/>
    <hyperlink r:id="rId53" location="polycard_client=search-desktop&amp;be_origin=backend&amp;search_layout=grid&amp;position=2&amp;type=item&amp;tracking_id=819db311-f97c-49a0-b602-73f2661c2990&amp;wid=MLA1848238399&amp;sid=search" ref="F88"/>
    <hyperlink r:id="rId54" location="polycard_client=search-desktop&amp;be_origin=backend&amp;search_layout=grid&amp;position=11&amp;type=product&amp;tracking_id=b2388404-bddf-474c-be19-70fa1e889443&amp;wid=MLA1371774545&amp;sid=search" ref="F89"/>
    <hyperlink r:id="rId55" location="is_advertising=true&amp;searchVariation=MLAU124176028&amp;backend_model=search-backend&amp;be_origin=backend&amp;position=1&amp;search_layout=grid&amp;type=pad&amp;tracking_id=2861719f-3f2f-4181-bd08-1850d3d60b08&amp;ad_domain=VQCATCORE_LST&amp;ad_position=1&amp;ad_click_id=NzIwNmUzZjctMWZmZS00Zjc0LWI4ZjQtMmQ1M2UxZWIwNjZl" ref="F90"/>
    <hyperlink r:id="rId56" location="polycard_client=search-desktop&amp;be_origin=backend&amp;search_layout=grid&amp;position=3&amp;type=product&amp;tracking_id=b324ed84-5a64-4f09-925d-84130750bfb4&amp;wid=MLA1775080873&amp;sid=search" ref="F91"/>
    <hyperlink r:id="rId57" location="polycard_client=search-desktop&amp;be_origin=backend&amp;search_layout=grid&amp;position=3&amp;type=product&amp;tracking_id=fd155bb2-86d3-4636-b185-d26223c26e27&amp;wid=MLA1549820766&amp;sid=search" ref="F92"/>
    <hyperlink r:id="rId58" ref="F93"/>
    <hyperlink r:id="rId59" ref="F98"/>
    <hyperlink r:id="rId60" location="polycard_client=search-desktop&amp;be_origin=backend&amp;search_layout=grid&amp;position=11&amp;type=product&amp;tracking_id=743c545d-f2f1-4127-8e71-f4b49543b6f2&amp;wid=MLA2655751920&amp;sid=search" ref="F99"/>
    <hyperlink r:id="rId61" location="is_advertising=true&amp;searchVariation=MLA34004845&amp;backend_model=search-backend&amp;be_origin=fallback&amp;position=2&amp;search_layout=grid&amp;type=pad&amp;tracking_id=38ad521c-7da1-40c7-982b-8470a135d458&amp;ad_domain=VQCATCORE_LST&amp;ad_position=2&amp;ad_click_id=YmU4YzIzNmEtOTk3MS00N2Y0LWE2NjItYTg0NTBhMmQ0N2My" ref="F100"/>
    <hyperlink r:id="rId62" ref="F104"/>
    <hyperlink r:id="rId63" ref="F105"/>
    <hyperlink r:id="rId64" ref="F106"/>
    <hyperlink r:id="rId65" location="polycard_client=search-desktop&amp;be_origin=backend&amp;search_layout=grid&amp;position=5&amp;type=product&amp;tracking_id=63efd6eb-d33c-4461-82a2-130c6c1e5375&amp;wid=MLA1741612580&amp;sid=search" ref="F107"/>
    <hyperlink r:id="rId66" ref="F108"/>
    <hyperlink r:id="rId67" ref="F109"/>
    <hyperlink r:id="rId68" ref="F110"/>
    <hyperlink r:id="rId69" ref="F111"/>
    <hyperlink r:id="rId70" ref="F112"/>
    <hyperlink r:id="rId71" location="polycard_client=search-desktop&amp;be_origin=backend&amp;search_layout=grid&amp;position=19&amp;type=product&amp;tracking_id=a35d5b03-5261-4ed8-beb7-bc9db12281a1&amp;wid=MLA2771922656&amp;sid=search" ref="F113"/>
    <hyperlink r:id="rId72" ref="F115"/>
    <hyperlink r:id="rId73" ref="F116"/>
    <hyperlink r:id="rId74" location="is_advertising=true&amp;searchVariation=MLAU261144535&amp;backend_model=search-backend&amp;be_origin=backend&amp;position=1&amp;search_layout=grid&amp;type=pad&amp;tracking_id=f0a8b65d-bc7a-487d-aa8b-b98a211cd8da&amp;ad_domain=VQCATCORE_LST&amp;ad_position=1&amp;ad_click_id=NmI5OWY5NWEtZjk5MC00YTgxLTg1Y2ItMTMyNzlkNTVmYjRi" ref="F117"/>
    <hyperlink r:id="rId75" ref="F118"/>
    <hyperlink r:id="rId76" ref="F119"/>
    <hyperlink r:id="rId77" location="polycard_client=search-desktop&amp;be_origin=backend&amp;search_layout=grid&amp;position=3&amp;type=product&amp;tracking_id=e2747329-a436-423e-a3fc-c2f4d3d7896e&amp;wid=MLA2797646584&amp;sid=search" ref="F120"/>
    <hyperlink r:id="rId78" location="polycard_client=search-desktop&amp;be_origin=backend&amp;search_layout=grid&amp;position=2&amp;type=product&amp;tracking_id=28453ac2-9bcb-4017-bd1f-02864bd1d82b&amp;wid=MLA1610545222&amp;sid=search" ref="F121"/>
    <hyperlink r:id="rId79" ref="F122"/>
    <hyperlink r:id="rId80" ref="F123"/>
    <hyperlink r:id="rId81" ref="F124"/>
    <hyperlink r:id="rId82" ref="F125"/>
    <hyperlink r:id="rId83" location="is_advertising=true&amp;searchVariation=MLA60127107&amp;backend_model=search-backend&amp;be_origin=backend&amp;position=2&amp;search_layout=grid&amp;type=pad&amp;tracking_id=d713317b-2211-4671-9986-92803ec82527&amp;ad_domain=VQCATCORE_LST&amp;ad_position=2&amp;ad_click_id=MDAyMDJkM2UtNGI2OS00NTY5LWExYmMtODVjMDNhZjlhYjdj" ref="F126"/>
    <hyperlink r:id="rId84" ref="F127"/>
    <hyperlink r:id="rId85" ref="F128"/>
    <hyperlink r:id="rId86" location="is_advertising=true&amp;searchVariation=MLA58495995&amp;backend_model=search-backend&amp;be_origin=backend&amp;position=1&amp;search_layout=grid&amp;type=pad&amp;tracking_id=b04bbb6f-09c6-42a0-9c1c-999a335b3ab9&amp;ad_domain=VQCATCORE_LST&amp;ad_position=1&amp;ad_click_id=N2IwMDgyYzItYjFhZi00NmYxLWEzMmEtNTNiMWNhZGRjMzk4" ref="F129"/>
    <hyperlink r:id="rId87" location="is_advertising=true&amp;searchVariation=MLAU3384051269&amp;backend_model=search-backend&amp;be_origin=backend&amp;position=13&amp;search_layout=grid&amp;type=pad&amp;tracking_id=5c19a54c-974d-4d5c-a903-ad8338fb048f&amp;ad_domain=VQCATCORE_LST&amp;ad_position=13&amp;ad_click_id=MWRlYjkxYWUtMmU5Mi00OWY1LWFkNzEtMThkNzIyMWE0NDQz" ref="F130"/>
    <hyperlink r:id="rId88" location="polycard_client=search-desktop&amp;be_origin=backend&amp;search_layout=grid&amp;position=5&amp;type=product&amp;tracking_id=8d9376f0-7954-40ce-b601-8373d3dff10f&amp;wid=MLA2392071076&amp;sid=search" ref="F131"/>
    <hyperlink r:id="rId89" location="is_advertising=true&amp;searchVariation=MLAU218089327&amp;backend_model=search-backend&amp;be_origin=backend&amp;position=15&amp;search_layout=grid&amp;type=pad&amp;tracking_id=cca6b03c-8111-4015-aa1b-45cfef2bff96&amp;ad_domain=VQCATCORE_LST&amp;ad_position=15&amp;ad_click_id=ZDU2NTRiZDctZDBhMC00N2M5LTk2NjMtY2M0ZGRmNjIzN2Jj" ref="F132"/>
    <hyperlink r:id="rId90" location="polycard_client=search-desktop&amp;be_origin=backend&amp;search_layout=grid&amp;position=5&amp;type=product&amp;float_highlight=last_units&amp;tracking_id=5182ed92-6cb7-4cc2-98e5-9a2c81574706&amp;wid=MLA2289485370&amp;sid=search" ref="F133"/>
    <hyperlink r:id="rId91" location="is_advertising=true&amp;searchVariation=MLAU3914802621&amp;backend_model=search-backend&amp;be_origin=backend&amp;position=4&amp;search_layout=grid&amp;type=pad&amp;tracking_id=e8691b52-a8b9-4b80-bbec-0d9b42996914&amp;ad_domain=VQCATCORE_LST&amp;ad_position=4&amp;ad_click_id=MjU1ZTVmZTktOWJlOS00MWE3LWI2OTgtMGE1N2Q2ZjI5MTAx" ref="F134"/>
    <hyperlink r:id="rId92" location="is_advertising=true&amp;searchVariation=MLA2043261774&amp;backend_model=search-backend&amp;be_origin=backend&amp;position=1&amp;search_layout=grid&amp;type=pad&amp;tracking_id=6f1da690-4de5-4a79-b8f9-24a9e7f55b1b&amp;ad_domain=VQCATCORE_LST&amp;ad_position=1&amp;ad_click_id=NjAxMWM1YmQtYTIyZi00OTc0LWIxZjEtYmM0YTZhODQ5YTQ3" ref="F135"/>
    <hyperlink r:id="rId93" ref="F136"/>
    <hyperlink r:id="rId94" ref="F137"/>
    <hyperlink r:id="rId95" ref="F138"/>
    <hyperlink r:id="rId96" location="D[A:copas%20por%2012" ref="F139"/>
    <hyperlink r:id="rId97" ref="F140"/>
    <hyperlink r:id="rId98" location="is_advertising=true&amp;searchVariation=177138626079&amp;backend_model=search-backend&amp;be_origin=backend&amp;position=4&amp;search_layout=grid&amp;type=pad&amp;tracking_id=fe8338f4-70fa-447a-96be-ae01ddeae0b7&amp;ad_domain=VQCATCORE_LST&amp;ad_position=4&amp;ad_click_id=YmM4YmE3ZTctMzc0MS00Mzg0LTk4NDMtYmU4ZjE1NDRlNDZj" ref="F141"/>
    <hyperlink r:id="rId99" location="is_advertising=true&amp;searchVariation=187440812104&amp;backend_model=search-backend&amp;be_origin=backend&amp;position=1&amp;search_layout=grid&amp;type=pad&amp;tracking_id=2a730fb8-6760-4313-8baa-62fa73c56f15&amp;ad_domain=VQCATCORE_LST&amp;ad_position=1&amp;ad_click_id=YjdhMzU5ZTAtOTkyYy00OWI1LWFmMDEtNmE3M2ZkZmY4MjM3" ref="F142"/>
    <hyperlink r:id="rId100" location="polycard_client=search-desktop&amp;be_origin=backend&amp;search_layout=grid&amp;position=4&amp;type=product&amp;tracking_id=1fd9e81d-394d-4a5e-ba6a-a3adb62c3316&amp;wid=MLA1793384845&amp;sid=search" ref="F143"/>
    <hyperlink r:id="rId101" ref="F144"/>
    <hyperlink r:id="rId102" ref="F145"/>
    <hyperlink r:id="rId103" ref="F146"/>
    <hyperlink r:id="rId104" ref="F147"/>
    <hyperlink r:id="rId105" ref="F148"/>
    <hyperlink r:id="rId106" location="polycard_client=search-desktop&amp;be_origin=backend&amp;search_layout=grid&amp;position=5&amp;type=product&amp;tracking_id=107848da-db0e-4cdc-8dc4-55087a003c63&amp;wid=MLA2046318582&amp;sid=search" ref="F149"/>
    <hyperlink r:id="rId107" ref="F150"/>
    <hyperlink r:id="rId108" ref="F151"/>
    <hyperlink r:id="rId109" ref="F160"/>
    <hyperlink r:id="rId110" ref="F161"/>
    <hyperlink r:id="rId111" location="polycard_client=recommendations_vip-seller_items-above&amp;reco_backend=ranker-retsys-same-seller&amp;reco_model=rk_entity_sameseller&amp;reco_client=vip-seller_items-above&amp;reco_item_pos=0&amp;reco_backend_type=low_level&amp;reco_id=d36ca640-40ea-45bf-9e42-380da2e7315b&amp;wid=MLA1902318344&amp;sid=recos" ref="F162"/>
    <hyperlink r:id="rId112" location="polycard_client=search-desktop&amp;be_origin=backend&amp;searchVariation=174685840184&amp;search_layout=grid&amp;position=3&amp;type=item&amp;tracking_id=4762553e-4cab-4f03-9e3b-6c3f5ca5089e" ref="F163"/>
    <hyperlink r:id="rId113" ref="F164"/>
    <hyperlink r:id="rId114" ref="F165"/>
    <hyperlink r:id="rId115" location="polycard_client=search-desktop&amp;be_origin=backend&amp;search_layout=grid&amp;position=8&amp;type=product&amp;tracking_id=49059396-0fbd-40b1-b163-ee1b26ac7289&amp;wid=MLA2029763478&amp;sid=search" ref="F166"/>
    <hyperlink r:id="rId116" ref="F169"/>
    <hyperlink r:id="rId117" location="polycard_client=search-desktop&amp;be_origin=backend&amp;search_layout=grid&amp;position=5&amp;type=product&amp;tracking_id=4de13411-5e47-4096-bc75-3fdad4bb14a6&amp;wid=MLA1788705643&amp;sid=search" ref="F170"/>
    <hyperlink r:id="rId118" ref="F174"/>
    <hyperlink r:id="rId119" location="is_advertising=true&amp;searchVariation=MLA55267276&amp;backend_model=search-backend&amp;be_origin=backend&amp;position=3&amp;search_layout=grid&amp;type=pad&amp;tracking_id=ef997a53-9ed1-46d3-a796-d5d89af58ac3&amp;ad_domain=VQCATCORE_LST&amp;ad_position=3&amp;ad_click_id=ZGE4MDBjM2YtYzQxMS00N2QwLWFmODctODQ2MzljMmU3N2Zl" ref="F175"/>
    <hyperlink r:id="rId120" location="polycard_client=search-desktop&amp;be_origin=backend&amp;search_layout=grid&amp;position=11&amp;type=product&amp;tracking_id=8bea23be-f00c-4271-a827-4e4330806717&amp;wid=MLA1606755957&amp;sid=search" ref="F177"/>
    <hyperlink r:id="rId121" ref="F178"/>
    <hyperlink r:id="rId122" ref="F179"/>
    <hyperlink r:id="rId123" ref="F180"/>
    <hyperlink r:id="rId124" location="polycard_client=search-desktop&amp;be_origin=backend&amp;search_layout=grid&amp;position=8&amp;type=product&amp;tracking_id=49059396-0fbd-40b1-b163-ee1b26ac7289&amp;wid=MLA2029763478&amp;sid=search" ref="F181"/>
    <hyperlink r:id="rId125" location="polycard_client=search-desktop&amp;be_origin=backend&amp;search_layout=grid&amp;position=16&amp;type=product&amp;tracking_id=d2a0ae2c-1464-47cb-9ed2-2ba92e5f1f50&amp;wid=MLA3038288422&amp;sid=search" ref="F186"/>
    <hyperlink r:id="rId126" ref="F187"/>
    <hyperlink r:id="rId127" location="polycard_client=search-desktop&amp;be_origin=backend&amp;search_layout=grid&amp;position=10&amp;type=product&amp;tracking_id=21e09733-e09b-439e-8f4e-2f7ac5ddea3e&amp;wid=MLA3190974380&amp;sid=search" ref="F188"/>
    <hyperlink r:id="rId128" ref="F189"/>
    <hyperlink r:id="rId129" ref="F190"/>
    <hyperlink r:id="rId130" ref="F191"/>
    <hyperlink r:id="rId131" ref="F192"/>
    <hyperlink r:id="rId132" ref="F193"/>
    <hyperlink r:id="rId133" ref="F194"/>
    <hyperlink r:id="rId134" location="polycard_client=search-desktop&amp;be_origin=backend&amp;search_layout=grid&amp;position=5&amp;type=product&amp;float_highlight=last_units&amp;tracking_id=09f4f961-f244-4301-aade-f9cb4c9693ba&amp;wid=MLA934201158&amp;sid=search" ref="F195"/>
    <hyperlink r:id="rId135" ref="F196"/>
    <hyperlink r:id="rId136" ref="F197"/>
    <hyperlink r:id="rId137" ref="F198"/>
    <hyperlink r:id="rId138" ref="F199"/>
    <hyperlink r:id="rId139" ref="F200"/>
    <hyperlink r:id="rId140" ref="F201"/>
    <hyperlink r:id="rId141" ref="F202"/>
    <hyperlink r:id="rId142" location="polycard_client=search-desktop&amp;be_origin=backend&amp;search_layout=grid&amp;position=1&amp;type=product&amp;tracking_id=641f68d3-a7dc-4e61-a859-7f74bee68151&amp;wid=MLA1710574224&amp;sid=search" ref="F203"/>
    <hyperlink r:id="rId143" location="polycard_client=recommendations_vip-seller_items-above&amp;reco_backend=ranker-retsys-same-seller&amp;reco_model=rk_entity_sameseller&amp;reco_client=vip-seller_items-above&amp;reco_item_pos=0&amp;reco_backend_type=low_level&amp;reco_id=9c78980e-730f-40fb-bef0-774e589dedf2&amp;wid=MLA2212451214&amp;sid=recos" ref="F204"/>
    <hyperlink r:id="rId144" ref="F205"/>
    <hyperlink r:id="rId145" location="polycard_client=recommendations_vip-pads-up&amp;wid=MLA3091394196&amp;sid=recos&amp;reco_backend=recomm_platform_base_pads_ron_marketplace&amp;reco_model=fallback_productos-promocionados&amp;reco_client=vip-pads-up&amp;reco_item_pos=0&amp;reco_backend_type=low_level&amp;reco_id=afedae94-d83b-4339-8e3d-d8b2d393faed&amp;is_advertising=true&amp;ad_domain=VIPDESKTOP_UP&amp;ad_position=1&amp;ad_click_id=N2RlODJjZWMtMWMxNy00MDk5LTk1MDktOTE4NmJjMDIxOTJl" ref="F206"/>
    <hyperlink r:id="rId146" ref="F207"/>
    <hyperlink r:id="rId147" ref="F208"/>
    <hyperlink r:id="rId148" ref="F209"/>
    <hyperlink r:id="rId149" ref="F210"/>
    <hyperlink r:id="rId150" ref="F211"/>
    <hyperlink r:id="rId151" location="polycard_client=search-desktop&amp;be_origin=backend&amp;search_layout=grid&amp;position=19&amp;type=product&amp;tracking_id=61ff3969-db91-4477-a5e1-358c0d557fba&amp;wid=MLA1695590662&amp;sid=search" ref="F212"/>
    <hyperlink r:id="rId152" location="polycard_client=search-desktop&amp;be_origin=backend&amp;search_layout=grid&amp;position=23&amp;type=product&amp;tracking_id=dd60c9af-6d8e-44b3-bc6a-51246348a466&amp;wid=MLA3456287730&amp;sid=search" ref="F213"/>
    <hyperlink r:id="rId153" location="polycard_client=search-desktop&amp;be_origin=backend&amp;search_layout=grid&amp;position=5&amp;type=product&amp;tracking_id=dfe19257-bf1d-463e-b042-0389b8555904&amp;wid=MLA2186390590&amp;sid=search" ref="F214"/>
    <hyperlink r:id="rId154" location="polycard_client=search-desktop&amp;be_origin=backend&amp;search_layout=grid&amp;position=5&amp;type=product&amp;tracking_id=22213b3f-0371-4961-9f9a-bde1efae8ee3&amp;wid=MLA3241040668&amp;sid=search" ref="F215"/>
    <hyperlink r:id="rId155" location="polycard_client=search-desktop&amp;be_origin=backend&amp;search_layout=grid&amp;position=24&amp;type=product&amp;tracking_id=a829b040-0379-48c3-8187-67dbb49d2756&amp;wid=MLA1676269575&amp;sid=search" ref="F216"/>
    <hyperlink r:id="rId156" location="polycard_client%3Drecommendations_recoview-selleritems-eshops%26reco_backend%3Dsame-seller-odin%26reco_client%3Drecoview-selleritems-eshops%26reco_item_pos%3D0%26reco_backend_type%3Dlow_level%26reco_id%3D38792983-a5ac-404c-9c55-bd0dcb2924fc%26tracking_id%3D3a1a7bfd9f5d2df121c98cad927dae99%26source%3Deshops%26seller_id%3D256439218%26category_id%3DMLA11034" ref="F217"/>
    <hyperlink r:id="rId157" ref="F218"/>
    <hyperlink r:id="rId158" ref="F219"/>
    <hyperlink r:id="rId159" ref="F227"/>
    <hyperlink r:id="rId160" ref="F228"/>
    <hyperlink r:id="rId161" ref="F229"/>
    <hyperlink r:id="rId162" ref="F230"/>
    <hyperlink r:id="rId163" ref="F231"/>
    <hyperlink r:id="rId164" ref="F232"/>
    <hyperlink r:id="rId165" ref="F233"/>
    <hyperlink r:id="rId166" ref="F234"/>
    <hyperlink r:id="rId167" location="polycard_client=search-desktop&amp;be_origin=backend&amp;search_layout=grid&amp;position=3&amp;type=product&amp;tracking_id=8a39676b-8146-46b8-882e-dc3349fdb057&amp;wid=MLA1563291597&amp;sid=search" ref="F235"/>
    <hyperlink r:id="rId168" ref="F238"/>
    <hyperlink r:id="rId169" location="polycard_client=search-desktop&amp;be_origin=backend&amp;search_layout=grid&amp;position=8&amp;type=product&amp;tracking_id=49059396-0fbd-40b1-b163-ee1b26ac7289&amp;wid=MLA2029763478&amp;sid=search" ref="F239"/>
    <hyperlink r:id="rId170" location="polycard_client=search-desktop&amp;be_origin=backend&amp;search_layout=grid&amp;position=12&amp;type=product&amp;tracking_id=97f32382-cda9-4e66-b643-b7e48f7bc92e&amp;wid=MLA1418942879&amp;sid=search" ref="F240"/>
    <hyperlink r:id="rId171" ref="F241"/>
    <hyperlink r:id="rId172" location="polycard_client=search-desktop&amp;be_origin=backend&amp;search_layout=grid&amp;position=3&amp;type=product&amp;float_highlight=last_units&amp;tracking_id=169cb8ef-099a-467c-b2c9-8451a43c6f78&amp;wid=MLA2747862692&amp;sid=search" ref="F242"/>
    <hyperlink r:id="rId173" location="polycard_client=search-desktop&amp;be_origin=backend&amp;search_layout=grid&amp;position=3&amp;type=product&amp;tracking_id=5d693133-2ebf-4ca4-95e7-ed272e9e0c3d&amp;wid=MLA1107998934&amp;sid=search" ref="F243"/>
    <hyperlink r:id="rId174" ref="F245"/>
    <hyperlink r:id="rId175" ref="F254"/>
    <hyperlink r:id="rId176" ref="F259"/>
    <hyperlink r:id="rId177" ref="F260"/>
    <hyperlink r:id="rId178" ref="F261"/>
    <hyperlink r:id="rId179" ref="F262"/>
    <hyperlink r:id="rId180" ref="F263"/>
    <hyperlink r:id="rId181" ref="F264"/>
    <hyperlink r:id="rId182" ref="F265"/>
    <hyperlink r:id="rId183" ref="F266"/>
    <hyperlink r:id="rId184" ref="F267"/>
    <hyperlink r:id="rId185" ref="F268"/>
    <hyperlink r:id="rId186" ref="F269"/>
    <hyperlink r:id="rId187" ref="F276"/>
    <hyperlink r:id="rId188" ref="F277"/>
  </hyperlinks>
  <printOptions/>
  <pageMargins bottom="0.75" footer="0.0" header="0.0" left="0.7" right="0.7" top="0.75"/>
  <pageSetup orientation="landscape"/>
  <drawing r:id="rId189"/>
  <legacyDrawing r:id="rId19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7"/>
    <outlinePr summaryBelow="0" summaryRight="0"/>
    <pageSetUpPr/>
  </sheetPr>
  <sheetViews>
    <sheetView workbookViewId="0"/>
  </sheetViews>
  <sheetFormatPr customHeight="1" defaultColWidth="12.63" defaultRowHeight="15.0"/>
  <cols>
    <col customWidth="1" min="1" max="1" width="3.25"/>
    <col customWidth="1" min="2" max="2" width="32.38"/>
    <col customWidth="1" min="3" max="3" width="31.0"/>
    <col customWidth="1" min="4" max="4" width="12.75"/>
    <col customWidth="1" min="5" max="5" width="21.38"/>
    <col customWidth="1" min="6" max="6" width="43.38"/>
    <col customWidth="1" min="7" max="7" width="6.0"/>
    <col customWidth="1" min="8" max="8" width="19.13"/>
    <col customWidth="1" min="9" max="9" width="47.25"/>
    <col customWidth="1" min="10" max="25" width="12.75"/>
  </cols>
  <sheetData>
    <row r="1" ht="35.25" customHeight="1">
      <c r="A1" s="59"/>
      <c r="B1" s="59"/>
      <c r="C1" s="177" t="s">
        <v>451</v>
      </c>
      <c r="D1" s="66">
        <v>1450.0</v>
      </c>
      <c r="E1" s="59"/>
      <c r="F1" s="59"/>
      <c r="G1" s="59"/>
      <c r="H1" s="178"/>
      <c r="I1" s="178"/>
      <c r="J1" s="59"/>
      <c r="K1" s="59"/>
      <c r="L1" s="59"/>
      <c r="M1" s="59"/>
      <c r="N1" s="59"/>
      <c r="O1" s="59"/>
      <c r="P1" s="59"/>
      <c r="Q1" s="59"/>
      <c r="R1" s="59"/>
      <c r="S1" s="59"/>
      <c r="T1" s="59"/>
      <c r="U1" s="59"/>
      <c r="V1" s="59"/>
      <c r="W1" s="59"/>
      <c r="X1" s="59"/>
      <c r="Y1" s="59"/>
    </row>
    <row r="2" ht="35.25" customHeight="1">
      <c r="A2" s="59"/>
      <c r="B2" s="179" t="s">
        <v>452</v>
      </c>
      <c r="C2" s="12"/>
      <c r="D2" s="59"/>
      <c r="E2" s="179" t="s">
        <v>453</v>
      </c>
      <c r="F2" s="12"/>
      <c r="G2" s="59"/>
      <c r="H2" s="179" t="s">
        <v>454</v>
      </c>
      <c r="I2" s="12"/>
      <c r="J2" s="59"/>
      <c r="K2" s="59"/>
      <c r="L2" s="59"/>
      <c r="M2" s="59"/>
      <c r="N2" s="59"/>
      <c r="O2" s="59"/>
      <c r="P2" s="59"/>
      <c r="Q2" s="59"/>
      <c r="R2" s="59"/>
      <c r="S2" s="59"/>
      <c r="T2" s="59"/>
      <c r="U2" s="59"/>
      <c r="V2" s="59"/>
      <c r="W2" s="59"/>
      <c r="X2" s="59"/>
      <c r="Y2" s="59"/>
    </row>
    <row r="3" ht="35.25" customHeight="1">
      <c r="A3" s="59"/>
      <c r="B3" s="180" t="s">
        <v>455</v>
      </c>
      <c r="C3" s="181">
        <f>(16075*$D$1)-110000+5951.15</f>
        <v>23204701.15</v>
      </c>
      <c r="D3" s="59"/>
      <c r="E3" s="180" t="s">
        <v>456</v>
      </c>
      <c r="F3" s="182" t="s">
        <v>457</v>
      </c>
      <c r="G3" s="59"/>
      <c r="H3" s="180" t="s">
        <v>458</v>
      </c>
      <c r="I3" s="183">
        <v>0.0</v>
      </c>
      <c r="J3" s="59"/>
      <c r="K3" s="59"/>
      <c r="L3" s="59"/>
      <c r="M3" s="59"/>
      <c r="N3" s="59"/>
      <c r="O3" s="59"/>
      <c r="P3" s="59"/>
      <c r="Q3" s="59"/>
      <c r="R3" s="59"/>
      <c r="S3" s="59"/>
      <c r="T3" s="59"/>
      <c r="U3" s="59"/>
      <c r="V3" s="59"/>
      <c r="W3" s="59"/>
      <c r="X3" s="59"/>
      <c r="Y3" s="59"/>
    </row>
    <row r="4" ht="35.25" customHeight="1">
      <c r="A4" s="59"/>
      <c r="B4" s="180" t="s">
        <v>459</v>
      </c>
      <c r="C4" s="181">
        <f t="shared" ref="C4:C6" si="1">(16075*$D$1)-110000</f>
        <v>23198750</v>
      </c>
      <c r="D4" s="59"/>
      <c r="E4" s="180" t="s">
        <v>460</v>
      </c>
      <c r="F4" s="182" t="s">
        <v>461</v>
      </c>
      <c r="G4" s="59"/>
      <c r="H4" s="180" t="s">
        <v>462</v>
      </c>
      <c r="I4" s="184">
        <v>0.0</v>
      </c>
      <c r="J4" s="59"/>
      <c r="K4" s="59"/>
      <c r="L4" s="59"/>
      <c r="M4" s="59"/>
      <c r="N4" s="59"/>
      <c r="O4" s="59"/>
      <c r="P4" s="59"/>
      <c r="Q4" s="59"/>
      <c r="R4" s="59"/>
      <c r="S4" s="59"/>
      <c r="T4" s="59"/>
      <c r="U4" s="59"/>
      <c r="V4" s="59"/>
      <c r="W4" s="59"/>
      <c r="X4" s="59"/>
      <c r="Y4" s="59"/>
    </row>
    <row r="5" ht="35.25" customHeight="1">
      <c r="A5" s="59"/>
      <c r="B5" s="180" t="s">
        <v>463</v>
      </c>
      <c r="C5" s="181">
        <f t="shared" si="1"/>
        <v>23198750</v>
      </c>
      <c r="D5" s="59"/>
      <c r="E5" s="180" t="s">
        <v>464</v>
      </c>
      <c r="F5" s="185" t="s">
        <v>465</v>
      </c>
      <c r="G5" s="59"/>
      <c r="H5" s="180" t="s">
        <v>466</v>
      </c>
      <c r="I5" s="186"/>
      <c r="J5" s="59"/>
      <c r="K5" s="59"/>
      <c r="L5" s="59"/>
      <c r="M5" s="59"/>
      <c r="N5" s="59"/>
      <c r="O5" s="59"/>
      <c r="P5" s="59"/>
      <c r="Q5" s="59"/>
      <c r="R5" s="59"/>
      <c r="S5" s="59"/>
      <c r="T5" s="59"/>
      <c r="U5" s="59"/>
      <c r="V5" s="59"/>
      <c r="W5" s="59"/>
      <c r="X5" s="59"/>
      <c r="Y5" s="59"/>
    </row>
    <row r="6" ht="35.25" customHeight="1">
      <c r="A6" s="59"/>
      <c r="B6" s="180" t="s">
        <v>467</v>
      </c>
      <c r="C6" s="181">
        <f t="shared" si="1"/>
        <v>23198750</v>
      </c>
      <c r="D6" s="187" t="s">
        <v>468</v>
      </c>
      <c r="E6" s="180" t="s">
        <v>469</v>
      </c>
      <c r="F6" s="151">
        <v>1.2E8</v>
      </c>
      <c r="G6" s="59"/>
      <c r="H6" s="180" t="s">
        <v>470</v>
      </c>
      <c r="I6" s="188">
        <f>SUM(I3:I4)</f>
        <v>0</v>
      </c>
      <c r="J6" s="59"/>
      <c r="K6" s="59"/>
      <c r="L6" s="59"/>
      <c r="M6" s="59"/>
      <c r="N6" s="59"/>
      <c r="O6" s="59"/>
      <c r="P6" s="59"/>
      <c r="Q6" s="59"/>
      <c r="R6" s="59"/>
      <c r="S6" s="59"/>
      <c r="T6" s="59"/>
      <c r="U6" s="59"/>
      <c r="V6" s="59"/>
      <c r="W6" s="59"/>
      <c r="X6" s="59"/>
      <c r="Y6" s="59"/>
    </row>
    <row r="7" ht="35.25" customHeight="1">
      <c r="A7" s="59"/>
      <c r="B7" s="189" t="s">
        <v>471</v>
      </c>
      <c r="C7" s="190">
        <f>205000*D1</f>
        <v>297250000</v>
      </c>
      <c r="D7" s="187" t="s">
        <v>472</v>
      </c>
      <c r="E7" s="191" t="s">
        <v>473</v>
      </c>
      <c r="F7" s="192"/>
      <c r="G7" s="59"/>
      <c r="H7" s="191" t="s">
        <v>473</v>
      </c>
      <c r="I7" s="192"/>
      <c r="J7" s="59"/>
      <c r="K7" s="59"/>
      <c r="L7" s="59"/>
      <c r="M7" s="59"/>
      <c r="N7" s="59"/>
      <c r="O7" s="59"/>
      <c r="P7" s="59"/>
      <c r="Q7" s="59"/>
      <c r="R7" s="59"/>
      <c r="S7" s="59"/>
      <c r="T7" s="59"/>
      <c r="U7" s="59"/>
      <c r="V7" s="59"/>
      <c r="W7" s="59"/>
      <c r="X7" s="59"/>
      <c r="Y7" s="59"/>
    </row>
    <row r="8" ht="35.25" customHeight="1">
      <c r="A8" s="59"/>
      <c r="B8" s="189" t="s">
        <v>474</v>
      </c>
      <c r="C8" s="193">
        <f>125000*D1</f>
        <v>181250000</v>
      </c>
      <c r="D8" s="194" t="s">
        <v>475</v>
      </c>
      <c r="E8" s="59"/>
      <c r="F8" s="59"/>
      <c r="G8" s="59"/>
      <c r="H8" s="178"/>
      <c r="I8" s="178"/>
      <c r="J8" s="59"/>
      <c r="K8" s="59"/>
      <c r="L8" s="59"/>
      <c r="M8" s="59"/>
      <c r="N8" s="59"/>
      <c r="O8" s="59"/>
      <c r="P8" s="59"/>
      <c r="Q8" s="59"/>
      <c r="R8" s="59"/>
      <c r="S8" s="59"/>
      <c r="T8" s="59"/>
      <c r="U8" s="59"/>
      <c r="V8" s="59"/>
      <c r="W8" s="59"/>
      <c r="X8" s="59"/>
      <c r="Y8" s="59"/>
    </row>
    <row r="9" ht="111.0" customHeight="1">
      <c r="A9" s="59"/>
      <c r="B9" s="195" t="s">
        <v>476</v>
      </c>
      <c r="C9" s="193">
        <f>115000*D1</f>
        <v>166750000</v>
      </c>
      <c r="D9" s="196" t="s">
        <v>477</v>
      </c>
      <c r="E9" s="59"/>
      <c r="F9" s="66"/>
      <c r="G9" s="59"/>
      <c r="H9" s="178"/>
      <c r="I9" s="178"/>
      <c r="J9" s="59"/>
      <c r="K9" s="59"/>
      <c r="L9" s="59"/>
      <c r="M9" s="59"/>
      <c r="N9" s="59"/>
      <c r="O9" s="59"/>
      <c r="P9" s="59"/>
      <c r="Q9" s="59"/>
      <c r="R9" s="59"/>
      <c r="S9" s="59"/>
      <c r="T9" s="59"/>
      <c r="U9" s="59"/>
      <c r="V9" s="59"/>
      <c r="W9" s="59"/>
      <c r="X9" s="59"/>
      <c r="Y9" s="59"/>
    </row>
    <row r="10" ht="77.25" customHeight="1">
      <c r="A10" s="59"/>
      <c r="B10" s="189" t="s">
        <v>478</v>
      </c>
      <c r="C10" s="193">
        <f>90000*D1</f>
        <v>130500000</v>
      </c>
      <c r="D10" s="197" t="s">
        <v>479</v>
      </c>
      <c r="E10" s="59"/>
      <c r="F10" s="59"/>
      <c r="G10" s="59"/>
      <c r="H10" s="178"/>
      <c r="I10" s="178"/>
      <c r="J10" s="59"/>
      <c r="K10" s="59"/>
      <c r="L10" s="59"/>
      <c r="M10" s="59"/>
      <c r="N10" s="59"/>
      <c r="O10" s="59"/>
      <c r="P10" s="59"/>
      <c r="Q10" s="59"/>
      <c r="R10" s="59"/>
      <c r="S10" s="59"/>
      <c r="T10" s="59"/>
      <c r="U10" s="59"/>
      <c r="V10" s="59"/>
      <c r="W10" s="59"/>
      <c r="X10" s="59"/>
      <c r="Y10" s="59"/>
    </row>
    <row r="11" ht="35.25" customHeight="1">
      <c r="A11" s="59"/>
      <c r="B11" s="180" t="s">
        <v>480</v>
      </c>
      <c r="C11" s="159">
        <f>SUM(C3:C10)</f>
        <v>868550951.2</v>
      </c>
      <c r="D11" s="98" t="s">
        <v>5</v>
      </c>
      <c r="E11" s="59"/>
      <c r="F11" s="59"/>
      <c r="G11" s="59"/>
      <c r="H11" s="178"/>
      <c r="I11" s="178"/>
      <c r="J11" s="59"/>
      <c r="K11" s="59"/>
      <c r="L11" s="59"/>
      <c r="M11" s="59"/>
      <c r="N11" s="59"/>
      <c r="O11" s="59"/>
      <c r="P11" s="59"/>
      <c r="Q11" s="59"/>
      <c r="R11" s="59"/>
      <c r="S11" s="59"/>
      <c r="T11" s="59"/>
      <c r="U11" s="59"/>
      <c r="V11" s="59"/>
      <c r="W11" s="59"/>
      <c r="X11" s="59"/>
      <c r="Y11" s="59"/>
    </row>
    <row r="12" ht="35.25" customHeight="1">
      <c r="A12" s="59"/>
      <c r="C12" s="198"/>
      <c r="E12" s="59"/>
      <c r="F12" s="59"/>
      <c r="G12" s="59"/>
      <c r="H12" s="178"/>
      <c r="I12" s="178"/>
      <c r="J12" s="59"/>
      <c r="K12" s="59"/>
      <c r="L12" s="59"/>
      <c r="M12" s="59"/>
      <c r="N12" s="59"/>
      <c r="O12" s="59"/>
      <c r="P12" s="59"/>
      <c r="Q12" s="59"/>
      <c r="R12" s="59"/>
      <c r="S12" s="59"/>
      <c r="T12" s="59"/>
      <c r="U12" s="59"/>
      <c r="V12" s="59"/>
      <c r="W12" s="59"/>
      <c r="X12" s="59"/>
      <c r="Y12" s="59"/>
    </row>
    <row r="13" ht="35.25" customHeight="1">
      <c r="A13" s="59"/>
      <c r="C13" s="198">
        <f>C11/7</f>
        <v>124078707.3</v>
      </c>
      <c r="E13" s="59"/>
      <c r="F13" s="59"/>
      <c r="H13" s="178"/>
      <c r="I13" s="178"/>
      <c r="J13" s="59"/>
      <c r="K13" s="59"/>
      <c r="L13" s="59"/>
      <c r="M13" s="59"/>
      <c r="N13" s="59"/>
      <c r="O13" s="59"/>
      <c r="P13" s="59"/>
      <c r="Q13" s="59"/>
      <c r="R13" s="59"/>
      <c r="S13" s="59"/>
      <c r="T13" s="59"/>
      <c r="U13" s="59"/>
      <c r="V13" s="59"/>
      <c r="W13" s="59"/>
      <c r="X13" s="59"/>
      <c r="Y13" s="59"/>
    </row>
    <row r="14" ht="35.25" customHeight="1">
      <c r="A14" s="59"/>
      <c r="B14" s="59"/>
      <c r="C14" s="199">
        <f>C13/12</f>
        <v>10339892.28</v>
      </c>
      <c r="D14" s="59"/>
      <c r="E14" s="59"/>
      <c r="F14" s="59"/>
      <c r="H14" s="178"/>
      <c r="I14" s="178"/>
      <c r="J14" s="59"/>
      <c r="K14" s="59"/>
      <c r="L14" s="59"/>
      <c r="M14" s="59"/>
      <c r="N14" s="59"/>
      <c r="O14" s="59"/>
      <c r="P14" s="59"/>
      <c r="Q14" s="59"/>
      <c r="R14" s="59"/>
      <c r="S14" s="59"/>
      <c r="T14" s="59"/>
      <c r="U14" s="59"/>
      <c r="V14" s="59"/>
      <c r="W14" s="59"/>
      <c r="X14" s="59"/>
      <c r="Y14" s="59"/>
    </row>
    <row r="15" ht="35.25" customHeight="1">
      <c r="A15" s="59"/>
      <c r="B15" s="59"/>
      <c r="C15" s="59"/>
      <c r="D15" s="59"/>
      <c r="E15" s="59"/>
      <c r="F15" s="59"/>
      <c r="H15" s="178"/>
      <c r="I15" s="178"/>
      <c r="J15" s="59"/>
      <c r="K15" s="59"/>
      <c r="L15" s="59"/>
      <c r="M15" s="59"/>
      <c r="N15" s="59"/>
      <c r="O15" s="59"/>
      <c r="P15" s="59"/>
      <c r="Q15" s="59"/>
      <c r="R15" s="59"/>
      <c r="S15" s="59"/>
      <c r="T15" s="59"/>
      <c r="U15" s="59"/>
      <c r="V15" s="59"/>
      <c r="W15" s="59"/>
      <c r="X15" s="59"/>
      <c r="Y15" s="59"/>
    </row>
    <row r="16" ht="35.25" customHeight="1">
      <c r="A16" s="59"/>
      <c r="B16" s="59"/>
      <c r="C16" s="59"/>
      <c r="D16" s="59"/>
      <c r="G16" s="59"/>
      <c r="H16" s="178"/>
      <c r="I16" s="178"/>
      <c r="J16" s="59"/>
      <c r="K16" s="59"/>
      <c r="L16" s="59"/>
      <c r="M16" s="59"/>
      <c r="N16" s="59"/>
      <c r="O16" s="59"/>
      <c r="P16" s="59"/>
      <c r="Q16" s="59"/>
      <c r="R16" s="59"/>
      <c r="S16" s="59"/>
      <c r="T16" s="59"/>
      <c r="U16" s="59"/>
      <c r="V16" s="59"/>
      <c r="W16" s="59"/>
      <c r="X16" s="59"/>
      <c r="Y16" s="59"/>
    </row>
    <row r="17" ht="35.25" customHeight="1">
      <c r="A17" s="59"/>
      <c r="B17" s="59"/>
      <c r="C17" s="59"/>
      <c r="D17" s="59"/>
      <c r="E17" s="59"/>
      <c r="F17" s="59"/>
      <c r="G17" s="59"/>
      <c r="H17" s="178"/>
      <c r="I17" s="178"/>
      <c r="J17" s="59"/>
      <c r="K17" s="59"/>
      <c r="L17" s="59"/>
      <c r="M17" s="59"/>
      <c r="N17" s="59"/>
      <c r="O17" s="59"/>
      <c r="P17" s="59"/>
      <c r="Q17" s="59"/>
      <c r="R17" s="59"/>
      <c r="S17" s="59"/>
      <c r="T17" s="59"/>
      <c r="U17" s="59"/>
      <c r="V17" s="59"/>
      <c r="W17" s="59"/>
      <c r="X17" s="59"/>
      <c r="Y17" s="59"/>
    </row>
    <row r="18" ht="35.25" customHeight="1">
      <c r="A18" s="59"/>
      <c r="B18" s="59"/>
      <c r="C18" s="59"/>
      <c r="D18" s="59"/>
      <c r="E18" s="59"/>
      <c r="F18" s="59"/>
      <c r="G18" s="59"/>
      <c r="H18" s="178"/>
      <c r="I18" s="178"/>
      <c r="J18" s="59"/>
      <c r="K18" s="59"/>
      <c r="L18" s="59"/>
      <c r="M18" s="59"/>
      <c r="N18" s="59"/>
      <c r="O18" s="59"/>
      <c r="P18" s="59"/>
      <c r="Q18" s="59"/>
      <c r="R18" s="59"/>
      <c r="S18" s="59"/>
      <c r="T18" s="59"/>
      <c r="U18" s="59"/>
      <c r="V18" s="59"/>
      <c r="W18" s="59"/>
      <c r="X18" s="59"/>
      <c r="Y18" s="59"/>
    </row>
    <row r="19" ht="35.25" customHeight="1">
      <c r="A19" s="59"/>
      <c r="B19" s="59"/>
      <c r="C19" s="59"/>
      <c r="D19" s="59"/>
      <c r="E19" s="59"/>
      <c r="F19" s="59"/>
      <c r="G19" s="59"/>
      <c r="H19" s="178"/>
      <c r="I19" s="178"/>
      <c r="J19" s="59"/>
      <c r="K19" s="59"/>
      <c r="L19" s="59"/>
      <c r="M19" s="59"/>
      <c r="N19" s="59"/>
      <c r="O19" s="59"/>
      <c r="P19" s="59"/>
      <c r="Q19" s="59"/>
      <c r="R19" s="59"/>
      <c r="S19" s="59"/>
      <c r="T19" s="59"/>
      <c r="U19" s="59"/>
      <c r="V19" s="59"/>
      <c r="W19" s="59"/>
      <c r="X19" s="59"/>
      <c r="Y19" s="59"/>
    </row>
    <row r="20" ht="35.25" customHeight="1">
      <c r="A20" s="59"/>
      <c r="B20" s="59"/>
      <c r="C20" s="59"/>
      <c r="D20" s="59"/>
      <c r="E20" s="59"/>
      <c r="F20" s="59"/>
      <c r="G20" s="59"/>
      <c r="H20" s="178"/>
      <c r="I20" s="178"/>
      <c r="J20" s="59"/>
      <c r="K20" s="59"/>
      <c r="L20" s="59"/>
      <c r="M20" s="59"/>
      <c r="N20" s="59"/>
      <c r="O20" s="59"/>
      <c r="P20" s="59"/>
      <c r="Q20" s="59"/>
      <c r="R20" s="59"/>
      <c r="S20" s="59"/>
      <c r="T20" s="59"/>
      <c r="U20" s="59"/>
      <c r="V20" s="59"/>
      <c r="W20" s="59"/>
      <c r="X20" s="59"/>
      <c r="Y20" s="59"/>
    </row>
    <row r="21" ht="35.25" customHeight="1">
      <c r="A21" s="59"/>
      <c r="E21" s="59"/>
      <c r="F21" s="59"/>
      <c r="G21" s="59"/>
      <c r="H21" s="178"/>
      <c r="I21" s="178"/>
      <c r="J21" s="59"/>
      <c r="K21" s="59"/>
      <c r="L21" s="59"/>
      <c r="M21" s="59"/>
      <c r="N21" s="59"/>
      <c r="O21" s="59"/>
      <c r="P21" s="59"/>
      <c r="Q21" s="59"/>
      <c r="R21" s="59"/>
      <c r="S21" s="59"/>
      <c r="T21" s="59"/>
      <c r="U21" s="59"/>
      <c r="V21" s="59"/>
      <c r="W21" s="59"/>
      <c r="X21" s="59"/>
      <c r="Y21" s="59"/>
    </row>
    <row r="22" ht="35.25" customHeight="1">
      <c r="A22" s="59"/>
      <c r="E22" s="59"/>
      <c r="F22" s="59"/>
      <c r="G22" s="59"/>
      <c r="H22" s="178"/>
      <c r="I22" s="178"/>
      <c r="J22" s="59"/>
      <c r="K22" s="59"/>
      <c r="L22" s="59"/>
      <c r="M22" s="59"/>
      <c r="N22" s="59"/>
      <c r="O22" s="59"/>
      <c r="P22" s="59"/>
      <c r="Q22" s="59"/>
      <c r="R22" s="59"/>
      <c r="S22" s="59"/>
      <c r="T22" s="59"/>
      <c r="U22" s="59"/>
      <c r="V22" s="59"/>
      <c r="W22" s="59"/>
      <c r="X22" s="59"/>
      <c r="Y22" s="59"/>
    </row>
    <row r="23" ht="35.25" customHeight="1">
      <c r="A23" s="59"/>
      <c r="E23" s="59"/>
      <c r="F23" s="59"/>
      <c r="G23" s="59"/>
      <c r="H23" s="178"/>
      <c r="I23" s="178"/>
      <c r="J23" s="59"/>
      <c r="K23" s="59"/>
      <c r="L23" s="59"/>
      <c r="M23" s="59"/>
      <c r="N23" s="59"/>
      <c r="O23" s="59"/>
      <c r="P23" s="59"/>
      <c r="Q23" s="59"/>
      <c r="R23" s="59"/>
      <c r="S23" s="59"/>
      <c r="T23" s="59"/>
      <c r="U23" s="59"/>
      <c r="V23" s="59"/>
      <c r="W23" s="59"/>
      <c r="X23" s="59"/>
      <c r="Y23" s="59"/>
    </row>
    <row r="24" ht="35.25" customHeight="1">
      <c r="A24" s="59"/>
      <c r="E24" s="59"/>
      <c r="F24" s="59"/>
      <c r="G24" s="59"/>
      <c r="H24" s="178"/>
      <c r="I24" s="178"/>
      <c r="J24" s="59"/>
      <c r="K24" s="59"/>
      <c r="L24" s="59"/>
      <c r="M24" s="59"/>
      <c r="N24" s="59"/>
      <c r="O24" s="59"/>
      <c r="P24" s="59"/>
      <c r="Q24" s="59"/>
      <c r="R24" s="59"/>
      <c r="S24" s="59"/>
      <c r="T24" s="59"/>
      <c r="U24" s="59"/>
      <c r="V24" s="59"/>
      <c r="W24" s="59"/>
      <c r="X24" s="59"/>
      <c r="Y24" s="59"/>
    </row>
    <row r="25" ht="35.25" customHeight="1">
      <c r="A25" s="59"/>
      <c r="E25" s="59"/>
      <c r="F25" s="59"/>
      <c r="G25" s="59"/>
      <c r="H25" s="178"/>
      <c r="I25" s="178"/>
      <c r="J25" s="59"/>
      <c r="K25" s="59"/>
      <c r="L25" s="59"/>
      <c r="M25" s="59"/>
      <c r="N25" s="59"/>
      <c r="O25" s="59"/>
      <c r="P25" s="59"/>
      <c r="Q25" s="59"/>
      <c r="R25" s="59"/>
      <c r="S25" s="59"/>
      <c r="T25" s="59"/>
      <c r="U25" s="59"/>
      <c r="V25" s="59"/>
      <c r="W25" s="59"/>
      <c r="X25" s="59"/>
      <c r="Y25" s="59"/>
    </row>
    <row r="26" ht="56.25" customHeight="1">
      <c r="A26" s="59"/>
      <c r="E26" s="59"/>
      <c r="F26" s="59"/>
      <c r="G26" s="59"/>
      <c r="H26" s="178"/>
      <c r="I26" s="178"/>
      <c r="J26" s="59"/>
      <c r="K26" s="59"/>
      <c r="L26" s="59"/>
      <c r="M26" s="59"/>
      <c r="N26" s="59"/>
      <c r="O26" s="59"/>
      <c r="P26" s="59"/>
      <c r="Q26" s="59"/>
      <c r="R26" s="59"/>
      <c r="S26" s="59"/>
      <c r="T26" s="59"/>
      <c r="U26" s="59"/>
      <c r="V26" s="59"/>
      <c r="W26" s="59"/>
      <c r="X26" s="59"/>
      <c r="Y26" s="59"/>
    </row>
    <row r="27" ht="35.25" customHeight="1">
      <c r="A27" s="59"/>
      <c r="B27" s="59"/>
      <c r="C27" s="59"/>
      <c r="D27" s="59"/>
      <c r="E27" s="59"/>
      <c r="F27" s="59"/>
      <c r="G27" s="59"/>
      <c r="H27" s="178"/>
      <c r="I27" s="178"/>
      <c r="J27" s="59"/>
      <c r="K27" s="59"/>
      <c r="L27" s="59"/>
      <c r="M27" s="59"/>
      <c r="N27" s="59"/>
      <c r="O27" s="59"/>
      <c r="P27" s="59"/>
      <c r="Q27" s="59"/>
      <c r="R27" s="59"/>
      <c r="S27" s="59"/>
      <c r="T27" s="59"/>
      <c r="U27" s="59"/>
      <c r="V27" s="59"/>
      <c r="W27" s="59"/>
      <c r="X27" s="59"/>
      <c r="Y27" s="59"/>
    </row>
    <row r="28" ht="35.25" customHeight="1">
      <c r="A28" s="59"/>
      <c r="B28" s="59"/>
      <c r="C28" s="59"/>
      <c r="D28" s="59"/>
      <c r="E28" s="59"/>
      <c r="F28" s="59"/>
      <c r="G28" s="59"/>
      <c r="H28" s="178"/>
      <c r="I28" s="178"/>
      <c r="J28" s="59"/>
      <c r="K28" s="59"/>
      <c r="L28" s="59"/>
      <c r="M28" s="59"/>
      <c r="N28" s="59"/>
      <c r="O28" s="59"/>
      <c r="P28" s="59"/>
      <c r="Q28" s="59"/>
      <c r="R28" s="59"/>
      <c r="S28" s="59"/>
      <c r="T28" s="59"/>
      <c r="U28" s="59"/>
      <c r="V28" s="59"/>
      <c r="W28" s="59"/>
      <c r="X28" s="59"/>
      <c r="Y28" s="59"/>
    </row>
    <row r="29" ht="35.25" customHeight="1">
      <c r="A29" s="59"/>
      <c r="B29" s="59"/>
      <c r="C29" s="59"/>
      <c r="D29" s="59"/>
      <c r="E29" s="59"/>
      <c r="F29" s="59"/>
      <c r="G29" s="59"/>
      <c r="H29" s="178"/>
      <c r="I29" s="178"/>
      <c r="J29" s="59"/>
      <c r="K29" s="59"/>
      <c r="L29" s="59"/>
      <c r="M29" s="59"/>
      <c r="N29" s="59"/>
      <c r="O29" s="59"/>
      <c r="P29" s="59"/>
      <c r="Q29" s="59"/>
      <c r="R29" s="59"/>
      <c r="S29" s="59"/>
      <c r="T29" s="59"/>
      <c r="U29" s="59"/>
      <c r="V29" s="59"/>
      <c r="W29" s="59"/>
      <c r="X29" s="59"/>
      <c r="Y29" s="59"/>
    </row>
    <row r="30" ht="35.25" customHeight="1">
      <c r="A30" s="59"/>
      <c r="B30" s="59"/>
      <c r="C30" s="59"/>
      <c r="D30" s="59"/>
      <c r="E30" s="59"/>
      <c r="F30" s="59"/>
      <c r="G30" s="59"/>
      <c r="H30" s="178"/>
      <c r="I30" s="178"/>
      <c r="J30" s="59"/>
      <c r="K30" s="59"/>
      <c r="L30" s="59"/>
      <c r="M30" s="59"/>
      <c r="N30" s="59"/>
      <c r="O30" s="59"/>
      <c r="P30" s="59"/>
      <c r="Q30" s="59"/>
      <c r="R30" s="59"/>
      <c r="S30" s="59"/>
      <c r="T30" s="59"/>
      <c r="U30" s="59"/>
      <c r="V30" s="59"/>
      <c r="W30" s="59"/>
      <c r="X30" s="59"/>
      <c r="Y30" s="59"/>
    </row>
    <row r="31" ht="35.25" customHeight="1">
      <c r="A31" s="59"/>
      <c r="B31" s="59"/>
      <c r="C31" s="59"/>
      <c r="D31" s="59"/>
      <c r="E31" s="59"/>
      <c r="F31" s="59"/>
      <c r="G31" s="59"/>
      <c r="H31" s="178"/>
      <c r="I31" s="178"/>
      <c r="J31" s="59"/>
      <c r="K31" s="59"/>
      <c r="L31" s="59"/>
      <c r="M31" s="59"/>
      <c r="N31" s="59"/>
      <c r="O31" s="59"/>
      <c r="P31" s="59"/>
      <c r="Q31" s="59"/>
      <c r="R31" s="59"/>
      <c r="S31" s="59"/>
      <c r="T31" s="59"/>
      <c r="U31" s="59"/>
      <c r="V31" s="59"/>
      <c r="W31" s="59"/>
      <c r="X31" s="59"/>
      <c r="Y31" s="59"/>
    </row>
    <row r="32" ht="35.25" customHeight="1">
      <c r="A32" s="59"/>
      <c r="B32" s="59"/>
      <c r="C32" s="59"/>
      <c r="D32" s="59"/>
      <c r="E32" s="59"/>
      <c r="F32" s="59"/>
      <c r="G32" s="59"/>
      <c r="H32" s="178"/>
      <c r="I32" s="178"/>
      <c r="J32" s="59"/>
      <c r="K32" s="59"/>
      <c r="L32" s="59"/>
      <c r="M32" s="59"/>
      <c r="N32" s="59"/>
      <c r="O32" s="59"/>
      <c r="P32" s="59"/>
      <c r="Q32" s="59"/>
      <c r="R32" s="59"/>
      <c r="S32" s="59"/>
      <c r="T32" s="59"/>
      <c r="U32" s="59"/>
      <c r="V32" s="59"/>
      <c r="W32" s="59"/>
      <c r="X32" s="59"/>
      <c r="Y32" s="59"/>
    </row>
    <row r="33" ht="35.25" customHeight="1">
      <c r="A33" s="59"/>
      <c r="B33" s="59"/>
      <c r="C33" s="59"/>
      <c r="D33" s="59"/>
      <c r="E33" s="59"/>
      <c r="F33" s="59"/>
      <c r="G33" s="59"/>
      <c r="H33" s="178"/>
      <c r="I33" s="178"/>
      <c r="J33" s="59"/>
      <c r="K33" s="59"/>
      <c r="L33" s="59"/>
      <c r="M33" s="59"/>
      <c r="N33" s="59"/>
      <c r="O33" s="59"/>
      <c r="P33" s="59"/>
      <c r="Q33" s="59"/>
      <c r="R33" s="59"/>
      <c r="S33" s="59"/>
      <c r="T33" s="59"/>
      <c r="U33" s="59"/>
      <c r="V33" s="59"/>
      <c r="W33" s="59"/>
      <c r="X33" s="59"/>
      <c r="Y33" s="59"/>
    </row>
    <row r="34" ht="35.25" customHeight="1">
      <c r="A34" s="59"/>
      <c r="B34" s="59"/>
      <c r="C34" s="59"/>
      <c r="D34" s="59"/>
      <c r="E34" s="59"/>
      <c r="F34" s="59"/>
      <c r="G34" s="59"/>
      <c r="H34" s="178"/>
      <c r="I34" s="178"/>
      <c r="J34" s="59"/>
      <c r="K34" s="59"/>
      <c r="L34" s="59"/>
      <c r="M34" s="59"/>
      <c r="N34" s="59"/>
      <c r="O34" s="59"/>
      <c r="P34" s="59"/>
      <c r="Q34" s="59"/>
      <c r="R34" s="59"/>
      <c r="S34" s="59"/>
      <c r="T34" s="59"/>
      <c r="U34" s="59"/>
      <c r="V34" s="59"/>
      <c r="W34" s="59"/>
      <c r="X34" s="59"/>
      <c r="Y34" s="59"/>
    </row>
    <row r="35" ht="35.25" customHeight="1">
      <c r="A35" s="59"/>
      <c r="B35" s="59"/>
      <c r="C35" s="59"/>
      <c r="D35" s="59"/>
      <c r="E35" s="59"/>
      <c r="F35" s="59"/>
      <c r="G35" s="59"/>
      <c r="H35" s="178"/>
      <c r="I35" s="178"/>
      <c r="J35" s="59"/>
      <c r="K35" s="59"/>
      <c r="L35" s="59"/>
      <c r="M35" s="59"/>
      <c r="N35" s="59"/>
      <c r="O35" s="59"/>
      <c r="P35" s="59"/>
      <c r="Q35" s="59"/>
      <c r="R35" s="59"/>
      <c r="S35" s="59"/>
      <c r="T35" s="59"/>
      <c r="U35" s="59"/>
      <c r="V35" s="59"/>
      <c r="W35" s="59"/>
      <c r="X35" s="59"/>
      <c r="Y35" s="59"/>
    </row>
    <row r="36" ht="35.25" customHeight="1">
      <c r="A36" s="59"/>
      <c r="B36" s="59"/>
      <c r="C36" s="59"/>
      <c r="D36" s="59"/>
      <c r="E36" s="59"/>
      <c r="F36" s="59"/>
      <c r="G36" s="59"/>
      <c r="H36" s="178"/>
      <c r="I36" s="178"/>
      <c r="J36" s="59"/>
      <c r="K36" s="59"/>
      <c r="L36" s="59"/>
      <c r="M36" s="59"/>
      <c r="N36" s="59"/>
      <c r="O36" s="59"/>
      <c r="P36" s="59"/>
      <c r="Q36" s="59"/>
      <c r="R36" s="59"/>
      <c r="S36" s="59"/>
      <c r="T36" s="59"/>
      <c r="U36" s="59"/>
      <c r="V36" s="59"/>
      <c r="W36" s="59"/>
      <c r="X36" s="59"/>
      <c r="Y36" s="59"/>
    </row>
    <row r="37" ht="35.25" customHeight="1">
      <c r="A37" s="59"/>
      <c r="B37" s="59"/>
      <c r="C37" s="59"/>
      <c r="D37" s="59"/>
      <c r="E37" s="59"/>
      <c r="F37" s="59"/>
      <c r="G37" s="59"/>
      <c r="H37" s="178"/>
      <c r="I37" s="178"/>
      <c r="J37" s="59"/>
      <c r="K37" s="59"/>
      <c r="L37" s="59"/>
      <c r="M37" s="59"/>
      <c r="N37" s="59"/>
      <c r="O37" s="59"/>
      <c r="P37" s="59"/>
      <c r="Q37" s="59"/>
      <c r="R37" s="59"/>
      <c r="S37" s="59"/>
      <c r="T37" s="59"/>
      <c r="U37" s="59"/>
      <c r="V37" s="59"/>
      <c r="W37" s="59"/>
      <c r="X37" s="59"/>
      <c r="Y37" s="59"/>
    </row>
    <row r="38" ht="35.25" customHeight="1">
      <c r="A38" s="59"/>
      <c r="B38" s="59"/>
      <c r="C38" s="59"/>
      <c r="D38" s="59"/>
      <c r="E38" s="59"/>
      <c r="F38" s="59"/>
      <c r="G38" s="59"/>
      <c r="H38" s="178"/>
      <c r="I38" s="178"/>
      <c r="J38" s="59"/>
      <c r="K38" s="59"/>
      <c r="L38" s="59"/>
      <c r="M38" s="59"/>
      <c r="N38" s="59"/>
      <c r="O38" s="59"/>
      <c r="P38" s="59"/>
      <c r="Q38" s="59"/>
      <c r="R38" s="59"/>
      <c r="S38" s="59"/>
      <c r="T38" s="59"/>
      <c r="U38" s="59"/>
      <c r="V38" s="59"/>
      <c r="W38" s="59"/>
      <c r="X38" s="59"/>
      <c r="Y38" s="59"/>
    </row>
    <row r="39" ht="35.25" customHeight="1">
      <c r="A39" s="59"/>
      <c r="B39" s="59"/>
      <c r="C39" s="59"/>
      <c r="D39" s="59"/>
      <c r="E39" s="59"/>
      <c r="F39" s="59"/>
      <c r="G39" s="59"/>
      <c r="H39" s="178"/>
      <c r="I39" s="178"/>
      <c r="J39" s="59"/>
      <c r="K39" s="59"/>
      <c r="L39" s="59"/>
      <c r="M39" s="59"/>
      <c r="N39" s="59"/>
      <c r="O39" s="59"/>
      <c r="P39" s="59"/>
      <c r="Q39" s="59"/>
      <c r="R39" s="59"/>
      <c r="S39" s="59"/>
      <c r="T39" s="59"/>
      <c r="U39" s="59"/>
      <c r="V39" s="59"/>
      <c r="W39" s="59"/>
      <c r="X39" s="59"/>
      <c r="Y39" s="59"/>
    </row>
    <row r="40" ht="35.25" customHeight="1">
      <c r="A40" s="59"/>
      <c r="B40" s="59"/>
      <c r="C40" s="59"/>
      <c r="D40" s="59"/>
      <c r="E40" s="59"/>
      <c r="F40" s="59"/>
      <c r="G40" s="59"/>
      <c r="H40" s="178"/>
      <c r="I40" s="178"/>
      <c r="J40" s="59"/>
      <c r="K40" s="59"/>
      <c r="L40" s="59"/>
      <c r="M40" s="59"/>
      <c r="N40" s="59"/>
      <c r="O40" s="59"/>
      <c r="P40" s="59"/>
      <c r="Q40" s="59"/>
      <c r="R40" s="59"/>
      <c r="S40" s="59"/>
      <c r="T40" s="59"/>
      <c r="U40" s="59"/>
      <c r="V40" s="59"/>
      <c r="W40" s="59"/>
      <c r="X40" s="59"/>
      <c r="Y40" s="59"/>
    </row>
    <row r="41" ht="35.25" customHeight="1">
      <c r="A41" s="59"/>
      <c r="B41" s="59"/>
      <c r="C41" s="59"/>
      <c r="D41" s="59"/>
      <c r="E41" s="59"/>
      <c r="F41" s="59"/>
      <c r="G41" s="59"/>
      <c r="H41" s="178"/>
      <c r="I41" s="178"/>
      <c r="J41" s="59"/>
      <c r="K41" s="59"/>
      <c r="L41" s="59"/>
      <c r="M41" s="59"/>
      <c r="N41" s="59"/>
      <c r="O41" s="59"/>
      <c r="P41" s="59"/>
      <c r="Q41" s="59"/>
      <c r="R41" s="59"/>
      <c r="S41" s="59"/>
      <c r="T41" s="59"/>
      <c r="U41" s="59"/>
      <c r="V41" s="59"/>
      <c r="W41" s="59"/>
      <c r="X41" s="59"/>
      <c r="Y41" s="59"/>
    </row>
    <row r="42" ht="35.25" customHeight="1">
      <c r="A42" s="59"/>
      <c r="B42" s="59"/>
      <c r="C42" s="59"/>
      <c r="D42" s="59"/>
      <c r="E42" s="59"/>
      <c r="F42" s="59"/>
      <c r="G42" s="59"/>
      <c r="H42" s="178"/>
      <c r="I42" s="178"/>
      <c r="J42" s="59"/>
      <c r="K42" s="59"/>
      <c r="L42" s="59"/>
      <c r="M42" s="59"/>
      <c r="N42" s="59"/>
      <c r="O42" s="59"/>
      <c r="P42" s="59"/>
      <c r="Q42" s="59"/>
      <c r="R42" s="59"/>
      <c r="S42" s="59"/>
      <c r="T42" s="59"/>
      <c r="U42" s="59"/>
      <c r="V42" s="59"/>
      <c r="W42" s="59"/>
      <c r="X42" s="59"/>
      <c r="Y42" s="59"/>
    </row>
    <row r="43" ht="35.25" customHeight="1">
      <c r="A43" s="59"/>
      <c r="B43" s="59"/>
      <c r="C43" s="59"/>
      <c r="D43" s="59"/>
      <c r="E43" s="59"/>
      <c r="F43" s="59"/>
      <c r="G43" s="59"/>
      <c r="H43" s="178"/>
      <c r="I43" s="178"/>
      <c r="J43" s="59"/>
      <c r="K43" s="59"/>
      <c r="L43" s="59"/>
      <c r="M43" s="59"/>
      <c r="N43" s="59"/>
      <c r="O43" s="59"/>
      <c r="P43" s="59"/>
      <c r="Q43" s="59"/>
      <c r="R43" s="59"/>
      <c r="S43" s="59"/>
      <c r="T43" s="59"/>
      <c r="U43" s="59"/>
      <c r="V43" s="59"/>
      <c r="W43" s="59"/>
      <c r="X43" s="59"/>
      <c r="Y43" s="59"/>
    </row>
    <row r="44" ht="35.25" customHeight="1">
      <c r="A44" s="59"/>
      <c r="B44" s="59"/>
      <c r="C44" s="59"/>
      <c r="D44" s="59"/>
      <c r="E44" s="59"/>
      <c r="F44" s="59"/>
      <c r="G44" s="59"/>
      <c r="H44" s="178"/>
      <c r="I44" s="178"/>
      <c r="J44" s="59"/>
      <c r="K44" s="59"/>
      <c r="L44" s="59"/>
      <c r="M44" s="59"/>
      <c r="N44" s="59"/>
      <c r="O44" s="59"/>
      <c r="P44" s="59"/>
      <c r="Q44" s="59"/>
      <c r="R44" s="59"/>
      <c r="S44" s="59"/>
      <c r="T44" s="59"/>
      <c r="U44" s="59"/>
      <c r="V44" s="59"/>
      <c r="W44" s="59"/>
      <c r="X44" s="59"/>
      <c r="Y44" s="59"/>
    </row>
    <row r="45" ht="35.25" customHeight="1">
      <c r="A45" s="59"/>
      <c r="B45" s="59"/>
      <c r="C45" s="59"/>
      <c r="D45" s="59"/>
      <c r="E45" s="59"/>
      <c r="F45" s="59"/>
      <c r="G45" s="59"/>
      <c r="H45" s="178"/>
      <c r="I45" s="178"/>
      <c r="J45" s="59"/>
      <c r="K45" s="59"/>
      <c r="L45" s="59"/>
      <c r="M45" s="59"/>
      <c r="N45" s="59"/>
      <c r="O45" s="59"/>
      <c r="P45" s="59"/>
      <c r="Q45" s="59"/>
      <c r="R45" s="59"/>
      <c r="S45" s="59"/>
      <c r="T45" s="59"/>
      <c r="U45" s="59"/>
      <c r="V45" s="59"/>
      <c r="W45" s="59"/>
      <c r="X45" s="59"/>
      <c r="Y45" s="59"/>
    </row>
    <row r="46" ht="35.25" customHeight="1">
      <c r="A46" s="59"/>
      <c r="B46" s="59"/>
      <c r="C46" s="59"/>
      <c r="D46" s="59"/>
      <c r="E46" s="59"/>
      <c r="F46" s="59"/>
      <c r="G46" s="59"/>
      <c r="H46" s="178"/>
      <c r="I46" s="178"/>
      <c r="J46" s="59"/>
      <c r="K46" s="59"/>
      <c r="L46" s="59"/>
      <c r="M46" s="59"/>
      <c r="N46" s="59"/>
      <c r="O46" s="59"/>
      <c r="P46" s="59"/>
      <c r="Q46" s="59"/>
      <c r="R46" s="59"/>
      <c r="S46" s="59"/>
      <c r="T46" s="59"/>
      <c r="U46" s="59"/>
      <c r="V46" s="59"/>
      <c r="W46" s="59"/>
      <c r="X46" s="59"/>
      <c r="Y46" s="59"/>
    </row>
    <row r="47" ht="35.25" customHeight="1">
      <c r="A47" s="59"/>
      <c r="B47" s="59"/>
      <c r="C47" s="59"/>
      <c r="D47" s="59"/>
      <c r="E47" s="59"/>
      <c r="F47" s="59"/>
      <c r="G47" s="59"/>
      <c r="H47" s="178"/>
      <c r="I47" s="178"/>
      <c r="J47" s="59"/>
      <c r="K47" s="59"/>
      <c r="L47" s="59"/>
      <c r="M47" s="59"/>
      <c r="N47" s="59"/>
      <c r="O47" s="59"/>
      <c r="P47" s="59"/>
      <c r="Q47" s="59"/>
      <c r="R47" s="59"/>
      <c r="S47" s="59"/>
      <c r="T47" s="59"/>
      <c r="U47" s="59"/>
      <c r="V47" s="59"/>
      <c r="W47" s="59"/>
      <c r="X47" s="59"/>
      <c r="Y47" s="59"/>
    </row>
    <row r="48" ht="35.25" customHeight="1">
      <c r="A48" s="59"/>
      <c r="B48" s="59"/>
      <c r="C48" s="59"/>
      <c r="D48" s="59"/>
      <c r="E48" s="59"/>
      <c r="F48" s="59"/>
      <c r="G48" s="59"/>
      <c r="H48" s="178"/>
      <c r="I48" s="178"/>
      <c r="J48" s="59"/>
      <c r="K48" s="59"/>
      <c r="L48" s="59"/>
      <c r="M48" s="59"/>
      <c r="N48" s="59"/>
      <c r="O48" s="59"/>
      <c r="P48" s="59"/>
      <c r="Q48" s="59"/>
      <c r="R48" s="59"/>
      <c r="S48" s="59"/>
      <c r="T48" s="59"/>
      <c r="U48" s="59"/>
      <c r="V48" s="59"/>
      <c r="W48" s="59"/>
      <c r="X48" s="59"/>
      <c r="Y48" s="59"/>
    </row>
    <row r="49" ht="35.25" customHeight="1">
      <c r="A49" s="59"/>
      <c r="B49" s="59"/>
      <c r="C49" s="59"/>
      <c r="D49" s="59"/>
      <c r="E49" s="59"/>
      <c r="F49" s="59"/>
      <c r="G49" s="59"/>
      <c r="H49" s="178"/>
      <c r="I49" s="178"/>
      <c r="J49" s="59"/>
      <c r="K49" s="59"/>
      <c r="L49" s="59"/>
      <c r="M49" s="59"/>
      <c r="N49" s="59"/>
      <c r="O49" s="59"/>
      <c r="P49" s="59"/>
      <c r="Q49" s="59"/>
      <c r="R49" s="59"/>
      <c r="S49" s="59"/>
      <c r="T49" s="59"/>
      <c r="U49" s="59"/>
      <c r="V49" s="59"/>
      <c r="W49" s="59"/>
      <c r="X49" s="59"/>
      <c r="Y49" s="59"/>
    </row>
    <row r="50" ht="35.25" customHeight="1">
      <c r="A50" s="59"/>
      <c r="B50" s="59"/>
      <c r="C50" s="59"/>
      <c r="D50" s="59"/>
      <c r="E50" s="59"/>
      <c r="F50" s="59"/>
      <c r="G50" s="59"/>
      <c r="H50" s="178"/>
      <c r="I50" s="178"/>
      <c r="J50" s="59"/>
      <c r="K50" s="59"/>
      <c r="L50" s="59"/>
      <c r="M50" s="59"/>
      <c r="N50" s="59"/>
      <c r="O50" s="59"/>
      <c r="P50" s="59"/>
      <c r="Q50" s="59"/>
      <c r="R50" s="59"/>
      <c r="S50" s="59"/>
      <c r="T50" s="59"/>
      <c r="U50" s="59"/>
      <c r="V50" s="59"/>
      <c r="W50" s="59"/>
      <c r="X50" s="59"/>
      <c r="Y50" s="59"/>
    </row>
    <row r="51" ht="35.25" customHeight="1">
      <c r="A51" s="59"/>
      <c r="B51" s="59"/>
      <c r="C51" s="59"/>
      <c r="D51" s="59"/>
      <c r="E51" s="59"/>
      <c r="F51" s="59"/>
      <c r="G51" s="59"/>
      <c r="H51" s="178"/>
      <c r="I51" s="178"/>
      <c r="J51" s="59"/>
      <c r="K51" s="59"/>
      <c r="L51" s="59"/>
      <c r="M51" s="59"/>
      <c r="N51" s="59"/>
      <c r="O51" s="59"/>
      <c r="P51" s="59"/>
      <c r="Q51" s="59"/>
      <c r="R51" s="59"/>
      <c r="S51" s="59"/>
      <c r="T51" s="59"/>
      <c r="U51" s="59"/>
      <c r="V51" s="59"/>
      <c r="W51" s="59"/>
      <c r="X51" s="59"/>
      <c r="Y51" s="59"/>
    </row>
    <row r="52" ht="35.25" customHeight="1">
      <c r="A52" s="59"/>
      <c r="B52" s="59"/>
      <c r="C52" s="59"/>
      <c r="D52" s="59"/>
      <c r="E52" s="59"/>
      <c r="F52" s="59"/>
      <c r="G52" s="59"/>
      <c r="H52" s="178"/>
      <c r="I52" s="178"/>
      <c r="J52" s="59"/>
      <c r="K52" s="59"/>
      <c r="L52" s="59"/>
      <c r="M52" s="59"/>
      <c r="N52" s="59"/>
      <c r="O52" s="59"/>
      <c r="P52" s="59"/>
      <c r="Q52" s="59"/>
      <c r="R52" s="59"/>
      <c r="S52" s="59"/>
      <c r="T52" s="59"/>
      <c r="U52" s="59"/>
      <c r="V52" s="59"/>
      <c r="W52" s="59"/>
      <c r="X52" s="59"/>
      <c r="Y52" s="59"/>
    </row>
    <row r="53" ht="35.25" customHeight="1">
      <c r="A53" s="59"/>
      <c r="B53" s="59"/>
      <c r="C53" s="59"/>
      <c r="D53" s="59"/>
      <c r="E53" s="59"/>
      <c r="F53" s="59"/>
      <c r="G53" s="59"/>
      <c r="H53" s="178"/>
      <c r="I53" s="178"/>
      <c r="J53" s="59"/>
      <c r="K53" s="59"/>
      <c r="L53" s="59"/>
      <c r="M53" s="59"/>
      <c r="N53" s="59"/>
      <c r="O53" s="59"/>
      <c r="P53" s="59"/>
      <c r="Q53" s="59"/>
      <c r="R53" s="59"/>
      <c r="S53" s="59"/>
      <c r="T53" s="59"/>
      <c r="U53" s="59"/>
      <c r="V53" s="59"/>
      <c r="W53" s="59"/>
      <c r="X53" s="59"/>
      <c r="Y53" s="59"/>
    </row>
    <row r="54" ht="35.25" customHeight="1">
      <c r="A54" s="59"/>
      <c r="B54" s="59"/>
      <c r="C54" s="59"/>
      <c r="D54" s="59"/>
      <c r="E54" s="59"/>
      <c r="F54" s="59"/>
      <c r="G54" s="59"/>
      <c r="H54" s="178"/>
      <c r="I54" s="178"/>
      <c r="J54" s="59"/>
      <c r="K54" s="59"/>
      <c r="L54" s="59"/>
      <c r="M54" s="59"/>
      <c r="N54" s="59"/>
      <c r="O54" s="59"/>
      <c r="P54" s="59"/>
      <c r="Q54" s="59"/>
      <c r="R54" s="59"/>
      <c r="S54" s="59"/>
      <c r="T54" s="59"/>
      <c r="U54" s="59"/>
      <c r="V54" s="59"/>
      <c r="W54" s="59"/>
      <c r="X54" s="59"/>
      <c r="Y54" s="59"/>
    </row>
    <row r="55" ht="35.25" customHeight="1">
      <c r="A55" s="59"/>
      <c r="B55" s="59"/>
      <c r="C55" s="59"/>
      <c r="D55" s="59"/>
      <c r="E55" s="59"/>
      <c r="F55" s="59"/>
      <c r="G55" s="59"/>
      <c r="H55" s="178"/>
      <c r="I55" s="178"/>
      <c r="J55" s="59"/>
      <c r="K55" s="59"/>
      <c r="L55" s="59"/>
      <c r="M55" s="59"/>
      <c r="N55" s="59"/>
      <c r="O55" s="59"/>
      <c r="P55" s="59"/>
      <c r="Q55" s="59"/>
      <c r="R55" s="59"/>
      <c r="S55" s="59"/>
      <c r="T55" s="59"/>
      <c r="U55" s="59"/>
      <c r="V55" s="59"/>
      <c r="W55" s="59"/>
      <c r="X55" s="59"/>
      <c r="Y55" s="59"/>
    </row>
    <row r="56" ht="35.25" customHeight="1">
      <c r="A56" s="59"/>
      <c r="B56" s="59"/>
      <c r="C56" s="59"/>
      <c r="D56" s="59"/>
      <c r="E56" s="59"/>
      <c r="F56" s="59"/>
      <c r="G56" s="59"/>
      <c r="H56" s="178"/>
      <c r="I56" s="178"/>
      <c r="J56" s="59"/>
      <c r="K56" s="59"/>
      <c r="L56" s="59"/>
      <c r="M56" s="59"/>
      <c r="N56" s="59"/>
      <c r="O56" s="59"/>
      <c r="P56" s="59"/>
      <c r="Q56" s="59"/>
      <c r="R56" s="59"/>
      <c r="S56" s="59"/>
      <c r="T56" s="59"/>
      <c r="U56" s="59"/>
      <c r="V56" s="59"/>
      <c r="W56" s="59"/>
      <c r="X56" s="59"/>
      <c r="Y56" s="59"/>
    </row>
    <row r="57" ht="35.25" customHeight="1">
      <c r="A57" s="59"/>
      <c r="B57" s="59"/>
      <c r="C57" s="59"/>
      <c r="D57" s="59"/>
      <c r="E57" s="59"/>
      <c r="F57" s="59"/>
      <c r="G57" s="59"/>
      <c r="H57" s="178"/>
      <c r="I57" s="178"/>
      <c r="J57" s="59"/>
      <c r="K57" s="59"/>
      <c r="L57" s="59"/>
      <c r="M57" s="59"/>
      <c r="N57" s="59"/>
      <c r="O57" s="59"/>
      <c r="P57" s="59"/>
      <c r="Q57" s="59"/>
      <c r="R57" s="59"/>
      <c r="S57" s="59"/>
      <c r="T57" s="59"/>
      <c r="U57" s="59"/>
      <c r="V57" s="59"/>
      <c r="W57" s="59"/>
      <c r="X57" s="59"/>
      <c r="Y57" s="59"/>
    </row>
    <row r="58" ht="35.25" customHeight="1">
      <c r="A58" s="59"/>
      <c r="B58" s="59"/>
      <c r="C58" s="59"/>
      <c r="D58" s="59"/>
      <c r="E58" s="59"/>
      <c r="F58" s="59"/>
      <c r="G58" s="59"/>
      <c r="H58" s="178"/>
      <c r="I58" s="178"/>
      <c r="J58" s="59"/>
      <c r="K58" s="59"/>
      <c r="L58" s="59"/>
      <c r="M58" s="59"/>
      <c r="N58" s="59"/>
      <c r="O58" s="59"/>
      <c r="P58" s="59"/>
      <c r="Q58" s="59"/>
      <c r="R58" s="59"/>
      <c r="S58" s="59"/>
      <c r="T58" s="59"/>
      <c r="U58" s="59"/>
      <c r="V58" s="59"/>
      <c r="W58" s="59"/>
      <c r="X58" s="59"/>
      <c r="Y58" s="59"/>
    </row>
    <row r="59" ht="35.25" customHeight="1">
      <c r="A59" s="59"/>
      <c r="B59" s="59"/>
      <c r="C59" s="59"/>
      <c r="D59" s="59"/>
      <c r="E59" s="59"/>
      <c r="F59" s="59"/>
      <c r="G59" s="59"/>
      <c r="H59" s="178"/>
      <c r="I59" s="178"/>
      <c r="J59" s="59"/>
      <c r="K59" s="59"/>
      <c r="L59" s="59"/>
      <c r="M59" s="59"/>
      <c r="N59" s="59"/>
      <c r="O59" s="59"/>
      <c r="P59" s="59"/>
      <c r="Q59" s="59"/>
      <c r="R59" s="59"/>
      <c r="S59" s="59"/>
      <c r="T59" s="59"/>
      <c r="U59" s="59"/>
      <c r="V59" s="59"/>
      <c r="W59" s="59"/>
      <c r="X59" s="59"/>
      <c r="Y59" s="59"/>
    </row>
    <row r="60" ht="35.25" customHeight="1">
      <c r="A60" s="59"/>
      <c r="B60" s="59"/>
      <c r="C60" s="59"/>
      <c r="D60" s="59"/>
      <c r="E60" s="59"/>
      <c r="F60" s="59"/>
      <c r="G60" s="59"/>
      <c r="H60" s="178"/>
      <c r="I60" s="178"/>
      <c r="J60" s="59"/>
      <c r="K60" s="59"/>
      <c r="L60" s="59"/>
      <c r="M60" s="59"/>
      <c r="N60" s="59"/>
      <c r="O60" s="59"/>
      <c r="P60" s="59"/>
      <c r="Q60" s="59"/>
      <c r="R60" s="59"/>
      <c r="S60" s="59"/>
      <c r="T60" s="59"/>
      <c r="U60" s="59"/>
      <c r="V60" s="59"/>
      <c r="W60" s="59"/>
      <c r="X60" s="59"/>
      <c r="Y60" s="59"/>
    </row>
    <row r="61" ht="35.25" customHeight="1">
      <c r="A61" s="59"/>
      <c r="B61" s="59"/>
      <c r="C61" s="59"/>
      <c r="D61" s="59"/>
      <c r="E61" s="59"/>
      <c r="F61" s="59"/>
      <c r="G61" s="59"/>
      <c r="H61" s="178"/>
      <c r="I61" s="178"/>
      <c r="J61" s="59"/>
      <c r="K61" s="59"/>
      <c r="L61" s="59"/>
      <c r="M61" s="59"/>
      <c r="N61" s="59"/>
      <c r="O61" s="59"/>
      <c r="P61" s="59"/>
      <c r="Q61" s="59"/>
      <c r="R61" s="59"/>
      <c r="S61" s="59"/>
      <c r="T61" s="59"/>
      <c r="U61" s="59"/>
      <c r="V61" s="59"/>
      <c r="W61" s="59"/>
      <c r="X61" s="59"/>
      <c r="Y61" s="59"/>
    </row>
    <row r="62" ht="35.25" customHeight="1">
      <c r="A62" s="59"/>
      <c r="B62" s="59"/>
      <c r="C62" s="59"/>
      <c r="D62" s="59"/>
      <c r="E62" s="59"/>
      <c r="F62" s="59"/>
      <c r="G62" s="59"/>
      <c r="H62" s="178"/>
      <c r="I62" s="178"/>
      <c r="J62" s="59"/>
      <c r="K62" s="59"/>
      <c r="L62" s="59"/>
      <c r="M62" s="59"/>
      <c r="N62" s="59"/>
      <c r="O62" s="59"/>
      <c r="P62" s="59"/>
      <c r="Q62" s="59"/>
      <c r="R62" s="59"/>
      <c r="S62" s="59"/>
      <c r="T62" s="59"/>
      <c r="U62" s="59"/>
      <c r="V62" s="59"/>
      <c r="W62" s="59"/>
      <c r="X62" s="59"/>
      <c r="Y62" s="59"/>
    </row>
    <row r="63" ht="35.25" customHeight="1">
      <c r="A63" s="59"/>
      <c r="B63" s="59"/>
      <c r="C63" s="59"/>
      <c r="D63" s="59"/>
      <c r="E63" s="59"/>
      <c r="F63" s="59"/>
      <c r="G63" s="59"/>
      <c r="H63" s="178"/>
      <c r="I63" s="178"/>
      <c r="J63" s="59"/>
      <c r="K63" s="59"/>
      <c r="L63" s="59"/>
      <c r="M63" s="59"/>
      <c r="N63" s="59"/>
      <c r="O63" s="59"/>
      <c r="P63" s="59"/>
      <c r="Q63" s="59"/>
      <c r="R63" s="59"/>
      <c r="S63" s="59"/>
      <c r="T63" s="59"/>
      <c r="U63" s="59"/>
      <c r="V63" s="59"/>
      <c r="W63" s="59"/>
      <c r="X63" s="59"/>
      <c r="Y63" s="59"/>
    </row>
    <row r="64" ht="35.25" customHeight="1">
      <c r="A64" s="59"/>
      <c r="B64" s="59"/>
      <c r="C64" s="59"/>
      <c r="D64" s="59"/>
      <c r="E64" s="59"/>
      <c r="F64" s="59"/>
      <c r="G64" s="59"/>
      <c r="H64" s="178"/>
      <c r="I64" s="178"/>
      <c r="J64" s="59"/>
      <c r="K64" s="59"/>
      <c r="L64" s="59"/>
      <c r="M64" s="59"/>
      <c r="N64" s="59"/>
      <c r="O64" s="59"/>
      <c r="P64" s="59"/>
      <c r="Q64" s="59"/>
      <c r="R64" s="59"/>
      <c r="S64" s="59"/>
      <c r="T64" s="59"/>
      <c r="U64" s="59"/>
      <c r="V64" s="59"/>
      <c r="W64" s="59"/>
      <c r="X64" s="59"/>
      <c r="Y64" s="59"/>
    </row>
    <row r="65" ht="35.25" customHeight="1">
      <c r="A65" s="59"/>
      <c r="B65" s="59"/>
      <c r="C65" s="59"/>
      <c r="D65" s="59"/>
      <c r="E65" s="59"/>
      <c r="F65" s="59"/>
      <c r="G65" s="59"/>
      <c r="H65" s="178"/>
      <c r="I65" s="178"/>
      <c r="J65" s="59"/>
      <c r="K65" s="59"/>
      <c r="L65" s="59"/>
      <c r="M65" s="59"/>
      <c r="N65" s="59"/>
      <c r="O65" s="59"/>
      <c r="P65" s="59"/>
      <c r="Q65" s="59"/>
      <c r="R65" s="59"/>
      <c r="S65" s="59"/>
      <c r="T65" s="59"/>
      <c r="U65" s="59"/>
      <c r="V65" s="59"/>
      <c r="W65" s="59"/>
      <c r="X65" s="59"/>
      <c r="Y65" s="59"/>
    </row>
    <row r="66" ht="35.25" customHeight="1">
      <c r="A66" s="59"/>
      <c r="B66" s="59"/>
      <c r="C66" s="59"/>
      <c r="D66" s="59"/>
      <c r="E66" s="59"/>
      <c r="F66" s="59"/>
      <c r="G66" s="59"/>
      <c r="H66" s="178"/>
      <c r="I66" s="178"/>
      <c r="J66" s="59"/>
      <c r="K66" s="59"/>
      <c r="L66" s="59"/>
      <c r="M66" s="59"/>
      <c r="N66" s="59"/>
      <c r="O66" s="59"/>
      <c r="P66" s="59"/>
      <c r="Q66" s="59"/>
      <c r="R66" s="59"/>
      <c r="S66" s="59"/>
      <c r="T66" s="59"/>
      <c r="U66" s="59"/>
      <c r="V66" s="59"/>
      <c r="W66" s="59"/>
      <c r="X66" s="59"/>
      <c r="Y66" s="59"/>
    </row>
    <row r="67" ht="35.25" customHeight="1">
      <c r="A67" s="59"/>
      <c r="B67" s="59"/>
      <c r="C67" s="59"/>
      <c r="D67" s="59"/>
      <c r="E67" s="59"/>
      <c r="F67" s="59"/>
      <c r="G67" s="59"/>
      <c r="H67" s="178"/>
      <c r="I67" s="178"/>
      <c r="J67" s="59"/>
      <c r="K67" s="59"/>
      <c r="L67" s="59"/>
      <c r="M67" s="59"/>
      <c r="N67" s="59"/>
      <c r="O67" s="59"/>
      <c r="P67" s="59"/>
      <c r="Q67" s="59"/>
      <c r="R67" s="59"/>
      <c r="S67" s="59"/>
      <c r="T67" s="59"/>
      <c r="U67" s="59"/>
      <c r="V67" s="59"/>
      <c r="W67" s="59"/>
      <c r="X67" s="59"/>
      <c r="Y67" s="59"/>
    </row>
    <row r="68" ht="35.25" customHeight="1">
      <c r="A68" s="59"/>
      <c r="B68" s="59"/>
      <c r="C68" s="59"/>
      <c r="D68" s="59"/>
      <c r="E68" s="59"/>
      <c r="F68" s="59"/>
      <c r="G68" s="59"/>
      <c r="H68" s="178"/>
      <c r="I68" s="178"/>
      <c r="J68" s="59"/>
      <c r="K68" s="59"/>
      <c r="L68" s="59"/>
      <c r="M68" s="59"/>
      <c r="N68" s="59"/>
      <c r="O68" s="59"/>
      <c r="P68" s="59"/>
      <c r="Q68" s="59"/>
      <c r="R68" s="59"/>
      <c r="S68" s="59"/>
      <c r="T68" s="59"/>
      <c r="U68" s="59"/>
      <c r="V68" s="59"/>
      <c r="W68" s="59"/>
      <c r="X68" s="59"/>
      <c r="Y68" s="59"/>
    </row>
    <row r="69" ht="35.25" customHeight="1">
      <c r="A69" s="59"/>
      <c r="B69" s="59"/>
      <c r="C69" s="59"/>
      <c r="D69" s="59"/>
      <c r="E69" s="59"/>
      <c r="F69" s="59"/>
      <c r="G69" s="59"/>
      <c r="H69" s="178"/>
      <c r="I69" s="178"/>
      <c r="J69" s="59"/>
      <c r="K69" s="59"/>
      <c r="L69" s="59"/>
      <c r="M69" s="59"/>
      <c r="N69" s="59"/>
      <c r="O69" s="59"/>
      <c r="P69" s="59"/>
      <c r="Q69" s="59"/>
      <c r="R69" s="59"/>
      <c r="S69" s="59"/>
      <c r="T69" s="59"/>
      <c r="U69" s="59"/>
      <c r="V69" s="59"/>
      <c r="W69" s="59"/>
      <c r="X69" s="59"/>
      <c r="Y69" s="59"/>
    </row>
    <row r="70" ht="35.25" customHeight="1">
      <c r="A70" s="59"/>
      <c r="B70" s="59"/>
      <c r="C70" s="59"/>
      <c r="D70" s="59"/>
      <c r="E70" s="59"/>
      <c r="F70" s="59"/>
      <c r="G70" s="59"/>
      <c r="H70" s="178"/>
      <c r="I70" s="178"/>
      <c r="J70" s="59"/>
      <c r="K70" s="59"/>
      <c r="L70" s="59"/>
      <c r="M70" s="59"/>
      <c r="N70" s="59"/>
      <c r="O70" s="59"/>
      <c r="P70" s="59"/>
      <c r="Q70" s="59"/>
      <c r="R70" s="59"/>
      <c r="S70" s="59"/>
      <c r="T70" s="59"/>
      <c r="U70" s="59"/>
      <c r="V70" s="59"/>
      <c r="W70" s="59"/>
      <c r="X70" s="59"/>
      <c r="Y70" s="59"/>
    </row>
    <row r="71" ht="35.25" customHeight="1">
      <c r="A71" s="59"/>
      <c r="B71" s="59"/>
      <c r="C71" s="59"/>
      <c r="D71" s="59"/>
      <c r="E71" s="59"/>
      <c r="F71" s="59"/>
      <c r="G71" s="59"/>
      <c r="H71" s="178"/>
      <c r="I71" s="178"/>
      <c r="J71" s="59"/>
      <c r="K71" s="59"/>
      <c r="L71" s="59"/>
      <c r="M71" s="59"/>
      <c r="N71" s="59"/>
      <c r="O71" s="59"/>
      <c r="P71" s="59"/>
      <c r="Q71" s="59"/>
      <c r="R71" s="59"/>
      <c r="S71" s="59"/>
      <c r="T71" s="59"/>
      <c r="U71" s="59"/>
      <c r="V71" s="59"/>
      <c r="W71" s="59"/>
      <c r="X71" s="59"/>
      <c r="Y71" s="59"/>
    </row>
    <row r="72" ht="35.25" customHeight="1">
      <c r="A72" s="59"/>
      <c r="B72" s="59"/>
      <c r="C72" s="59"/>
      <c r="D72" s="59"/>
      <c r="E72" s="59"/>
      <c r="F72" s="59"/>
      <c r="G72" s="59"/>
      <c r="H72" s="178"/>
      <c r="I72" s="178"/>
      <c r="J72" s="59"/>
      <c r="K72" s="59"/>
      <c r="L72" s="59"/>
      <c r="M72" s="59"/>
      <c r="N72" s="59"/>
      <c r="O72" s="59"/>
      <c r="P72" s="59"/>
      <c r="Q72" s="59"/>
      <c r="R72" s="59"/>
      <c r="S72" s="59"/>
      <c r="T72" s="59"/>
      <c r="U72" s="59"/>
      <c r="V72" s="59"/>
      <c r="W72" s="59"/>
      <c r="X72" s="59"/>
      <c r="Y72" s="59"/>
    </row>
    <row r="73" ht="35.25" customHeight="1">
      <c r="A73" s="59"/>
      <c r="B73" s="59"/>
      <c r="C73" s="59"/>
      <c r="D73" s="59"/>
      <c r="E73" s="59"/>
      <c r="F73" s="59"/>
      <c r="G73" s="59"/>
      <c r="H73" s="178"/>
      <c r="I73" s="178"/>
      <c r="J73" s="59"/>
      <c r="K73" s="59"/>
      <c r="L73" s="59"/>
      <c r="M73" s="59"/>
      <c r="N73" s="59"/>
      <c r="O73" s="59"/>
      <c r="P73" s="59"/>
      <c r="Q73" s="59"/>
      <c r="R73" s="59"/>
      <c r="S73" s="59"/>
      <c r="T73" s="59"/>
      <c r="U73" s="59"/>
      <c r="V73" s="59"/>
      <c r="W73" s="59"/>
      <c r="X73" s="59"/>
      <c r="Y73" s="59"/>
    </row>
    <row r="74" ht="35.25" customHeight="1">
      <c r="A74" s="59"/>
      <c r="B74" s="59"/>
      <c r="C74" s="59"/>
      <c r="D74" s="59"/>
      <c r="E74" s="59"/>
      <c r="F74" s="59"/>
      <c r="G74" s="59"/>
      <c r="H74" s="178"/>
      <c r="I74" s="178"/>
      <c r="J74" s="59"/>
      <c r="K74" s="59"/>
      <c r="L74" s="59"/>
      <c r="M74" s="59"/>
      <c r="N74" s="59"/>
      <c r="O74" s="59"/>
      <c r="P74" s="59"/>
      <c r="Q74" s="59"/>
      <c r="R74" s="59"/>
      <c r="S74" s="59"/>
      <c r="T74" s="59"/>
      <c r="U74" s="59"/>
      <c r="V74" s="59"/>
      <c r="W74" s="59"/>
      <c r="X74" s="59"/>
      <c r="Y74" s="59"/>
    </row>
    <row r="75" ht="35.25" customHeight="1">
      <c r="A75" s="59"/>
      <c r="B75" s="59"/>
      <c r="C75" s="59"/>
      <c r="D75" s="59"/>
      <c r="E75" s="59"/>
      <c r="F75" s="59"/>
      <c r="G75" s="59"/>
      <c r="H75" s="178"/>
      <c r="I75" s="178"/>
      <c r="J75" s="59"/>
      <c r="K75" s="59"/>
      <c r="L75" s="59"/>
      <c r="M75" s="59"/>
      <c r="N75" s="59"/>
      <c r="O75" s="59"/>
      <c r="P75" s="59"/>
      <c r="Q75" s="59"/>
      <c r="R75" s="59"/>
      <c r="S75" s="59"/>
      <c r="T75" s="59"/>
      <c r="U75" s="59"/>
      <c r="V75" s="59"/>
      <c r="W75" s="59"/>
      <c r="X75" s="59"/>
      <c r="Y75" s="59"/>
    </row>
    <row r="76" ht="35.25" customHeight="1">
      <c r="A76" s="59"/>
      <c r="B76" s="59"/>
      <c r="C76" s="59"/>
      <c r="D76" s="59"/>
      <c r="E76" s="59"/>
      <c r="F76" s="59"/>
      <c r="G76" s="59"/>
      <c r="H76" s="178"/>
      <c r="I76" s="178"/>
      <c r="J76" s="59"/>
      <c r="K76" s="59"/>
      <c r="L76" s="59"/>
      <c r="M76" s="59"/>
      <c r="N76" s="59"/>
      <c r="O76" s="59"/>
      <c r="P76" s="59"/>
      <c r="Q76" s="59"/>
      <c r="R76" s="59"/>
      <c r="S76" s="59"/>
      <c r="T76" s="59"/>
      <c r="U76" s="59"/>
      <c r="V76" s="59"/>
      <c r="W76" s="59"/>
      <c r="X76" s="59"/>
      <c r="Y76" s="59"/>
    </row>
    <row r="77" ht="35.25" customHeight="1">
      <c r="A77" s="59"/>
      <c r="B77" s="59"/>
      <c r="C77" s="59"/>
      <c r="D77" s="59"/>
      <c r="E77" s="59"/>
      <c r="F77" s="59"/>
      <c r="G77" s="59"/>
      <c r="H77" s="178"/>
      <c r="I77" s="178"/>
      <c r="J77" s="59"/>
      <c r="K77" s="59"/>
      <c r="L77" s="59"/>
      <c r="M77" s="59"/>
      <c r="N77" s="59"/>
      <c r="O77" s="59"/>
      <c r="P77" s="59"/>
      <c r="Q77" s="59"/>
      <c r="R77" s="59"/>
      <c r="S77" s="59"/>
      <c r="T77" s="59"/>
      <c r="U77" s="59"/>
      <c r="V77" s="59"/>
      <c r="W77" s="59"/>
      <c r="X77" s="59"/>
      <c r="Y77" s="59"/>
    </row>
    <row r="78" ht="35.25" customHeight="1">
      <c r="A78" s="59"/>
      <c r="B78" s="59"/>
      <c r="C78" s="59"/>
      <c r="D78" s="59"/>
      <c r="E78" s="59"/>
      <c r="F78" s="59"/>
      <c r="G78" s="59"/>
      <c r="H78" s="178"/>
      <c r="I78" s="178"/>
      <c r="J78" s="59"/>
      <c r="K78" s="59"/>
      <c r="L78" s="59"/>
      <c r="M78" s="59"/>
      <c r="N78" s="59"/>
      <c r="O78" s="59"/>
      <c r="P78" s="59"/>
      <c r="Q78" s="59"/>
      <c r="R78" s="59"/>
      <c r="S78" s="59"/>
      <c r="T78" s="59"/>
      <c r="U78" s="59"/>
      <c r="V78" s="59"/>
      <c r="W78" s="59"/>
      <c r="X78" s="59"/>
      <c r="Y78" s="59"/>
    </row>
    <row r="79" ht="35.25" customHeight="1">
      <c r="A79" s="59"/>
      <c r="B79" s="59"/>
      <c r="C79" s="59"/>
      <c r="D79" s="59"/>
      <c r="E79" s="59"/>
      <c r="F79" s="59"/>
      <c r="G79" s="59"/>
      <c r="H79" s="178"/>
      <c r="I79" s="178"/>
      <c r="J79" s="59"/>
      <c r="K79" s="59"/>
      <c r="L79" s="59"/>
      <c r="M79" s="59"/>
      <c r="N79" s="59"/>
      <c r="O79" s="59"/>
      <c r="P79" s="59"/>
      <c r="Q79" s="59"/>
      <c r="R79" s="59"/>
      <c r="S79" s="59"/>
      <c r="T79" s="59"/>
      <c r="U79" s="59"/>
      <c r="V79" s="59"/>
      <c r="W79" s="59"/>
      <c r="X79" s="59"/>
      <c r="Y79" s="59"/>
    </row>
    <row r="80" ht="35.25" customHeight="1">
      <c r="A80" s="59"/>
      <c r="B80" s="59"/>
      <c r="C80" s="59"/>
      <c r="D80" s="59"/>
      <c r="E80" s="59"/>
      <c r="F80" s="59"/>
      <c r="G80" s="59"/>
      <c r="H80" s="178"/>
      <c r="I80" s="178"/>
      <c r="J80" s="59"/>
      <c r="K80" s="59"/>
      <c r="L80" s="59"/>
      <c r="M80" s="59"/>
      <c r="N80" s="59"/>
      <c r="O80" s="59"/>
      <c r="P80" s="59"/>
      <c r="Q80" s="59"/>
      <c r="R80" s="59"/>
      <c r="S80" s="59"/>
      <c r="T80" s="59"/>
      <c r="U80" s="59"/>
      <c r="V80" s="59"/>
      <c r="W80" s="59"/>
      <c r="X80" s="59"/>
      <c r="Y80" s="59"/>
    </row>
    <row r="81" ht="35.25" customHeight="1">
      <c r="A81" s="59"/>
      <c r="B81" s="59"/>
      <c r="C81" s="59"/>
      <c r="D81" s="59"/>
      <c r="E81" s="59"/>
      <c r="F81" s="59"/>
      <c r="G81" s="59"/>
      <c r="H81" s="178"/>
      <c r="I81" s="178"/>
      <c r="J81" s="59"/>
      <c r="K81" s="59"/>
      <c r="L81" s="59"/>
      <c r="M81" s="59"/>
      <c r="N81" s="59"/>
      <c r="O81" s="59"/>
      <c r="P81" s="59"/>
      <c r="Q81" s="59"/>
      <c r="R81" s="59"/>
      <c r="S81" s="59"/>
      <c r="T81" s="59"/>
      <c r="U81" s="59"/>
      <c r="V81" s="59"/>
      <c r="W81" s="59"/>
      <c r="X81" s="59"/>
      <c r="Y81" s="59"/>
    </row>
    <row r="82" ht="35.25" customHeight="1">
      <c r="A82" s="59"/>
      <c r="B82" s="59"/>
      <c r="C82" s="59"/>
      <c r="D82" s="59"/>
      <c r="E82" s="59"/>
      <c r="F82" s="59"/>
      <c r="G82" s="59"/>
      <c r="H82" s="178"/>
      <c r="I82" s="178"/>
      <c r="J82" s="59"/>
      <c r="K82" s="59"/>
      <c r="L82" s="59"/>
      <c r="M82" s="59"/>
      <c r="N82" s="59"/>
      <c r="O82" s="59"/>
      <c r="P82" s="59"/>
      <c r="Q82" s="59"/>
      <c r="R82" s="59"/>
      <c r="S82" s="59"/>
      <c r="T82" s="59"/>
      <c r="U82" s="59"/>
      <c r="V82" s="59"/>
      <c r="W82" s="59"/>
      <c r="X82" s="59"/>
      <c r="Y82" s="59"/>
    </row>
    <row r="83" ht="35.25" customHeight="1">
      <c r="A83" s="59"/>
      <c r="B83" s="59"/>
      <c r="C83" s="59"/>
      <c r="D83" s="59"/>
      <c r="E83" s="59"/>
      <c r="F83" s="59"/>
      <c r="G83" s="59"/>
      <c r="H83" s="178"/>
      <c r="I83" s="178"/>
      <c r="J83" s="59"/>
      <c r="K83" s="59"/>
      <c r="L83" s="59"/>
      <c r="M83" s="59"/>
      <c r="N83" s="59"/>
      <c r="O83" s="59"/>
      <c r="P83" s="59"/>
      <c r="Q83" s="59"/>
      <c r="R83" s="59"/>
      <c r="S83" s="59"/>
      <c r="T83" s="59"/>
      <c r="U83" s="59"/>
      <c r="V83" s="59"/>
      <c r="W83" s="59"/>
      <c r="X83" s="59"/>
      <c r="Y83" s="59"/>
    </row>
    <row r="84" ht="35.25" customHeight="1">
      <c r="A84" s="59"/>
      <c r="B84" s="59"/>
      <c r="C84" s="59"/>
      <c r="D84" s="59"/>
      <c r="E84" s="59"/>
      <c r="F84" s="59"/>
      <c r="G84" s="59"/>
      <c r="H84" s="178"/>
      <c r="I84" s="178"/>
      <c r="J84" s="59"/>
      <c r="K84" s="59"/>
      <c r="L84" s="59"/>
      <c r="M84" s="59"/>
      <c r="N84" s="59"/>
      <c r="O84" s="59"/>
      <c r="P84" s="59"/>
      <c r="Q84" s="59"/>
      <c r="R84" s="59"/>
      <c r="S84" s="59"/>
      <c r="T84" s="59"/>
      <c r="U84" s="59"/>
      <c r="V84" s="59"/>
      <c r="W84" s="59"/>
      <c r="X84" s="59"/>
      <c r="Y84" s="59"/>
    </row>
    <row r="85" ht="35.25" customHeight="1">
      <c r="A85" s="59"/>
      <c r="B85" s="59"/>
      <c r="C85" s="59"/>
      <c r="D85" s="59"/>
      <c r="E85" s="59"/>
      <c r="F85" s="59"/>
      <c r="G85" s="59"/>
      <c r="H85" s="178"/>
      <c r="I85" s="178"/>
      <c r="J85" s="59"/>
      <c r="K85" s="59"/>
      <c r="L85" s="59"/>
      <c r="M85" s="59"/>
      <c r="N85" s="59"/>
      <c r="O85" s="59"/>
      <c r="P85" s="59"/>
      <c r="Q85" s="59"/>
      <c r="R85" s="59"/>
      <c r="S85" s="59"/>
      <c r="T85" s="59"/>
      <c r="U85" s="59"/>
      <c r="V85" s="59"/>
      <c r="W85" s="59"/>
      <c r="X85" s="59"/>
      <c r="Y85" s="59"/>
    </row>
    <row r="86" ht="35.25" customHeight="1">
      <c r="A86" s="59"/>
      <c r="B86" s="59"/>
      <c r="C86" s="59"/>
      <c r="D86" s="59"/>
      <c r="E86" s="59"/>
      <c r="F86" s="59"/>
      <c r="G86" s="59"/>
      <c r="H86" s="178"/>
      <c r="I86" s="178"/>
      <c r="J86" s="59"/>
      <c r="K86" s="59"/>
      <c r="L86" s="59"/>
      <c r="M86" s="59"/>
      <c r="N86" s="59"/>
      <c r="O86" s="59"/>
      <c r="P86" s="59"/>
      <c r="Q86" s="59"/>
      <c r="R86" s="59"/>
      <c r="S86" s="59"/>
      <c r="T86" s="59"/>
      <c r="U86" s="59"/>
      <c r="V86" s="59"/>
      <c r="W86" s="59"/>
      <c r="X86" s="59"/>
      <c r="Y86" s="59"/>
    </row>
    <row r="87" ht="35.25" customHeight="1">
      <c r="A87" s="59"/>
      <c r="B87" s="59"/>
      <c r="C87" s="59"/>
      <c r="D87" s="59"/>
      <c r="E87" s="59"/>
      <c r="F87" s="59"/>
      <c r="G87" s="59"/>
      <c r="H87" s="178"/>
      <c r="I87" s="178"/>
      <c r="J87" s="59"/>
      <c r="K87" s="59"/>
      <c r="L87" s="59"/>
      <c r="M87" s="59"/>
      <c r="N87" s="59"/>
      <c r="O87" s="59"/>
      <c r="P87" s="59"/>
      <c r="Q87" s="59"/>
      <c r="R87" s="59"/>
      <c r="S87" s="59"/>
      <c r="T87" s="59"/>
      <c r="U87" s="59"/>
      <c r="V87" s="59"/>
      <c r="W87" s="59"/>
      <c r="X87" s="59"/>
      <c r="Y87" s="59"/>
    </row>
    <row r="88" ht="35.25" customHeight="1">
      <c r="A88" s="59"/>
      <c r="B88" s="59"/>
      <c r="C88" s="59"/>
      <c r="D88" s="59"/>
      <c r="E88" s="59"/>
      <c r="F88" s="59"/>
      <c r="G88" s="59"/>
      <c r="H88" s="178"/>
      <c r="I88" s="178"/>
      <c r="J88" s="59"/>
      <c r="K88" s="59"/>
      <c r="L88" s="59"/>
      <c r="M88" s="59"/>
      <c r="N88" s="59"/>
      <c r="O88" s="59"/>
      <c r="P88" s="59"/>
      <c r="Q88" s="59"/>
      <c r="R88" s="59"/>
      <c r="S88" s="59"/>
      <c r="T88" s="59"/>
      <c r="U88" s="59"/>
      <c r="V88" s="59"/>
      <c r="W88" s="59"/>
      <c r="X88" s="59"/>
      <c r="Y88" s="59"/>
    </row>
    <row r="89" ht="35.25" customHeight="1">
      <c r="A89" s="59"/>
      <c r="B89" s="59"/>
      <c r="C89" s="59"/>
      <c r="D89" s="59"/>
      <c r="E89" s="59"/>
      <c r="F89" s="59"/>
      <c r="G89" s="59"/>
      <c r="H89" s="178"/>
      <c r="I89" s="178"/>
      <c r="J89" s="59"/>
      <c r="K89" s="59"/>
      <c r="L89" s="59"/>
      <c r="M89" s="59"/>
      <c r="N89" s="59"/>
      <c r="O89" s="59"/>
      <c r="P89" s="59"/>
      <c r="Q89" s="59"/>
      <c r="R89" s="59"/>
      <c r="S89" s="59"/>
      <c r="T89" s="59"/>
      <c r="U89" s="59"/>
      <c r="V89" s="59"/>
      <c r="W89" s="59"/>
      <c r="X89" s="59"/>
      <c r="Y89" s="59"/>
    </row>
    <row r="90" ht="35.25" customHeight="1">
      <c r="A90" s="59"/>
      <c r="B90" s="59"/>
      <c r="C90" s="59"/>
      <c r="D90" s="59"/>
      <c r="E90" s="59"/>
      <c r="F90" s="59"/>
      <c r="G90" s="59"/>
      <c r="H90" s="178"/>
      <c r="I90" s="178"/>
      <c r="J90" s="59"/>
      <c r="K90" s="59"/>
      <c r="L90" s="59"/>
      <c r="M90" s="59"/>
      <c r="N90" s="59"/>
      <c r="O90" s="59"/>
      <c r="P90" s="59"/>
      <c r="Q90" s="59"/>
      <c r="R90" s="59"/>
      <c r="S90" s="59"/>
      <c r="T90" s="59"/>
      <c r="U90" s="59"/>
      <c r="V90" s="59"/>
      <c r="W90" s="59"/>
      <c r="X90" s="59"/>
      <c r="Y90" s="59"/>
    </row>
    <row r="91" ht="35.25" customHeight="1">
      <c r="A91" s="59"/>
      <c r="B91" s="59"/>
      <c r="C91" s="59"/>
      <c r="D91" s="59"/>
      <c r="E91" s="59"/>
      <c r="F91" s="59"/>
      <c r="G91" s="59"/>
      <c r="H91" s="178"/>
      <c r="I91" s="178"/>
      <c r="J91" s="59"/>
      <c r="K91" s="59"/>
      <c r="L91" s="59"/>
      <c r="M91" s="59"/>
      <c r="N91" s="59"/>
      <c r="O91" s="59"/>
      <c r="P91" s="59"/>
      <c r="Q91" s="59"/>
      <c r="R91" s="59"/>
      <c r="S91" s="59"/>
      <c r="T91" s="59"/>
      <c r="U91" s="59"/>
      <c r="V91" s="59"/>
      <c r="W91" s="59"/>
      <c r="X91" s="59"/>
      <c r="Y91" s="59"/>
    </row>
    <row r="92" ht="35.25" customHeight="1">
      <c r="A92" s="59"/>
      <c r="B92" s="59"/>
      <c r="C92" s="59"/>
      <c r="D92" s="59"/>
      <c r="E92" s="59"/>
      <c r="F92" s="59"/>
      <c r="G92" s="59"/>
      <c r="H92" s="178"/>
      <c r="I92" s="178"/>
      <c r="J92" s="59"/>
      <c r="K92" s="59"/>
      <c r="L92" s="59"/>
      <c r="M92" s="59"/>
      <c r="N92" s="59"/>
      <c r="O92" s="59"/>
      <c r="P92" s="59"/>
      <c r="Q92" s="59"/>
      <c r="R92" s="59"/>
      <c r="S92" s="59"/>
      <c r="T92" s="59"/>
      <c r="U92" s="59"/>
      <c r="V92" s="59"/>
      <c r="W92" s="59"/>
      <c r="X92" s="59"/>
      <c r="Y92" s="59"/>
    </row>
    <row r="93" ht="35.25" customHeight="1">
      <c r="A93" s="59"/>
      <c r="B93" s="59"/>
      <c r="C93" s="59"/>
      <c r="D93" s="59"/>
      <c r="E93" s="59"/>
      <c r="F93" s="59"/>
      <c r="G93" s="59"/>
      <c r="H93" s="178"/>
      <c r="I93" s="178"/>
      <c r="J93" s="59"/>
      <c r="K93" s="59"/>
      <c r="L93" s="59"/>
      <c r="M93" s="59"/>
      <c r="N93" s="59"/>
      <c r="O93" s="59"/>
      <c r="P93" s="59"/>
      <c r="Q93" s="59"/>
      <c r="R93" s="59"/>
      <c r="S93" s="59"/>
      <c r="T93" s="59"/>
      <c r="U93" s="59"/>
      <c r="V93" s="59"/>
      <c r="W93" s="59"/>
      <c r="X93" s="59"/>
      <c r="Y93" s="59"/>
    </row>
    <row r="94" ht="35.25" customHeight="1">
      <c r="A94" s="59"/>
      <c r="B94" s="59"/>
      <c r="C94" s="59"/>
      <c r="D94" s="59"/>
      <c r="E94" s="59"/>
      <c r="F94" s="59"/>
      <c r="G94" s="59"/>
      <c r="H94" s="178"/>
      <c r="I94" s="178"/>
      <c r="J94" s="59"/>
      <c r="K94" s="59"/>
      <c r="L94" s="59"/>
      <c r="M94" s="59"/>
      <c r="N94" s="59"/>
      <c r="O94" s="59"/>
      <c r="P94" s="59"/>
      <c r="Q94" s="59"/>
      <c r="R94" s="59"/>
      <c r="S94" s="59"/>
      <c r="T94" s="59"/>
      <c r="U94" s="59"/>
      <c r="V94" s="59"/>
      <c r="W94" s="59"/>
      <c r="X94" s="59"/>
      <c r="Y94" s="59"/>
    </row>
    <row r="95" ht="35.25" customHeight="1">
      <c r="A95" s="59"/>
      <c r="B95" s="59"/>
      <c r="C95" s="59"/>
      <c r="D95" s="59"/>
      <c r="E95" s="59"/>
      <c r="F95" s="59"/>
      <c r="G95" s="59"/>
      <c r="H95" s="178"/>
      <c r="I95" s="178"/>
      <c r="J95" s="59"/>
      <c r="K95" s="59"/>
      <c r="L95" s="59"/>
      <c r="M95" s="59"/>
      <c r="N95" s="59"/>
      <c r="O95" s="59"/>
      <c r="P95" s="59"/>
      <c r="Q95" s="59"/>
      <c r="R95" s="59"/>
      <c r="S95" s="59"/>
      <c r="T95" s="59"/>
      <c r="U95" s="59"/>
      <c r="V95" s="59"/>
      <c r="W95" s="59"/>
      <c r="X95" s="59"/>
      <c r="Y95" s="59"/>
    </row>
    <row r="96" ht="35.25" customHeight="1">
      <c r="A96" s="59"/>
      <c r="B96" s="59"/>
      <c r="C96" s="59"/>
      <c r="D96" s="59"/>
      <c r="E96" s="59"/>
      <c r="F96" s="59"/>
      <c r="G96" s="59"/>
      <c r="H96" s="178"/>
      <c r="I96" s="178"/>
      <c r="J96" s="59"/>
      <c r="K96" s="59"/>
      <c r="L96" s="59"/>
      <c r="M96" s="59"/>
      <c r="N96" s="59"/>
      <c r="O96" s="59"/>
      <c r="P96" s="59"/>
      <c r="Q96" s="59"/>
      <c r="R96" s="59"/>
      <c r="S96" s="59"/>
      <c r="T96" s="59"/>
      <c r="U96" s="59"/>
      <c r="V96" s="59"/>
      <c r="W96" s="59"/>
      <c r="X96" s="59"/>
      <c r="Y96" s="59"/>
    </row>
    <row r="97" ht="35.25" customHeight="1">
      <c r="A97" s="59"/>
      <c r="B97" s="59"/>
      <c r="C97" s="59"/>
      <c r="D97" s="59"/>
      <c r="E97" s="59"/>
      <c r="F97" s="59"/>
      <c r="G97" s="59"/>
      <c r="H97" s="178"/>
      <c r="I97" s="178"/>
      <c r="J97" s="59"/>
      <c r="K97" s="59"/>
      <c r="L97" s="59"/>
      <c r="M97" s="59"/>
      <c r="N97" s="59"/>
      <c r="O97" s="59"/>
      <c r="P97" s="59"/>
      <c r="Q97" s="59"/>
      <c r="R97" s="59"/>
      <c r="S97" s="59"/>
      <c r="T97" s="59"/>
      <c r="U97" s="59"/>
      <c r="V97" s="59"/>
      <c r="W97" s="59"/>
      <c r="X97" s="59"/>
      <c r="Y97" s="59"/>
    </row>
    <row r="98" ht="35.25" customHeight="1">
      <c r="A98" s="59"/>
      <c r="B98" s="59"/>
      <c r="C98" s="59"/>
      <c r="D98" s="59"/>
      <c r="E98" s="59"/>
      <c r="F98" s="59"/>
      <c r="G98" s="59"/>
      <c r="H98" s="178"/>
      <c r="I98" s="178"/>
      <c r="J98" s="59"/>
      <c r="K98" s="59"/>
      <c r="L98" s="59"/>
      <c r="M98" s="59"/>
      <c r="N98" s="59"/>
      <c r="O98" s="59"/>
      <c r="P98" s="59"/>
      <c r="Q98" s="59"/>
      <c r="R98" s="59"/>
      <c r="S98" s="59"/>
      <c r="T98" s="59"/>
      <c r="U98" s="59"/>
      <c r="V98" s="59"/>
      <c r="W98" s="59"/>
      <c r="X98" s="59"/>
      <c r="Y98" s="59"/>
    </row>
    <row r="99" ht="35.25" customHeight="1">
      <c r="A99" s="59"/>
      <c r="B99" s="59"/>
      <c r="C99" s="59"/>
      <c r="D99" s="59"/>
      <c r="E99" s="59"/>
      <c r="F99" s="59"/>
      <c r="G99" s="59"/>
      <c r="H99" s="178"/>
      <c r="I99" s="178"/>
      <c r="J99" s="59"/>
      <c r="K99" s="59"/>
      <c r="L99" s="59"/>
      <c r="M99" s="59"/>
      <c r="N99" s="59"/>
      <c r="O99" s="59"/>
      <c r="P99" s="59"/>
      <c r="Q99" s="59"/>
      <c r="R99" s="59"/>
      <c r="S99" s="59"/>
      <c r="T99" s="59"/>
      <c r="U99" s="59"/>
      <c r="V99" s="59"/>
      <c r="W99" s="59"/>
      <c r="X99" s="59"/>
      <c r="Y99" s="59"/>
    </row>
    <row r="100" ht="35.25" customHeight="1">
      <c r="A100" s="59"/>
      <c r="B100" s="59"/>
      <c r="C100" s="59"/>
      <c r="D100" s="59"/>
      <c r="E100" s="59"/>
      <c r="F100" s="59"/>
      <c r="G100" s="59"/>
      <c r="H100" s="178"/>
      <c r="I100" s="178"/>
      <c r="J100" s="59"/>
      <c r="K100" s="59"/>
      <c r="L100" s="59"/>
      <c r="M100" s="59"/>
      <c r="N100" s="59"/>
      <c r="O100" s="59"/>
      <c r="P100" s="59"/>
      <c r="Q100" s="59"/>
      <c r="R100" s="59"/>
      <c r="S100" s="59"/>
      <c r="T100" s="59"/>
      <c r="U100" s="59"/>
      <c r="V100" s="59"/>
      <c r="W100" s="59"/>
      <c r="X100" s="59"/>
      <c r="Y100" s="59"/>
    </row>
    <row r="101" ht="35.25" customHeight="1">
      <c r="A101" s="59"/>
      <c r="B101" s="59"/>
      <c r="C101" s="59"/>
      <c r="D101" s="59"/>
      <c r="E101" s="59"/>
      <c r="F101" s="59"/>
      <c r="G101" s="59"/>
      <c r="H101" s="178"/>
      <c r="I101" s="178"/>
      <c r="J101" s="59"/>
      <c r="K101" s="59"/>
      <c r="L101" s="59"/>
      <c r="M101" s="59"/>
      <c r="N101" s="59"/>
      <c r="O101" s="59"/>
      <c r="P101" s="59"/>
      <c r="Q101" s="59"/>
      <c r="R101" s="59"/>
      <c r="S101" s="59"/>
      <c r="T101" s="59"/>
      <c r="U101" s="59"/>
      <c r="V101" s="59"/>
      <c r="W101" s="59"/>
      <c r="X101" s="59"/>
      <c r="Y101" s="59"/>
    </row>
    <row r="102" ht="35.25" customHeight="1">
      <c r="A102" s="59"/>
      <c r="B102" s="59"/>
      <c r="C102" s="59"/>
      <c r="D102" s="59"/>
      <c r="E102" s="59"/>
      <c r="F102" s="59"/>
      <c r="G102" s="59"/>
      <c r="H102" s="178"/>
      <c r="I102" s="178"/>
      <c r="J102" s="59"/>
      <c r="K102" s="59"/>
      <c r="L102" s="59"/>
      <c r="M102" s="59"/>
      <c r="N102" s="59"/>
      <c r="O102" s="59"/>
      <c r="P102" s="59"/>
      <c r="Q102" s="59"/>
      <c r="R102" s="59"/>
      <c r="S102" s="59"/>
      <c r="T102" s="59"/>
      <c r="U102" s="59"/>
      <c r="V102" s="59"/>
      <c r="W102" s="59"/>
      <c r="X102" s="59"/>
      <c r="Y102" s="59"/>
    </row>
    <row r="103" ht="35.25" customHeight="1">
      <c r="A103" s="59"/>
      <c r="B103" s="59"/>
      <c r="C103" s="59"/>
      <c r="D103" s="59"/>
      <c r="E103" s="59"/>
      <c r="F103" s="59"/>
      <c r="G103" s="59"/>
      <c r="H103" s="178"/>
      <c r="I103" s="178"/>
      <c r="J103" s="59"/>
      <c r="K103" s="59"/>
      <c r="L103" s="59"/>
      <c r="M103" s="59"/>
      <c r="N103" s="59"/>
      <c r="O103" s="59"/>
      <c r="P103" s="59"/>
      <c r="Q103" s="59"/>
      <c r="R103" s="59"/>
      <c r="S103" s="59"/>
      <c r="T103" s="59"/>
      <c r="U103" s="59"/>
      <c r="V103" s="59"/>
      <c r="W103" s="59"/>
      <c r="X103" s="59"/>
      <c r="Y103" s="59"/>
    </row>
    <row r="104" ht="35.25" customHeight="1">
      <c r="A104" s="59"/>
      <c r="B104" s="59"/>
      <c r="C104" s="59"/>
      <c r="D104" s="59"/>
      <c r="E104" s="59"/>
      <c r="F104" s="59"/>
      <c r="G104" s="59"/>
      <c r="H104" s="178"/>
      <c r="I104" s="178"/>
      <c r="J104" s="59"/>
      <c r="K104" s="59"/>
      <c r="L104" s="59"/>
      <c r="M104" s="59"/>
      <c r="N104" s="59"/>
      <c r="O104" s="59"/>
      <c r="P104" s="59"/>
      <c r="Q104" s="59"/>
      <c r="R104" s="59"/>
      <c r="S104" s="59"/>
      <c r="T104" s="59"/>
      <c r="U104" s="59"/>
      <c r="V104" s="59"/>
      <c r="W104" s="59"/>
      <c r="X104" s="59"/>
      <c r="Y104" s="59"/>
    </row>
    <row r="105" ht="35.25" customHeight="1">
      <c r="A105" s="59"/>
      <c r="B105" s="59"/>
      <c r="C105" s="59"/>
      <c r="D105" s="59"/>
      <c r="E105" s="59"/>
      <c r="F105" s="59"/>
      <c r="G105" s="59"/>
      <c r="H105" s="178"/>
      <c r="I105" s="178"/>
      <c r="J105" s="59"/>
      <c r="K105" s="59"/>
      <c r="L105" s="59"/>
      <c r="M105" s="59"/>
      <c r="N105" s="59"/>
      <c r="O105" s="59"/>
      <c r="P105" s="59"/>
      <c r="Q105" s="59"/>
      <c r="R105" s="59"/>
      <c r="S105" s="59"/>
      <c r="T105" s="59"/>
      <c r="U105" s="59"/>
      <c r="V105" s="59"/>
      <c r="W105" s="59"/>
      <c r="X105" s="59"/>
      <c r="Y105" s="59"/>
    </row>
    <row r="106" ht="35.25" customHeight="1">
      <c r="A106" s="59"/>
      <c r="B106" s="59"/>
      <c r="C106" s="59"/>
      <c r="D106" s="59"/>
      <c r="E106" s="59"/>
      <c r="F106" s="59"/>
      <c r="G106" s="59"/>
      <c r="H106" s="178"/>
      <c r="I106" s="178"/>
      <c r="J106" s="59"/>
      <c r="K106" s="59"/>
      <c r="L106" s="59"/>
      <c r="M106" s="59"/>
      <c r="N106" s="59"/>
      <c r="O106" s="59"/>
      <c r="P106" s="59"/>
      <c r="Q106" s="59"/>
      <c r="R106" s="59"/>
      <c r="S106" s="59"/>
      <c r="T106" s="59"/>
      <c r="U106" s="59"/>
      <c r="V106" s="59"/>
      <c r="W106" s="59"/>
      <c r="X106" s="59"/>
      <c r="Y106" s="59"/>
    </row>
    <row r="107" ht="35.25" customHeight="1">
      <c r="A107" s="59"/>
      <c r="B107" s="59"/>
      <c r="C107" s="59"/>
      <c r="D107" s="59"/>
      <c r="E107" s="59"/>
      <c r="F107" s="59"/>
      <c r="G107" s="59"/>
      <c r="H107" s="178"/>
      <c r="I107" s="178"/>
      <c r="J107" s="59"/>
      <c r="K107" s="59"/>
      <c r="L107" s="59"/>
      <c r="M107" s="59"/>
      <c r="N107" s="59"/>
      <c r="O107" s="59"/>
      <c r="P107" s="59"/>
      <c r="Q107" s="59"/>
      <c r="R107" s="59"/>
      <c r="S107" s="59"/>
      <c r="T107" s="59"/>
      <c r="U107" s="59"/>
      <c r="V107" s="59"/>
      <c r="W107" s="59"/>
      <c r="X107" s="59"/>
      <c r="Y107" s="59"/>
    </row>
    <row r="108" ht="35.25" customHeight="1">
      <c r="A108" s="59"/>
      <c r="B108" s="59"/>
      <c r="C108" s="59"/>
      <c r="D108" s="59"/>
      <c r="E108" s="59"/>
      <c r="F108" s="59"/>
      <c r="G108" s="59"/>
      <c r="H108" s="178"/>
      <c r="I108" s="178"/>
      <c r="J108" s="59"/>
      <c r="K108" s="59"/>
      <c r="L108" s="59"/>
      <c r="M108" s="59"/>
      <c r="N108" s="59"/>
      <c r="O108" s="59"/>
      <c r="P108" s="59"/>
      <c r="Q108" s="59"/>
      <c r="R108" s="59"/>
      <c r="S108" s="59"/>
      <c r="T108" s="59"/>
      <c r="U108" s="59"/>
      <c r="V108" s="59"/>
      <c r="W108" s="59"/>
      <c r="X108" s="59"/>
      <c r="Y108" s="59"/>
    </row>
    <row r="109" ht="35.25" customHeight="1">
      <c r="A109" s="59"/>
      <c r="B109" s="59"/>
      <c r="C109" s="59"/>
      <c r="D109" s="59"/>
      <c r="E109" s="59"/>
      <c r="F109" s="59"/>
      <c r="G109" s="59"/>
      <c r="H109" s="178"/>
      <c r="I109" s="178"/>
      <c r="J109" s="59"/>
      <c r="K109" s="59"/>
      <c r="L109" s="59"/>
      <c r="M109" s="59"/>
      <c r="N109" s="59"/>
      <c r="O109" s="59"/>
      <c r="P109" s="59"/>
      <c r="Q109" s="59"/>
      <c r="R109" s="59"/>
      <c r="S109" s="59"/>
      <c r="T109" s="59"/>
      <c r="U109" s="59"/>
      <c r="V109" s="59"/>
      <c r="W109" s="59"/>
      <c r="X109" s="59"/>
      <c r="Y109" s="59"/>
    </row>
    <row r="110" ht="35.25" customHeight="1">
      <c r="A110" s="59"/>
      <c r="B110" s="59"/>
      <c r="C110" s="59"/>
      <c r="D110" s="59"/>
      <c r="E110" s="59"/>
      <c r="F110" s="59"/>
      <c r="G110" s="59"/>
      <c r="H110" s="178"/>
      <c r="I110" s="178"/>
      <c r="J110" s="59"/>
      <c r="K110" s="59"/>
      <c r="L110" s="59"/>
      <c r="M110" s="59"/>
      <c r="N110" s="59"/>
      <c r="O110" s="59"/>
      <c r="P110" s="59"/>
      <c r="Q110" s="59"/>
      <c r="R110" s="59"/>
      <c r="S110" s="59"/>
      <c r="T110" s="59"/>
      <c r="U110" s="59"/>
      <c r="V110" s="59"/>
      <c r="W110" s="59"/>
      <c r="X110" s="59"/>
      <c r="Y110" s="59"/>
    </row>
    <row r="111" ht="35.25" customHeight="1">
      <c r="A111" s="59"/>
      <c r="B111" s="59"/>
      <c r="C111" s="59"/>
      <c r="D111" s="59"/>
      <c r="E111" s="59"/>
      <c r="F111" s="59"/>
      <c r="G111" s="59"/>
      <c r="H111" s="178"/>
      <c r="I111" s="178"/>
      <c r="J111" s="59"/>
      <c r="K111" s="59"/>
      <c r="L111" s="59"/>
      <c r="M111" s="59"/>
      <c r="N111" s="59"/>
      <c r="O111" s="59"/>
      <c r="P111" s="59"/>
      <c r="Q111" s="59"/>
      <c r="R111" s="59"/>
      <c r="S111" s="59"/>
      <c r="T111" s="59"/>
      <c r="U111" s="59"/>
      <c r="V111" s="59"/>
      <c r="W111" s="59"/>
      <c r="X111" s="59"/>
      <c r="Y111" s="59"/>
    </row>
    <row r="112" ht="35.25" customHeight="1">
      <c r="A112" s="59"/>
      <c r="B112" s="59"/>
      <c r="C112" s="59"/>
      <c r="D112" s="59"/>
      <c r="E112" s="59"/>
      <c r="F112" s="59"/>
      <c r="G112" s="59"/>
      <c r="H112" s="178"/>
      <c r="I112" s="178"/>
      <c r="J112" s="59"/>
      <c r="K112" s="59"/>
      <c r="L112" s="59"/>
      <c r="M112" s="59"/>
      <c r="N112" s="59"/>
      <c r="O112" s="59"/>
      <c r="P112" s="59"/>
      <c r="Q112" s="59"/>
      <c r="R112" s="59"/>
      <c r="S112" s="59"/>
      <c r="T112" s="59"/>
      <c r="U112" s="59"/>
      <c r="V112" s="59"/>
      <c r="W112" s="59"/>
      <c r="X112" s="59"/>
      <c r="Y112" s="59"/>
    </row>
    <row r="113" ht="35.25" customHeight="1">
      <c r="A113" s="59"/>
      <c r="B113" s="59"/>
      <c r="C113" s="59"/>
      <c r="D113" s="59"/>
      <c r="E113" s="59"/>
      <c r="F113" s="59"/>
      <c r="G113" s="59"/>
      <c r="H113" s="178"/>
      <c r="I113" s="178"/>
      <c r="J113" s="59"/>
      <c r="K113" s="59"/>
      <c r="L113" s="59"/>
      <c r="M113" s="59"/>
      <c r="N113" s="59"/>
      <c r="O113" s="59"/>
      <c r="P113" s="59"/>
      <c r="Q113" s="59"/>
      <c r="R113" s="59"/>
      <c r="S113" s="59"/>
      <c r="T113" s="59"/>
      <c r="U113" s="59"/>
      <c r="V113" s="59"/>
      <c r="W113" s="59"/>
      <c r="X113" s="59"/>
      <c r="Y113" s="59"/>
    </row>
    <row r="114" ht="35.25" customHeight="1">
      <c r="A114" s="59"/>
      <c r="B114" s="59"/>
      <c r="C114" s="59"/>
      <c r="D114" s="59"/>
      <c r="E114" s="59"/>
      <c r="F114" s="59"/>
      <c r="G114" s="59"/>
      <c r="H114" s="178"/>
      <c r="I114" s="178"/>
      <c r="J114" s="59"/>
      <c r="K114" s="59"/>
      <c r="L114" s="59"/>
      <c r="M114" s="59"/>
      <c r="N114" s="59"/>
      <c r="O114" s="59"/>
      <c r="P114" s="59"/>
      <c r="Q114" s="59"/>
      <c r="R114" s="59"/>
      <c r="S114" s="59"/>
      <c r="T114" s="59"/>
      <c r="U114" s="59"/>
      <c r="V114" s="59"/>
      <c r="W114" s="59"/>
      <c r="X114" s="59"/>
      <c r="Y114" s="59"/>
    </row>
    <row r="115" ht="35.25" customHeight="1">
      <c r="A115" s="59"/>
      <c r="B115" s="59"/>
      <c r="C115" s="59"/>
      <c r="D115" s="59"/>
      <c r="E115" s="59"/>
      <c r="F115" s="59"/>
      <c r="G115" s="59"/>
      <c r="H115" s="178"/>
      <c r="I115" s="178"/>
      <c r="J115" s="59"/>
      <c r="K115" s="59"/>
      <c r="L115" s="59"/>
      <c r="M115" s="59"/>
      <c r="N115" s="59"/>
      <c r="O115" s="59"/>
      <c r="P115" s="59"/>
      <c r="Q115" s="59"/>
      <c r="R115" s="59"/>
      <c r="S115" s="59"/>
      <c r="T115" s="59"/>
      <c r="U115" s="59"/>
      <c r="V115" s="59"/>
      <c r="W115" s="59"/>
      <c r="X115" s="59"/>
      <c r="Y115" s="59"/>
    </row>
    <row r="116" ht="35.25" customHeight="1">
      <c r="A116" s="59"/>
      <c r="B116" s="59"/>
      <c r="C116" s="59"/>
      <c r="D116" s="59"/>
      <c r="E116" s="59"/>
      <c r="F116" s="59"/>
      <c r="G116" s="59"/>
      <c r="H116" s="178"/>
      <c r="I116" s="178"/>
      <c r="J116" s="59"/>
      <c r="K116" s="59"/>
      <c r="L116" s="59"/>
      <c r="M116" s="59"/>
      <c r="N116" s="59"/>
      <c r="O116" s="59"/>
      <c r="P116" s="59"/>
      <c r="Q116" s="59"/>
      <c r="R116" s="59"/>
      <c r="S116" s="59"/>
      <c r="T116" s="59"/>
      <c r="U116" s="59"/>
      <c r="V116" s="59"/>
      <c r="W116" s="59"/>
      <c r="X116" s="59"/>
      <c r="Y116" s="59"/>
    </row>
    <row r="117" ht="35.25" customHeight="1">
      <c r="A117" s="59"/>
      <c r="B117" s="59"/>
      <c r="C117" s="59"/>
      <c r="D117" s="59"/>
      <c r="E117" s="59"/>
      <c r="F117" s="59"/>
      <c r="G117" s="59"/>
      <c r="H117" s="178"/>
      <c r="I117" s="178"/>
      <c r="J117" s="59"/>
      <c r="K117" s="59"/>
      <c r="L117" s="59"/>
      <c r="M117" s="59"/>
      <c r="N117" s="59"/>
      <c r="O117" s="59"/>
      <c r="P117" s="59"/>
      <c r="Q117" s="59"/>
      <c r="R117" s="59"/>
      <c r="S117" s="59"/>
      <c r="T117" s="59"/>
      <c r="U117" s="59"/>
      <c r="V117" s="59"/>
      <c r="W117" s="59"/>
      <c r="X117" s="59"/>
      <c r="Y117" s="59"/>
    </row>
    <row r="118" ht="35.25" customHeight="1">
      <c r="A118" s="59"/>
      <c r="B118" s="59"/>
      <c r="C118" s="59"/>
      <c r="D118" s="59"/>
      <c r="E118" s="59"/>
      <c r="F118" s="59"/>
      <c r="G118" s="59"/>
      <c r="H118" s="178"/>
      <c r="I118" s="178"/>
      <c r="J118" s="59"/>
      <c r="K118" s="59"/>
      <c r="L118" s="59"/>
      <c r="M118" s="59"/>
      <c r="N118" s="59"/>
      <c r="O118" s="59"/>
      <c r="P118" s="59"/>
      <c r="Q118" s="59"/>
      <c r="R118" s="59"/>
      <c r="S118" s="59"/>
      <c r="T118" s="59"/>
      <c r="U118" s="59"/>
      <c r="V118" s="59"/>
      <c r="W118" s="59"/>
      <c r="X118" s="59"/>
      <c r="Y118" s="59"/>
    </row>
    <row r="119" ht="35.25" customHeight="1">
      <c r="A119" s="59"/>
      <c r="B119" s="59"/>
      <c r="C119" s="59"/>
      <c r="D119" s="59"/>
      <c r="E119" s="59"/>
      <c r="F119" s="59"/>
      <c r="G119" s="59"/>
      <c r="H119" s="178"/>
      <c r="I119" s="178"/>
      <c r="J119" s="59"/>
      <c r="K119" s="59"/>
      <c r="L119" s="59"/>
      <c r="M119" s="59"/>
      <c r="N119" s="59"/>
      <c r="O119" s="59"/>
      <c r="P119" s="59"/>
      <c r="Q119" s="59"/>
      <c r="R119" s="59"/>
      <c r="S119" s="59"/>
      <c r="T119" s="59"/>
      <c r="U119" s="59"/>
      <c r="V119" s="59"/>
      <c r="W119" s="59"/>
      <c r="X119" s="59"/>
      <c r="Y119" s="59"/>
    </row>
    <row r="120" ht="35.25" customHeight="1">
      <c r="A120" s="59"/>
      <c r="B120" s="59"/>
      <c r="C120" s="59"/>
      <c r="D120" s="59"/>
      <c r="E120" s="59"/>
      <c r="F120" s="59"/>
      <c r="G120" s="59"/>
      <c r="H120" s="178"/>
      <c r="I120" s="178"/>
      <c r="J120" s="59"/>
      <c r="K120" s="59"/>
      <c r="L120" s="59"/>
      <c r="M120" s="59"/>
      <c r="N120" s="59"/>
      <c r="O120" s="59"/>
      <c r="P120" s="59"/>
      <c r="Q120" s="59"/>
      <c r="R120" s="59"/>
      <c r="S120" s="59"/>
      <c r="T120" s="59"/>
      <c r="U120" s="59"/>
      <c r="V120" s="59"/>
      <c r="W120" s="59"/>
      <c r="X120" s="59"/>
      <c r="Y120" s="59"/>
    </row>
    <row r="121" ht="35.25" customHeight="1">
      <c r="A121" s="59"/>
      <c r="B121" s="59"/>
      <c r="C121" s="59"/>
      <c r="D121" s="59"/>
      <c r="E121" s="59"/>
      <c r="F121" s="59"/>
      <c r="G121" s="59"/>
      <c r="H121" s="178"/>
      <c r="I121" s="178"/>
      <c r="J121" s="59"/>
      <c r="K121" s="59"/>
      <c r="L121" s="59"/>
      <c r="M121" s="59"/>
      <c r="N121" s="59"/>
      <c r="O121" s="59"/>
      <c r="P121" s="59"/>
      <c r="Q121" s="59"/>
      <c r="R121" s="59"/>
      <c r="S121" s="59"/>
      <c r="T121" s="59"/>
      <c r="U121" s="59"/>
      <c r="V121" s="59"/>
      <c r="W121" s="59"/>
      <c r="X121" s="59"/>
      <c r="Y121" s="59"/>
    </row>
    <row r="122" ht="35.25" customHeight="1">
      <c r="A122" s="59"/>
      <c r="B122" s="59"/>
      <c r="C122" s="59"/>
      <c r="D122" s="59"/>
      <c r="E122" s="59"/>
      <c r="F122" s="59"/>
      <c r="G122" s="59"/>
      <c r="H122" s="178"/>
      <c r="I122" s="178"/>
      <c r="J122" s="59"/>
      <c r="K122" s="59"/>
      <c r="L122" s="59"/>
      <c r="M122" s="59"/>
      <c r="N122" s="59"/>
      <c r="O122" s="59"/>
      <c r="P122" s="59"/>
      <c r="Q122" s="59"/>
      <c r="R122" s="59"/>
      <c r="S122" s="59"/>
      <c r="T122" s="59"/>
      <c r="U122" s="59"/>
      <c r="V122" s="59"/>
      <c r="W122" s="59"/>
      <c r="X122" s="59"/>
      <c r="Y122" s="59"/>
    </row>
    <row r="123" ht="35.25" customHeight="1">
      <c r="A123" s="59"/>
      <c r="B123" s="59"/>
      <c r="C123" s="59"/>
      <c r="D123" s="59"/>
      <c r="E123" s="59"/>
      <c r="F123" s="59"/>
      <c r="G123" s="59"/>
      <c r="H123" s="178"/>
      <c r="I123" s="178"/>
      <c r="J123" s="59"/>
      <c r="K123" s="59"/>
      <c r="L123" s="59"/>
      <c r="M123" s="59"/>
      <c r="N123" s="59"/>
      <c r="O123" s="59"/>
      <c r="P123" s="59"/>
      <c r="Q123" s="59"/>
      <c r="R123" s="59"/>
      <c r="S123" s="59"/>
      <c r="T123" s="59"/>
      <c r="U123" s="59"/>
      <c r="V123" s="59"/>
      <c r="W123" s="59"/>
      <c r="X123" s="59"/>
      <c r="Y123" s="59"/>
    </row>
    <row r="124" ht="35.25" customHeight="1">
      <c r="A124" s="59"/>
      <c r="B124" s="59"/>
      <c r="C124" s="59"/>
      <c r="D124" s="59"/>
      <c r="E124" s="59"/>
      <c r="F124" s="59"/>
      <c r="G124" s="59"/>
      <c r="H124" s="178"/>
      <c r="I124" s="178"/>
      <c r="J124" s="59"/>
      <c r="K124" s="59"/>
      <c r="L124" s="59"/>
      <c r="M124" s="59"/>
      <c r="N124" s="59"/>
      <c r="O124" s="59"/>
      <c r="P124" s="59"/>
      <c r="Q124" s="59"/>
      <c r="R124" s="59"/>
      <c r="S124" s="59"/>
      <c r="T124" s="59"/>
      <c r="U124" s="59"/>
      <c r="V124" s="59"/>
      <c r="W124" s="59"/>
      <c r="X124" s="59"/>
      <c r="Y124" s="59"/>
    </row>
    <row r="125" ht="35.25" customHeight="1">
      <c r="A125" s="59"/>
      <c r="B125" s="59"/>
      <c r="C125" s="59"/>
      <c r="D125" s="59"/>
      <c r="E125" s="59"/>
      <c r="F125" s="59"/>
      <c r="G125" s="59"/>
      <c r="H125" s="178"/>
      <c r="I125" s="178"/>
      <c r="J125" s="59"/>
      <c r="K125" s="59"/>
      <c r="L125" s="59"/>
      <c r="M125" s="59"/>
      <c r="N125" s="59"/>
      <c r="O125" s="59"/>
      <c r="P125" s="59"/>
      <c r="Q125" s="59"/>
      <c r="R125" s="59"/>
      <c r="S125" s="59"/>
      <c r="T125" s="59"/>
      <c r="U125" s="59"/>
      <c r="V125" s="59"/>
      <c r="W125" s="59"/>
      <c r="X125" s="59"/>
      <c r="Y125" s="59"/>
    </row>
    <row r="126" ht="35.25" customHeight="1">
      <c r="A126" s="59"/>
      <c r="B126" s="59"/>
      <c r="C126" s="59"/>
      <c r="D126" s="59"/>
      <c r="E126" s="59"/>
      <c r="F126" s="59"/>
      <c r="G126" s="59"/>
      <c r="H126" s="178"/>
      <c r="I126" s="178"/>
      <c r="J126" s="59"/>
      <c r="K126" s="59"/>
      <c r="L126" s="59"/>
      <c r="M126" s="59"/>
      <c r="N126" s="59"/>
      <c r="O126" s="59"/>
      <c r="P126" s="59"/>
      <c r="Q126" s="59"/>
      <c r="R126" s="59"/>
      <c r="S126" s="59"/>
      <c r="T126" s="59"/>
      <c r="U126" s="59"/>
      <c r="V126" s="59"/>
      <c r="W126" s="59"/>
      <c r="X126" s="59"/>
      <c r="Y126" s="59"/>
    </row>
    <row r="127" ht="35.25" customHeight="1">
      <c r="A127" s="59"/>
      <c r="B127" s="59"/>
      <c r="C127" s="59"/>
      <c r="D127" s="59"/>
      <c r="E127" s="59"/>
      <c r="F127" s="59"/>
      <c r="G127" s="59"/>
      <c r="H127" s="178"/>
      <c r="I127" s="178"/>
      <c r="J127" s="59"/>
      <c r="K127" s="59"/>
      <c r="L127" s="59"/>
      <c r="M127" s="59"/>
      <c r="N127" s="59"/>
      <c r="O127" s="59"/>
      <c r="P127" s="59"/>
      <c r="Q127" s="59"/>
      <c r="R127" s="59"/>
      <c r="S127" s="59"/>
      <c r="T127" s="59"/>
      <c r="U127" s="59"/>
      <c r="V127" s="59"/>
      <c r="W127" s="59"/>
      <c r="X127" s="59"/>
      <c r="Y127" s="59"/>
    </row>
    <row r="128" ht="35.25" customHeight="1">
      <c r="A128" s="59"/>
      <c r="B128" s="59"/>
      <c r="C128" s="59"/>
      <c r="D128" s="59"/>
      <c r="E128" s="59"/>
      <c r="F128" s="59"/>
      <c r="G128" s="59"/>
      <c r="H128" s="178"/>
      <c r="I128" s="178"/>
      <c r="J128" s="59"/>
      <c r="K128" s="59"/>
      <c r="L128" s="59"/>
      <c r="M128" s="59"/>
      <c r="N128" s="59"/>
      <c r="O128" s="59"/>
      <c r="P128" s="59"/>
      <c r="Q128" s="59"/>
      <c r="R128" s="59"/>
      <c r="S128" s="59"/>
      <c r="T128" s="59"/>
      <c r="U128" s="59"/>
      <c r="V128" s="59"/>
      <c r="W128" s="59"/>
      <c r="X128" s="59"/>
      <c r="Y128" s="59"/>
    </row>
    <row r="129" ht="35.25" customHeight="1">
      <c r="A129" s="59"/>
      <c r="B129" s="59"/>
      <c r="C129" s="59"/>
      <c r="D129" s="59"/>
      <c r="E129" s="59"/>
      <c r="F129" s="59"/>
      <c r="G129" s="59"/>
      <c r="H129" s="178"/>
      <c r="I129" s="178"/>
      <c r="J129" s="59"/>
      <c r="K129" s="59"/>
      <c r="L129" s="59"/>
      <c r="M129" s="59"/>
      <c r="N129" s="59"/>
      <c r="O129" s="59"/>
      <c r="P129" s="59"/>
      <c r="Q129" s="59"/>
      <c r="R129" s="59"/>
      <c r="S129" s="59"/>
      <c r="T129" s="59"/>
      <c r="U129" s="59"/>
      <c r="V129" s="59"/>
      <c r="W129" s="59"/>
      <c r="X129" s="59"/>
      <c r="Y129" s="59"/>
    </row>
    <row r="130" ht="35.25" customHeight="1">
      <c r="A130" s="59"/>
      <c r="B130" s="59"/>
      <c r="C130" s="59"/>
      <c r="D130" s="59"/>
      <c r="E130" s="59"/>
      <c r="F130" s="59"/>
      <c r="G130" s="59"/>
      <c r="H130" s="178"/>
      <c r="I130" s="178"/>
      <c r="J130" s="59"/>
      <c r="K130" s="59"/>
      <c r="L130" s="59"/>
      <c r="M130" s="59"/>
      <c r="N130" s="59"/>
      <c r="O130" s="59"/>
      <c r="P130" s="59"/>
      <c r="Q130" s="59"/>
      <c r="R130" s="59"/>
      <c r="S130" s="59"/>
      <c r="T130" s="59"/>
      <c r="U130" s="59"/>
      <c r="V130" s="59"/>
      <c r="W130" s="59"/>
      <c r="X130" s="59"/>
      <c r="Y130" s="59"/>
    </row>
    <row r="131" ht="35.25" customHeight="1">
      <c r="A131" s="59"/>
      <c r="B131" s="59"/>
      <c r="C131" s="59"/>
      <c r="D131" s="59"/>
      <c r="E131" s="59"/>
      <c r="F131" s="59"/>
      <c r="G131" s="59"/>
      <c r="H131" s="178"/>
      <c r="I131" s="178"/>
      <c r="J131" s="59"/>
      <c r="K131" s="59"/>
      <c r="L131" s="59"/>
      <c r="M131" s="59"/>
      <c r="N131" s="59"/>
      <c r="O131" s="59"/>
      <c r="P131" s="59"/>
      <c r="Q131" s="59"/>
      <c r="R131" s="59"/>
      <c r="S131" s="59"/>
      <c r="T131" s="59"/>
      <c r="U131" s="59"/>
      <c r="V131" s="59"/>
      <c r="W131" s="59"/>
      <c r="X131" s="59"/>
      <c r="Y131" s="59"/>
    </row>
    <row r="132" ht="35.25" customHeight="1">
      <c r="A132" s="59"/>
      <c r="B132" s="59"/>
      <c r="C132" s="59"/>
      <c r="D132" s="59"/>
      <c r="E132" s="59"/>
      <c r="F132" s="59"/>
      <c r="G132" s="59"/>
      <c r="H132" s="178"/>
      <c r="I132" s="178"/>
      <c r="J132" s="59"/>
      <c r="K132" s="59"/>
      <c r="L132" s="59"/>
      <c r="M132" s="59"/>
      <c r="N132" s="59"/>
      <c r="O132" s="59"/>
      <c r="P132" s="59"/>
      <c r="Q132" s="59"/>
      <c r="R132" s="59"/>
      <c r="S132" s="59"/>
      <c r="T132" s="59"/>
      <c r="U132" s="59"/>
      <c r="V132" s="59"/>
      <c r="W132" s="59"/>
      <c r="X132" s="59"/>
      <c r="Y132" s="59"/>
    </row>
    <row r="133" ht="35.25" customHeight="1">
      <c r="A133" s="59"/>
      <c r="B133" s="59"/>
      <c r="C133" s="59"/>
      <c r="D133" s="59"/>
      <c r="E133" s="59"/>
      <c r="F133" s="59"/>
      <c r="G133" s="59"/>
      <c r="H133" s="178"/>
      <c r="I133" s="178"/>
      <c r="J133" s="59"/>
      <c r="K133" s="59"/>
      <c r="L133" s="59"/>
      <c r="M133" s="59"/>
      <c r="N133" s="59"/>
      <c r="O133" s="59"/>
      <c r="P133" s="59"/>
      <c r="Q133" s="59"/>
      <c r="R133" s="59"/>
      <c r="S133" s="59"/>
      <c r="T133" s="59"/>
      <c r="U133" s="59"/>
      <c r="V133" s="59"/>
      <c r="W133" s="59"/>
      <c r="X133" s="59"/>
      <c r="Y133" s="59"/>
    </row>
    <row r="134" ht="35.25" customHeight="1">
      <c r="A134" s="59"/>
      <c r="B134" s="59"/>
      <c r="C134" s="59"/>
      <c r="D134" s="59"/>
      <c r="E134" s="59"/>
      <c r="F134" s="59"/>
      <c r="G134" s="59"/>
      <c r="H134" s="178"/>
      <c r="I134" s="178"/>
      <c r="J134" s="59"/>
      <c r="K134" s="59"/>
      <c r="L134" s="59"/>
      <c r="M134" s="59"/>
      <c r="N134" s="59"/>
      <c r="O134" s="59"/>
      <c r="P134" s="59"/>
      <c r="Q134" s="59"/>
      <c r="R134" s="59"/>
      <c r="S134" s="59"/>
      <c r="T134" s="59"/>
      <c r="U134" s="59"/>
      <c r="V134" s="59"/>
      <c r="W134" s="59"/>
      <c r="X134" s="59"/>
      <c r="Y134" s="59"/>
    </row>
    <row r="135" ht="35.25" customHeight="1">
      <c r="A135" s="59"/>
      <c r="B135" s="59"/>
      <c r="C135" s="59"/>
      <c r="D135" s="59"/>
      <c r="E135" s="59"/>
      <c r="F135" s="59"/>
      <c r="G135" s="59"/>
      <c r="H135" s="178"/>
      <c r="I135" s="178"/>
      <c r="J135" s="59"/>
      <c r="K135" s="59"/>
      <c r="L135" s="59"/>
      <c r="M135" s="59"/>
      <c r="N135" s="59"/>
      <c r="O135" s="59"/>
      <c r="P135" s="59"/>
      <c r="Q135" s="59"/>
      <c r="R135" s="59"/>
      <c r="S135" s="59"/>
      <c r="T135" s="59"/>
      <c r="U135" s="59"/>
      <c r="V135" s="59"/>
      <c r="W135" s="59"/>
      <c r="X135" s="59"/>
      <c r="Y135" s="59"/>
    </row>
    <row r="136" ht="35.25" customHeight="1">
      <c r="A136" s="59"/>
      <c r="B136" s="59"/>
      <c r="C136" s="59"/>
      <c r="D136" s="59"/>
      <c r="E136" s="59"/>
      <c r="F136" s="59"/>
      <c r="G136" s="59"/>
      <c r="H136" s="178"/>
      <c r="I136" s="178"/>
      <c r="J136" s="59"/>
      <c r="K136" s="59"/>
      <c r="L136" s="59"/>
      <c r="M136" s="59"/>
      <c r="N136" s="59"/>
      <c r="O136" s="59"/>
      <c r="P136" s="59"/>
      <c r="Q136" s="59"/>
      <c r="R136" s="59"/>
      <c r="S136" s="59"/>
      <c r="T136" s="59"/>
      <c r="U136" s="59"/>
      <c r="V136" s="59"/>
      <c r="W136" s="59"/>
      <c r="X136" s="59"/>
      <c r="Y136" s="59"/>
    </row>
    <row r="137" ht="35.25" customHeight="1">
      <c r="A137" s="59"/>
      <c r="B137" s="59"/>
      <c r="C137" s="59"/>
      <c r="D137" s="59"/>
      <c r="E137" s="59"/>
      <c r="F137" s="59"/>
      <c r="G137" s="59"/>
      <c r="H137" s="178"/>
      <c r="I137" s="178"/>
      <c r="J137" s="59"/>
      <c r="K137" s="59"/>
      <c r="L137" s="59"/>
      <c r="M137" s="59"/>
      <c r="N137" s="59"/>
      <c r="O137" s="59"/>
      <c r="P137" s="59"/>
      <c r="Q137" s="59"/>
      <c r="R137" s="59"/>
      <c r="S137" s="59"/>
      <c r="T137" s="59"/>
      <c r="U137" s="59"/>
      <c r="V137" s="59"/>
      <c r="W137" s="59"/>
      <c r="X137" s="59"/>
      <c r="Y137" s="59"/>
    </row>
    <row r="138" ht="35.25" customHeight="1">
      <c r="A138" s="59"/>
      <c r="B138" s="59"/>
      <c r="C138" s="59"/>
      <c r="D138" s="59"/>
      <c r="E138" s="59"/>
      <c r="F138" s="59"/>
      <c r="G138" s="59"/>
      <c r="H138" s="178"/>
      <c r="I138" s="178"/>
      <c r="J138" s="59"/>
      <c r="K138" s="59"/>
      <c r="L138" s="59"/>
      <c r="M138" s="59"/>
      <c r="N138" s="59"/>
      <c r="O138" s="59"/>
      <c r="P138" s="59"/>
      <c r="Q138" s="59"/>
      <c r="R138" s="59"/>
      <c r="S138" s="59"/>
      <c r="T138" s="59"/>
      <c r="U138" s="59"/>
      <c r="V138" s="59"/>
      <c r="W138" s="59"/>
      <c r="X138" s="59"/>
      <c r="Y138" s="59"/>
    </row>
    <row r="139" ht="35.25" customHeight="1">
      <c r="A139" s="59"/>
      <c r="B139" s="59"/>
      <c r="C139" s="59"/>
      <c r="D139" s="59"/>
      <c r="E139" s="59"/>
      <c r="F139" s="59"/>
      <c r="G139" s="59"/>
      <c r="H139" s="178"/>
      <c r="I139" s="178"/>
      <c r="J139" s="59"/>
      <c r="K139" s="59"/>
      <c r="L139" s="59"/>
      <c r="M139" s="59"/>
      <c r="N139" s="59"/>
      <c r="O139" s="59"/>
      <c r="P139" s="59"/>
      <c r="Q139" s="59"/>
      <c r="R139" s="59"/>
      <c r="S139" s="59"/>
      <c r="T139" s="59"/>
      <c r="U139" s="59"/>
      <c r="V139" s="59"/>
      <c r="W139" s="59"/>
      <c r="X139" s="59"/>
      <c r="Y139" s="59"/>
    </row>
    <row r="140" ht="35.25" customHeight="1">
      <c r="A140" s="59"/>
      <c r="B140" s="59"/>
      <c r="C140" s="59"/>
      <c r="D140" s="59"/>
      <c r="E140" s="59"/>
      <c r="F140" s="59"/>
      <c r="G140" s="59"/>
      <c r="H140" s="178"/>
      <c r="I140" s="178"/>
      <c r="J140" s="59"/>
      <c r="K140" s="59"/>
      <c r="L140" s="59"/>
      <c r="M140" s="59"/>
      <c r="N140" s="59"/>
      <c r="O140" s="59"/>
      <c r="P140" s="59"/>
      <c r="Q140" s="59"/>
      <c r="R140" s="59"/>
      <c r="S140" s="59"/>
      <c r="T140" s="59"/>
      <c r="U140" s="59"/>
      <c r="V140" s="59"/>
      <c r="W140" s="59"/>
      <c r="X140" s="59"/>
      <c r="Y140" s="59"/>
    </row>
    <row r="141" ht="35.25" customHeight="1">
      <c r="A141" s="59"/>
      <c r="B141" s="59"/>
      <c r="C141" s="59"/>
      <c r="D141" s="59"/>
      <c r="E141" s="59"/>
      <c r="F141" s="59"/>
      <c r="G141" s="59"/>
      <c r="H141" s="178"/>
      <c r="I141" s="178"/>
      <c r="J141" s="59"/>
      <c r="K141" s="59"/>
      <c r="L141" s="59"/>
      <c r="M141" s="59"/>
      <c r="N141" s="59"/>
      <c r="O141" s="59"/>
      <c r="P141" s="59"/>
      <c r="Q141" s="59"/>
      <c r="R141" s="59"/>
      <c r="S141" s="59"/>
      <c r="T141" s="59"/>
      <c r="U141" s="59"/>
      <c r="V141" s="59"/>
      <c r="W141" s="59"/>
      <c r="X141" s="59"/>
      <c r="Y141" s="59"/>
    </row>
    <row r="142" ht="35.25" customHeight="1">
      <c r="A142" s="59"/>
      <c r="B142" s="59"/>
      <c r="C142" s="59"/>
      <c r="D142" s="59"/>
      <c r="E142" s="59"/>
      <c r="F142" s="59"/>
      <c r="G142" s="59"/>
      <c r="H142" s="178"/>
      <c r="I142" s="178"/>
      <c r="J142" s="59"/>
      <c r="K142" s="59"/>
      <c r="L142" s="59"/>
      <c r="M142" s="59"/>
      <c r="N142" s="59"/>
      <c r="O142" s="59"/>
      <c r="P142" s="59"/>
      <c r="Q142" s="59"/>
      <c r="R142" s="59"/>
      <c r="S142" s="59"/>
      <c r="T142" s="59"/>
      <c r="U142" s="59"/>
      <c r="V142" s="59"/>
      <c r="W142" s="59"/>
      <c r="X142" s="59"/>
      <c r="Y142" s="59"/>
    </row>
    <row r="143" ht="35.25" customHeight="1">
      <c r="A143" s="59"/>
      <c r="B143" s="59"/>
      <c r="C143" s="59"/>
      <c r="D143" s="59"/>
      <c r="E143" s="59"/>
      <c r="F143" s="59"/>
      <c r="G143" s="59"/>
      <c r="H143" s="178"/>
      <c r="I143" s="178"/>
      <c r="J143" s="59"/>
      <c r="K143" s="59"/>
      <c r="L143" s="59"/>
      <c r="M143" s="59"/>
      <c r="N143" s="59"/>
      <c r="O143" s="59"/>
      <c r="P143" s="59"/>
      <c r="Q143" s="59"/>
      <c r="R143" s="59"/>
      <c r="S143" s="59"/>
      <c r="T143" s="59"/>
      <c r="U143" s="59"/>
      <c r="V143" s="59"/>
      <c r="W143" s="59"/>
      <c r="X143" s="59"/>
      <c r="Y143" s="59"/>
    </row>
    <row r="144" ht="35.25" customHeight="1">
      <c r="A144" s="59"/>
      <c r="B144" s="59"/>
      <c r="C144" s="59"/>
      <c r="D144" s="59"/>
      <c r="E144" s="59"/>
      <c r="F144" s="59"/>
      <c r="G144" s="59"/>
      <c r="H144" s="178"/>
      <c r="I144" s="178"/>
      <c r="J144" s="59"/>
      <c r="K144" s="59"/>
      <c r="L144" s="59"/>
      <c r="M144" s="59"/>
      <c r="N144" s="59"/>
      <c r="O144" s="59"/>
      <c r="P144" s="59"/>
      <c r="Q144" s="59"/>
      <c r="R144" s="59"/>
      <c r="S144" s="59"/>
      <c r="T144" s="59"/>
      <c r="U144" s="59"/>
      <c r="V144" s="59"/>
      <c r="W144" s="59"/>
      <c r="X144" s="59"/>
      <c r="Y144" s="59"/>
    </row>
    <row r="145" ht="35.25" customHeight="1">
      <c r="A145" s="59"/>
      <c r="B145" s="59"/>
      <c r="C145" s="59"/>
      <c r="D145" s="59"/>
      <c r="E145" s="59"/>
      <c r="F145" s="59"/>
      <c r="G145" s="59"/>
      <c r="H145" s="178"/>
      <c r="I145" s="178"/>
      <c r="J145" s="59"/>
      <c r="K145" s="59"/>
      <c r="L145" s="59"/>
      <c r="M145" s="59"/>
      <c r="N145" s="59"/>
      <c r="O145" s="59"/>
      <c r="P145" s="59"/>
      <c r="Q145" s="59"/>
      <c r="R145" s="59"/>
      <c r="S145" s="59"/>
      <c r="T145" s="59"/>
      <c r="U145" s="59"/>
      <c r="V145" s="59"/>
      <c r="W145" s="59"/>
      <c r="X145" s="59"/>
      <c r="Y145" s="59"/>
    </row>
    <row r="146" ht="35.25" customHeight="1">
      <c r="A146" s="59"/>
      <c r="B146" s="59"/>
      <c r="C146" s="59"/>
      <c r="D146" s="59"/>
      <c r="E146" s="59"/>
      <c r="F146" s="59"/>
      <c r="G146" s="59"/>
      <c r="H146" s="178"/>
      <c r="I146" s="178"/>
      <c r="J146" s="59"/>
      <c r="K146" s="59"/>
      <c r="L146" s="59"/>
      <c r="M146" s="59"/>
      <c r="N146" s="59"/>
      <c r="O146" s="59"/>
      <c r="P146" s="59"/>
      <c r="Q146" s="59"/>
      <c r="R146" s="59"/>
      <c r="S146" s="59"/>
      <c r="T146" s="59"/>
      <c r="U146" s="59"/>
      <c r="V146" s="59"/>
      <c r="W146" s="59"/>
      <c r="X146" s="59"/>
      <c r="Y146" s="59"/>
    </row>
    <row r="147" ht="35.25" customHeight="1">
      <c r="A147" s="59"/>
      <c r="B147" s="59"/>
      <c r="C147" s="59"/>
      <c r="D147" s="59"/>
      <c r="E147" s="59"/>
      <c r="F147" s="59"/>
      <c r="G147" s="59"/>
      <c r="H147" s="178"/>
      <c r="I147" s="178"/>
      <c r="J147" s="59"/>
      <c r="K147" s="59"/>
      <c r="L147" s="59"/>
      <c r="M147" s="59"/>
      <c r="N147" s="59"/>
      <c r="O147" s="59"/>
      <c r="P147" s="59"/>
      <c r="Q147" s="59"/>
      <c r="R147" s="59"/>
      <c r="S147" s="59"/>
      <c r="T147" s="59"/>
      <c r="U147" s="59"/>
      <c r="V147" s="59"/>
      <c r="W147" s="59"/>
      <c r="X147" s="59"/>
      <c r="Y147" s="59"/>
    </row>
    <row r="148" ht="35.25" customHeight="1">
      <c r="A148" s="59"/>
      <c r="B148" s="59"/>
      <c r="C148" s="59"/>
      <c r="D148" s="59"/>
      <c r="E148" s="59"/>
      <c r="F148" s="59"/>
      <c r="G148" s="59"/>
      <c r="H148" s="178"/>
      <c r="I148" s="178"/>
      <c r="J148" s="59"/>
      <c r="K148" s="59"/>
      <c r="L148" s="59"/>
      <c r="M148" s="59"/>
      <c r="N148" s="59"/>
      <c r="O148" s="59"/>
      <c r="P148" s="59"/>
      <c r="Q148" s="59"/>
      <c r="R148" s="59"/>
      <c r="S148" s="59"/>
      <c r="T148" s="59"/>
      <c r="U148" s="59"/>
      <c r="V148" s="59"/>
      <c r="W148" s="59"/>
      <c r="X148" s="59"/>
      <c r="Y148" s="59"/>
    </row>
    <row r="149" ht="35.25" customHeight="1">
      <c r="A149" s="59"/>
      <c r="B149" s="59"/>
      <c r="C149" s="59"/>
      <c r="D149" s="59"/>
      <c r="E149" s="59"/>
      <c r="F149" s="59"/>
      <c r="G149" s="59"/>
      <c r="H149" s="178"/>
      <c r="I149" s="178"/>
      <c r="J149" s="59"/>
      <c r="K149" s="59"/>
      <c r="L149" s="59"/>
      <c r="M149" s="59"/>
      <c r="N149" s="59"/>
      <c r="O149" s="59"/>
      <c r="P149" s="59"/>
      <c r="Q149" s="59"/>
      <c r="R149" s="59"/>
      <c r="S149" s="59"/>
      <c r="T149" s="59"/>
      <c r="U149" s="59"/>
      <c r="V149" s="59"/>
      <c r="W149" s="59"/>
      <c r="X149" s="59"/>
      <c r="Y149" s="59"/>
    </row>
    <row r="150" ht="35.25" customHeight="1">
      <c r="A150" s="59"/>
      <c r="B150" s="59"/>
      <c r="C150" s="59"/>
      <c r="D150" s="59"/>
      <c r="E150" s="59"/>
      <c r="F150" s="59"/>
      <c r="G150" s="59"/>
      <c r="H150" s="178"/>
      <c r="I150" s="178"/>
      <c r="J150" s="59"/>
      <c r="K150" s="59"/>
      <c r="L150" s="59"/>
      <c r="M150" s="59"/>
      <c r="N150" s="59"/>
      <c r="O150" s="59"/>
      <c r="P150" s="59"/>
      <c r="Q150" s="59"/>
      <c r="R150" s="59"/>
      <c r="S150" s="59"/>
      <c r="T150" s="59"/>
      <c r="U150" s="59"/>
      <c r="V150" s="59"/>
      <c r="W150" s="59"/>
      <c r="X150" s="59"/>
      <c r="Y150" s="59"/>
    </row>
    <row r="151" ht="35.25" customHeight="1">
      <c r="A151" s="59"/>
      <c r="B151" s="59"/>
      <c r="C151" s="59"/>
      <c r="D151" s="59"/>
      <c r="E151" s="59"/>
      <c r="F151" s="59"/>
      <c r="G151" s="59"/>
      <c r="H151" s="178"/>
      <c r="I151" s="178"/>
      <c r="J151" s="59"/>
      <c r="K151" s="59"/>
      <c r="L151" s="59"/>
      <c r="M151" s="59"/>
      <c r="N151" s="59"/>
      <c r="O151" s="59"/>
      <c r="P151" s="59"/>
      <c r="Q151" s="59"/>
      <c r="R151" s="59"/>
      <c r="S151" s="59"/>
      <c r="T151" s="59"/>
      <c r="U151" s="59"/>
      <c r="V151" s="59"/>
      <c r="W151" s="59"/>
      <c r="X151" s="59"/>
      <c r="Y151" s="59"/>
    </row>
    <row r="152" ht="35.25" customHeight="1">
      <c r="A152" s="59"/>
      <c r="B152" s="59"/>
      <c r="C152" s="59"/>
      <c r="D152" s="59"/>
      <c r="E152" s="59"/>
      <c r="F152" s="59"/>
      <c r="G152" s="59"/>
      <c r="H152" s="178"/>
      <c r="I152" s="178"/>
      <c r="J152" s="59"/>
      <c r="K152" s="59"/>
      <c r="L152" s="59"/>
      <c r="M152" s="59"/>
      <c r="N152" s="59"/>
      <c r="O152" s="59"/>
      <c r="P152" s="59"/>
      <c r="Q152" s="59"/>
      <c r="R152" s="59"/>
      <c r="S152" s="59"/>
      <c r="T152" s="59"/>
      <c r="U152" s="59"/>
      <c r="V152" s="59"/>
      <c r="W152" s="59"/>
      <c r="X152" s="59"/>
      <c r="Y152" s="59"/>
    </row>
    <row r="153" ht="35.25" customHeight="1">
      <c r="A153" s="59"/>
      <c r="B153" s="59"/>
      <c r="C153" s="59"/>
      <c r="D153" s="59"/>
      <c r="E153" s="59"/>
      <c r="F153" s="59"/>
      <c r="G153" s="59"/>
      <c r="H153" s="178"/>
      <c r="I153" s="178"/>
      <c r="J153" s="59"/>
      <c r="K153" s="59"/>
      <c r="L153" s="59"/>
      <c r="M153" s="59"/>
      <c r="N153" s="59"/>
      <c r="O153" s="59"/>
      <c r="P153" s="59"/>
      <c r="Q153" s="59"/>
      <c r="R153" s="59"/>
      <c r="S153" s="59"/>
      <c r="T153" s="59"/>
      <c r="U153" s="59"/>
      <c r="V153" s="59"/>
      <c r="W153" s="59"/>
      <c r="X153" s="59"/>
      <c r="Y153" s="59"/>
    </row>
    <row r="154" ht="35.25" customHeight="1">
      <c r="A154" s="59"/>
      <c r="B154" s="59"/>
      <c r="C154" s="59"/>
      <c r="D154" s="59"/>
      <c r="E154" s="59"/>
      <c r="F154" s="59"/>
      <c r="G154" s="59"/>
      <c r="H154" s="178"/>
      <c r="I154" s="178"/>
      <c r="J154" s="59"/>
      <c r="K154" s="59"/>
      <c r="L154" s="59"/>
      <c r="M154" s="59"/>
      <c r="N154" s="59"/>
      <c r="O154" s="59"/>
      <c r="P154" s="59"/>
      <c r="Q154" s="59"/>
      <c r="R154" s="59"/>
      <c r="S154" s="59"/>
      <c r="T154" s="59"/>
      <c r="U154" s="59"/>
      <c r="V154" s="59"/>
      <c r="W154" s="59"/>
      <c r="X154" s="59"/>
      <c r="Y154" s="59"/>
    </row>
    <row r="155" ht="35.25" customHeight="1">
      <c r="A155" s="59"/>
      <c r="B155" s="59"/>
      <c r="C155" s="59"/>
      <c r="D155" s="59"/>
      <c r="E155" s="59"/>
      <c r="F155" s="59"/>
      <c r="G155" s="59"/>
      <c r="H155" s="178"/>
      <c r="I155" s="178"/>
      <c r="J155" s="59"/>
      <c r="K155" s="59"/>
      <c r="L155" s="59"/>
      <c r="M155" s="59"/>
      <c r="N155" s="59"/>
      <c r="O155" s="59"/>
      <c r="P155" s="59"/>
      <c r="Q155" s="59"/>
      <c r="R155" s="59"/>
      <c r="S155" s="59"/>
      <c r="T155" s="59"/>
      <c r="U155" s="59"/>
      <c r="V155" s="59"/>
      <c r="W155" s="59"/>
      <c r="X155" s="59"/>
      <c r="Y155" s="59"/>
    </row>
    <row r="156" ht="35.25" customHeight="1">
      <c r="A156" s="59"/>
      <c r="B156" s="59"/>
      <c r="C156" s="59"/>
      <c r="D156" s="59"/>
      <c r="E156" s="59"/>
      <c r="F156" s="59"/>
      <c r="G156" s="59"/>
      <c r="H156" s="178"/>
      <c r="I156" s="178"/>
      <c r="J156" s="59"/>
      <c r="K156" s="59"/>
      <c r="L156" s="59"/>
      <c r="M156" s="59"/>
      <c r="N156" s="59"/>
      <c r="O156" s="59"/>
      <c r="P156" s="59"/>
      <c r="Q156" s="59"/>
      <c r="R156" s="59"/>
      <c r="S156" s="59"/>
      <c r="T156" s="59"/>
      <c r="U156" s="59"/>
      <c r="V156" s="59"/>
      <c r="W156" s="59"/>
      <c r="X156" s="59"/>
      <c r="Y156" s="59"/>
    </row>
    <row r="157" ht="35.25" customHeight="1">
      <c r="A157" s="59"/>
      <c r="B157" s="59"/>
      <c r="C157" s="59"/>
      <c r="D157" s="59"/>
      <c r="E157" s="59"/>
      <c r="F157" s="59"/>
      <c r="G157" s="59"/>
      <c r="H157" s="178"/>
      <c r="I157" s="178"/>
      <c r="J157" s="59"/>
      <c r="K157" s="59"/>
      <c r="L157" s="59"/>
      <c r="M157" s="59"/>
      <c r="N157" s="59"/>
      <c r="O157" s="59"/>
      <c r="P157" s="59"/>
      <c r="Q157" s="59"/>
      <c r="R157" s="59"/>
      <c r="S157" s="59"/>
      <c r="T157" s="59"/>
      <c r="U157" s="59"/>
      <c r="V157" s="59"/>
      <c r="W157" s="59"/>
      <c r="X157" s="59"/>
      <c r="Y157" s="59"/>
    </row>
    <row r="158" ht="35.25" customHeight="1">
      <c r="A158" s="59"/>
      <c r="B158" s="59"/>
      <c r="C158" s="59"/>
      <c r="D158" s="59"/>
      <c r="E158" s="59"/>
      <c r="F158" s="59"/>
      <c r="G158" s="59"/>
      <c r="H158" s="178"/>
      <c r="I158" s="178"/>
      <c r="J158" s="59"/>
      <c r="K158" s="59"/>
      <c r="L158" s="59"/>
      <c r="M158" s="59"/>
      <c r="N158" s="59"/>
      <c r="O158" s="59"/>
      <c r="P158" s="59"/>
      <c r="Q158" s="59"/>
      <c r="R158" s="59"/>
      <c r="S158" s="59"/>
      <c r="T158" s="59"/>
      <c r="U158" s="59"/>
      <c r="V158" s="59"/>
      <c r="W158" s="59"/>
      <c r="X158" s="59"/>
      <c r="Y158" s="59"/>
    </row>
    <row r="159" ht="35.25" customHeight="1">
      <c r="A159" s="59"/>
      <c r="B159" s="59"/>
      <c r="C159" s="59"/>
      <c r="D159" s="59"/>
      <c r="E159" s="59"/>
      <c r="F159" s="59"/>
      <c r="G159" s="59"/>
      <c r="H159" s="178"/>
      <c r="I159" s="178"/>
      <c r="J159" s="59"/>
      <c r="K159" s="59"/>
      <c r="L159" s="59"/>
      <c r="M159" s="59"/>
      <c r="N159" s="59"/>
      <c r="O159" s="59"/>
      <c r="P159" s="59"/>
      <c r="Q159" s="59"/>
      <c r="R159" s="59"/>
      <c r="S159" s="59"/>
      <c r="T159" s="59"/>
      <c r="U159" s="59"/>
      <c r="V159" s="59"/>
      <c r="W159" s="59"/>
      <c r="X159" s="59"/>
      <c r="Y159" s="59"/>
    </row>
    <row r="160" ht="35.25" customHeight="1">
      <c r="A160" s="59"/>
      <c r="B160" s="59"/>
      <c r="C160" s="59"/>
      <c r="D160" s="59"/>
      <c r="E160" s="59"/>
      <c r="F160" s="59"/>
      <c r="G160" s="59"/>
      <c r="H160" s="178"/>
      <c r="I160" s="178"/>
      <c r="J160" s="59"/>
      <c r="K160" s="59"/>
      <c r="L160" s="59"/>
      <c r="M160" s="59"/>
      <c r="N160" s="59"/>
      <c r="O160" s="59"/>
      <c r="P160" s="59"/>
      <c r="Q160" s="59"/>
      <c r="R160" s="59"/>
      <c r="S160" s="59"/>
      <c r="T160" s="59"/>
      <c r="U160" s="59"/>
      <c r="V160" s="59"/>
      <c r="W160" s="59"/>
      <c r="X160" s="59"/>
      <c r="Y160" s="59"/>
    </row>
    <row r="161" ht="35.25" customHeight="1">
      <c r="A161" s="59"/>
      <c r="B161" s="59"/>
      <c r="C161" s="59"/>
      <c r="D161" s="59"/>
      <c r="E161" s="59"/>
      <c r="F161" s="59"/>
      <c r="G161" s="59"/>
      <c r="H161" s="178"/>
      <c r="I161" s="178"/>
      <c r="J161" s="59"/>
      <c r="K161" s="59"/>
      <c r="L161" s="59"/>
      <c r="M161" s="59"/>
      <c r="N161" s="59"/>
      <c r="O161" s="59"/>
      <c r="P161" s="59"/>
      <c r="Q161" s="59"/>
      <c r="R161" s="59"/>
      <c r="S161" s="59"/>
      <c r="T161" s="59"/>
      <c r="U161" s="59"/>
      <c r="V161" s="59"/>
      <c r="W161" s="59"/>
      <c r="X161" s="59"/>
      <c r="Y161" s="59"/>
    </row>
    <row r="162" ht="35.25" customHeight="1">
      <c r="A162" s="59"/>
      <c r="B162" s="59"/>
      <c r="C162" s="59"/>
      <c r="D162" s="59"/>
      <c r="E162" s="59"/>
      <c r="F162" s="59"/>
      <c r="G162" s="59"/>
      <c r="H162" s="178"/>
      <c r="I162" s="178"/>
      <c r="J162" s="59"/>
      <c r="K162" s="59"/>
      <c r="L162" s="59"/>
      <c r="M162" s="59"/>
      <c r="N162" s="59"/>
      <c r="O162" s="59"/>
      <c r="P162" s="59"/>
      <c r="Q162" s="59"/>
      <c r="R162" s="59"/>
      <c r="S162" s="59"/>
      <c r="T162" s="59"/>
      <c r="U162" s="59"/>
      <c r="V162" s="59"/>
      <c r="W162" s="59"/>
      <c r="X162" s="59"/>
      <c r="Y162" s="59"/>
    </row>
    <row r="163" ht="35.25" customHeight="1">
      <c r="A163" s="59"/>
      <c r="B163" s="59"/>
      <c r="C163" s="59"/>
      <c r="D163" s="59"/>
      <c r="E163" s="59"/>
      <c r="F163" s="59"/>
      <c r="G163" s="59"/>
      <c r="H163" s="178"/>
      <c r="I163" s="178"/>
      <c r="J163" s="59"/>
      <c r="K163" s="59"/>
      <c r="L163" s="59"/>
      <c r="M163" s="59"/>
      <c r="N163" s="59"/>
      <c r="O163" s="59"/>
      <c r="P163" s="59"/>
      <c r="Q163" s="59"/>
      <c r="R163" s="59"/>
      <c r="S163" s="59"/>
      <c r="T163" s="59"/>
      <c r="U163" s="59"/>
      <c r="V163" s="59"/>
      <c r="W163" s="59"/>
      <c r="X163" s="59"/>
      <c r="Y163" s="59"/>
    </row>
    <row r="164" ht="35.25" customHeight="1">
      <c r="A164" s="59"/>
      <c r="B164" s="59"/>
      <c r="C164" s="59"/>
      <c r="D164" s="59"/>
      <c r="E164" s="59"/>
      <c r="F164" s="59"/>
      <c r="G164" s="59"/>
      <c r="H164" s="178"/>
      <c r="I164" s="178"/>
      <c r="J164" s="59"/>
      <c r="K164" s="59"/>
      <c r="L164" s="59"/>
      <c r="M164" s="59"/>
      <c r="N164" s="59"/>
      <c r="O164" s="59"/>
      <c r="P164" s="59"/>
      <c r="Q164" s="59"/>
      <c r="R164" s="59"/>
      <c r="S164" s="59"/>
      <c r="T164" s="59"/>
      <c r="U164" s="59"/>
      <c r="V164" s="59"/>
      <c r="W164" s="59"/>
      <c r="X164" s="59"/>
      <c r="Y164" s="59"/>
    </row>
    <row r="165" ht="35.25" customHeight="1">
      <c r="A165" s="59"/>
      <c r="B165" s="59"/>
      <c r="C165" s="59"/>
      <c r="D165" s="59"/>
      <c r="E165" s="59"/>
      <c r="F165" s="59"/>
      <c r="G165" s="59"/>
      <c r="H165" s="178"/>
      <c r="I165" s="178"/>
      <c r="J165" s="59"/>
      <c r="K165" s="59"/>
      <c r="L165" s="59"/>
      <c r="M165" s="59"/>
      <c r="N165" s="59"/>
      <c r="O165" s="59"/>
      <c r="P165" s="59"/>
      <c r="Q165" s="59"/>
      <c r="R165" s="59"/>
      <c r="S165" s="59"/>
      <c r="T165" s="59"/>
      <c r="U165" s="59"/>
      <c r="V165" s="59"/>
      <c r="W165" s="59"/>
      <c r="X165" s="59"/>
      <c r="Y165" s="59"/>
    </row>
    <row r="166" ht="35.25" customHeight="1">
      <c r="A166" s="59"/>
      <c r="B166" s="59"/>
      <c r="C166" s="59"/>
      <c r="D166" s="59"/>
      <c r="E166" s="59"/>
      <c r="F166" s="59"/>
      <c r="G166" s="59"/>
      <c r="H166" s="178"/>
      <c r="I166" s="178"/>
      <c r="J166" s="59"/>
      <c r="K166" s="59"/>
      <c r="L166" s="59"/>
      <c r="M166" s="59"/>
      <c r="N166" s="59"/>
      <c r="O166" s="59"/>
      <c r="P166" s="59"/>
      <c r="Q166" s="59"/>
      <c r="R166" s="59"/>
      <c r="S166" s="59"/>
      <c r="T166" s="59"/>
      <c r="U166" s="59"/>
      <c r="V166" s="59"/>
      <c r="W166" s="59"/>
      <c r="X166" s="59"/>
      <c r="Y166" s="59"/>
    </row>
    <row r="167" ht="35.25" customHeight="1">
      <c r="A167" s="59"/>
      <c r="B167" s="59"/>
      <c r="C167" s="59"/>
      <c r="D167" s="59"/>
      <c r="E167" s="59"/>
      <c r="F167" s="59"/>
      <c r="G167" s="59"/>
      <c r="H167" s="178"/>
      <c r="I167" s="178"/>
      <c r="J167" s="59"/>
      <c r="K167" s="59"/>
      <c r="L167" s="59"/>
      <c r="M167" s="59"/>
      <c r="N167" s="59"/>
      <c r="O167" s="59"/>
      <c r="P167" s="59"/>
      <c r="Q167" s="59"/>
      <c r="R167" s="59"/>
      <c r="S167" s="59"/>
      <c r="T167" s="59"/>
      <c r="U167" s="59"/>
      <c r="V167" s="59"/>
      <c r="W167" s="59"/>
      <c r="X167" s="59"/>
      <c r="Y167" s="59"/>
    </row>
    <row r="168" ht="35.25" customHeight="1">
      <c r="A168" s="59"/>
      <c r="B168" s="59"/>
      <c r="C168" s="59"/>
      <c r="D168" s="59"/>
      <c r="E168" s="59"/>
      <c r="F168" s="59"/>
      <c r="G168" s="59"/>
      <c r="H168" s="178"/>
      <c r="I168" s="178"/>
      <c r="J168" s="59"/>
      <c r="K168" s="59"/>
      <c r="L168" s="59"/>
      <c r="M168" s="59"/>
      <c r="N168" s="59"/>
      <c r="O168" s="59"/>
      <c r="P168" s="59"/>
      <c r="Q168" s="59"/>
      <c r="R168" s="59"/>
      <c r="S168" s="59"/>
      <c r="T168" s="59"/>
      <c r="U168" s="59"/>
      <c r="V168" s="59"/>
      <c r="W168" s="59"/>
      <c r="X168" s="59"/>
      <c r="Y168" s="59"/>
    </row>
    <row r="169" ht="35.25" customHeight="1">
      <c r="A169" s="59"/>
      <c r="B169" s="59"/>
      <c r="C169" s="59"/>
      <c r="D169" s="59"/>
      <c r="E169" s="59"/>
      <c r="F169" s="59"/>
      <c r="G169" s="59"/>
      <c r="H169" s="178"/>
      <c r="I169" s="178"/>
      <c r="J169" s="59"/>
      <c r="K169" s="59"/>
      <c r="L169" s="59"/>
      <c r="M169" s="59"/>
      <c r="N169" s="59"/>
      <c r="O169" s="59"/>
      <c r="P169" s="59"/>
      <c r="Q169" s="59"/>
      <c r="R169" s="59"/>
      <c r="S169" s="59"/>
      <c r="T169" s="59"/>
      <c r="U169" s="59"/>
      <c r="V169" s="59"/>
      <c r="W169" s="59"/>
      <c r="X169" s="59"/>
      <c r="Y169" s="59"/>
    </row>
    <row r="170" ht="35.25" customHeight="1">
      <c r="A170" s="59"/>
      <c r="B170" s="59"/>
      <c r="C170" s="59"/>
      <c r="D170" s="59"/>
      <c r="E170" s="59"/>
      <c r="F170" s="59"/>
      <c r="G170" s="59"/>
      <c r="H170" s="178"/>
      <c r="I170" s="178"/>
      <c r="J170" s="59"/>
      <c r="K170" s="59"/>
      <c r="L170" s="59"/>
      <c r="M170" s="59"/>
      <c r="N170" s="59"/>
      <c r="O170" s="59"/>
      <c r="P170" s="59"/>
      <c r="Q170" s="59"/>
      <c r="R170" s="59"/>
      <c r="S170" s="59"/>
      <c r="T170" s="59"/>
      <c r="U170" s="59"/>
      <c r="V170" s="59"/>
      <c r="W170" s="59"/>
      <c r="X170" s="59"/>
      <c r="Y170" s="59"/>
    </row>
    <row r="171" ht="35.25" customHeight="1">
      <c r="A171" s="59"/>
      <c r="B171" s="59"/>
      <c r="C171" s="59"/>
      <c r="D171" s="59"/>
      <c r="E171" s="59"/>
      <c r="F171" s="59"/>
      <c r="G171" s="59"/>
      <c r="H171" s="178"/>
      <c r="I171" s="178"/>
      <c r="J171" s="59"/>
      <c r="K171" s="59"/>
      <c r="L171" s="59"/>
      <c r="M171" s="59"/>
      <c r="N171" s="59"/>
      <c r="O171" s="59"/>
      <c r="P171" s="59"/>
      <c r="Q171" s="59"/>
      <c r="R171" s="59"/>
      <c r="S171" s="59"/>
      <c r="T171" s="59"/>
      <c r="U171" s="59"/>
      <c r="V171" s="59"/>
      <c r="W171" s="59"/>
      <c r="X171" s="59"/>
      <c r="Y171" s="59"/>
    </row>
    <row r="172" ht="35.25" customHeight="1">
      <c r="A172" s="59"/>
      <c r="B172" s="59"/>
      <c r="C172" s="59"/>
      <c r="D172" s="59"/>
      <c r="E172" s="59"/>
      <c r="F172" s="59"/>
      <c r="G172" s="59"/>
      <c r="H172" s="178"/>
      <c r="I172" s="178"/>
      <c r="J172" s="59"/>
      <c r="K172" s="59"/>
      <c r="L172" s="59"/>
      <c r="M172" s="59"/>
      <c r="N172" s="59"/>
      <c r="O172" s="59"/>
      <c r="P172" s="59"/>
      <c r="Q172" s="59"/>
      <c r="R172" s="59"/>
      <c r="S172" s="59"/>
      <c r="T172" s="59"/>
      <c r="U172" s="59"/>
      <c r="V172" s="59"/>
      <c r="W172" s="59"/>
      <c r="X172" s="59"/>
      <c r="Y172" s="59"/>
    </row>
    <row r="173" ht="35.25" customHeight="1">
      <c r="A173" s="59"/>
      <c r="B173" s="59"/>
      <c r="C173" s="59"/>
      <c r="D173" s="59"/>
      <c r="E173" s="59"/>
      <c r="F173" s="59"/>
      <c r="G173" s="59"/>
      <c r="H173" s="178"/>
      <c r="I173" s="178"/>
      <c r="J173" s="59"/>
      <c r="K173" s="59"/>
      <c r="L173" s="59"/>
      <c r="M173" s="59"/>
      <c r="N173" s="59"/>
      <c r="O173" s="59"/>
      <c r="P173" s="59"/>
      <c r="Q173" s="59"/>
      <c r="R173" s="59"/>
      <c r="S173" s="59"/>
      <c r="T173" s="59"/>
      <c r="U173" s="59"/>
      <c r="V173" s="59"/>
      <c r="W173" s="59"/>
      <c r="X173" s="59"/>
      <c r="Y173" s="59"/>
    </row>
    <row r="174" ht="35.25" customHeight="1">
      <c r="A174" s="59"/>
      <c r="B174" s="59"/>
      <c r="C174" s="59"/>
      <c r="D174" s="59"/>
      <c r="E174" s="59"/>
      <c r="F174" s="59"/>
      <c r="G174" s="59"/>
      <c r="H174" s="178"/>
      <c r="I174" s="178"/>
      <c r="J174" s="59"/>
      <c r="K174" s="59"/>
      <c r="L174" s="59"/>
      <c r="M174" s="59"/>
      <c r="N174" s="59"/>
      <c r="O174" s="59"/>
      <c r="P174" s="59"/>
      <c r="Q174" s="59"/>
      <c r="R174" s="59"/>
      <c r="S174" s="59"/>
      <c r="T174" s="59"/>
      <c r="U174" s="59"/>
      <c r="V174" s="59"/>
      <c r="W174" s="59"/>
      <c r="X174" s="59"/>
      <c r="Y174" s="59"/>
    </row>
    <row r="175" ht="35.25" customHeight="1">
      <c r="A175" s="59"/>
      <c r="B175" s="59"/>
      <c r="C175" s="59"/>
      <c r="D175" s="59"/>
      <c r="E175" s="59"/>
      <c r="F175" s="59"/>
      <c r="G175" s="59"/>
      <c r="H175" s="178"/>
      <c r="I175" s="178"/>
      <c r="J175" s="59"/>
      <c r="K175" s="59"/>
      <c r="L175" s="59"/>
      <c r="M175" s="59"/>
      <c r="N175" s="59"/>
      <c r="O175" s="59"/>
      <c r="P175" s="59"/>
      <c r="Q175" s="59"/>
      <c r="R175" s="59"/>
      <c r="S175" s="59"/>
      <c r="T175" s="59"/>
      <c r="U175" s="59"/>
      <c r="V175" s="59"/>
      <c r="W175" s="59"/>
      <c r="X175" s="59"/>
      <c r="Y175" s="59"/>
    </row>
    <row r="176" ht="35.25" customHeight="1">
      <c r="A176" s="59"/>
      <c r="B176" s="59"/>
      <c r="C176" s="59"/>
      <c r="D176" s="59"/>
      <c r="E176" s="59"/>
      <c r="F176" s="59"/>
      <c r="G176" s="59"/>
      <c r="H176" s="178"/>
      <c r="I176" s="178"/>
      <c r="J176" s="59"/>
      <c r="K176" s="59"/>
      <c r="L176" s="59"/>
      <c r="M176" s="59"/>
      <c r="N176" s="59"/>
      <c r="O176" s="59"/>
      <c r="P176" s="59"/>
      <c r="Q176" s="59"/>
      <c r="R176" s="59"/>
      <c r="S176" s="59"/>
      <c r="T176" s="59"/>
      <c r="U176" s="59"/>
      <c r="V176" s="59"/>
      <c r="W176" s="59"/>
      <c r="X176" s="59"/>
      <c r="Y176" s="59"/>
    </row>
    <row r="177" ht="35.25" customHeight="1">
      <c r="A177" s="59"/>
      <c r="B177" s="59"/>
      <c r="C177" s="59"/>
      <c r="D177" s="59"/>
      <c r="E177" s="59"/>
      <c r="F177" s="59"/>
      <c r="G177" s="59"/>
      <c r="H177" s="178"/>
      <c r="I177" s="178"/>
      <c r="J177" s="59"/>
      <c r="K177" s="59"/>
      <c r="L177" s="59"/>
      <c r="M177" s="59"/>
      <c r="N177" s="59"/>
      <c r="O177" s="59"/>
      <c r="P177" s="59"/>
      <c r="Q177" s="59"/>
      <c r="R177" s="59"/>
      <c r="S177" s="59"/>
      <c r="T177" s="59"/>
      <c r="U177" s="59"/>
      <c r="V177" s="59"/>
      <c r="W177" s="59"/>
      <c r="X177" s="59"/>
      <c r="Y177" s="59"/>
    </row>
    <row r="178" ht="35.25" customHeight="1">
      <c r="A178" s="59"/>
      <c r="B178" s="59"/>
      <c r="C178" s="59"/>
      <c r="D178" s="59"/>
      <c r="E178" s="59"/>
      <c r="F178" s="59"/>
      <c r="G178" s="59"/>
      <c r="H178" s="178"/>
      <c r="I178" s="178"/>
      <c r="J178" s="59"/>
      <c r="K178" s="59"/>
      <c r="L178" s="59"/>
      <c r="M178" s="59"/>
      <c r="N178" s="59"/>
      <c r="O178" s="59"/>
      <c r="P178" s="59"/>
      <c r="Q178" s="59"/>
      <c r="R178" s="59"/>
      <c r="S178" s="59"/>
      <c r="T178" s="59"/>
      <c r="U178" s="59"/>
      <c r="V178" s="59"/>
      <c r="W178" s="59"/>
      <c r="X178" s="59"/>
      <c r="Y178" s="59"/>
    </row>
    <row r="179" ht="35.25" customHeight="1">
      <c r="A179" s="59"/>
      <c r="B179" s="59"/>
      <c r="C179" s="59"/>
      <c r="D179" s="59"/>
      <c r="E179" s="59"/>
      <c r="F179" s="59"/>
      <c r="G179" s="59"/>
      <c r="H179" s="178"/>
      <c r="I179" s="178"/>
      <c r="J179" s="59"/>
      <c r="K179" s="59"/>
      <c r="L179" s="59"/>
      <c r="M179" s="59"/>
      <c r="N179" s="59"/>
      <c r="O179" s="59"/>
      <c r="P179" s="59"/>
      <c r="Q179" s="59"/>
      <c r="R179" s="59"/>
      <c r="S179" s="59"/>
      <c r="T179" s="59"/>
      <c r="U179" s="59"/>
      <c r="V179" s="59"/>
      <c r="W179" s="59"/>
      <c r="X179" s="59"/>
      <c r="Y179" s="59"/>
    </row>
    <row r="180" ht="35.25" customHeight="1">
      <c r="A180" s="59"/>
      <c r="B180" s="59"/>
      <c r="C180" s="59"/>
      <c r="D180" s="59"/>
      <c r="E180" s="59"/>
      <c r="F180" s="59"/>
      <c r="G180" s="59"/>
      <c r="H180" s="178"/>
      <c r="I180" s="178"/>
      <c r="J180" s="59"/>
      <c r="K180" s="59"/>
      <c r="L180" s="59"/>
      <c r="M180" s="59"/>
      <c r="N180" s="59"/>
      <c r="O180" s="59"/>
      <c r="P180" s="59"/>
      <c r="Q180" s="59"/>
      <c r="R180" s="59"/>
      <c r="S180" s="59"/>
      <c r="T180" s="59"/>
      <c r="U180" s="59"/>
      <c r="V180" s="59"/>
      <c r="W180" s="59"/>
      <c r="X180" s="59"/>
      <c r="Y180" s="59"/>
    </row>
    <row r="181" ht="35.25" customHeight="1">
      <c r="A181" s="59"/>
      <c r="B181" s="59"/>
      <c r="C181" s="59"/>
      <c r="D181" s="59"/>
      <c r="E181" s="59"/>
      <c r="F181" s="59"/>
      <c r="G181" s="59"/>
      <c r="H181" s="178"/>
      <c r="I181" s="178"/>
      <c r="J181" s="59"/>
      <c r="K181" s="59"/>
      <c r="L181" s="59"/>
      <c r="M181" s="59"/>
      <c r="N181" s="59"/>
      <c r="O181" s="59"/>
      <c r="P181" s="59"/>
      <c r="Q181" s="59"/>
      <c r="R181" s="59"/>
      <c r="S181" s="59"/>
      <c r="T181" s="59"/>
      <c r="U181" s="59"/>
      <c r="V181" s="59"/>
      <c r="W181" s="59"/>
      <c r="X181" s="59"/>
      <c r="Y181" s="59"/>
    </row>
    <row r="182" ht="35.25" customHeight="1">
      <c r="A182" s="59"/>
      <c r="B182" s="59"/>
      <c r="C182" s="59"/>
      <c r="D182" s="59"/>
      <c r="E182" s="59"/>
      <c r="F182" s="59"/>
      <c r="G182" s="59"/>
      <c r="H182" s="178"/>
      <c r="I182" s="178"/>
      <c r="J182" s="59"/>
      <c r="K182" s="59"/>
      <c r="L182" s="59"/>
      <c r="M182" s="59"/>
      <c r="N182" s="59"/>
      <c r="O182" s="59"/>
      <c r="P182" s="59"/>
      <c r="Q182" s="59"/>
      <c r="R182" s="59"/>
      <c r="S182" s="59"/>
      <c r="T182" s="59"/>
      <c r="U182" s="59"/>
      <c r="V182" s="59"/>
      <c r="W182" s="59"/>
      <c r="X182" s="59"/>
      <c r="Y182" s="59"/>
    </row>
    <row r="183" ht="35.25" customHeight="1">
      <c r="A183" s="59"/>
      <c r="B183" s="59"/>
      <c r="C183" s="59"/>
      <c r="D183" s="59"/>
      <c r="E183" s="59"/>
      <c r="F183" s="59"/>
      <c r="G183" s="59"/>
      <c r="H183" s="178"/>
      <c r="I183" s="178"/>
      <c r="J183" s="59"/>
      <c r="K183" s="59"/>
      <c r="L183" s="59"/>
      <c r="M183" s="59"/>
      <c r="N183" s="59"/>
      <c r="O183" s="59"/>
      <c r="P183" s="59"/>
      <c r="Q183" s="59"/>
      <c r="R183" s="59"/>
      <c r="S183" s="59"/>
      <c r="T183" s="59"/>
      <c r="U183" s="59"/>
      <c r="V183" s="59"/>
      <c r="W183" s="59"/>
      <c r="X183" s="59"/>
      <c r="Y183" s="59"/>
    </row>
    <row r="184" ht="35.25" customHeight="1">
      <c r="A184" s="59"/>
      <c r="B184" s="59"/>
      <c r="C184" s="59"/>
      <c r="D184" s="59"/>
      <c r="E184" s="59"/>
      <c r="F184" s="59"/>
      <c r="G184" s="59"/>
      <c r="H184" s="178"/>
      <c r="I184" s="178"/>
      <c r="J184" s="59"/>
      <c r="K184" s="59"/>
      <c r="L184" s="59"/>
      <c r="M184" s="59"/>
      <c r="N184" s="59"/>
      <c r="O184" s="59"/>
      <c r="P184" s="59"/>
      <c r="Q184" s="59"/>
      <c r="R184" s="59"/>
      <c r="S184" s="59"/>
      <c r="T184" s="59"/>
      <c r="U184" s="59"/>
      <c r="V184" s="59"/>
      <c r="W184" s="59"/>
      <c r="X184" s="59"/>
      <c r="Y184" s="59"/>
    </row>
    <row r="185" ht="35.25" customHeight="1">
      <c r="A185" s="59"/>
      <c r="B185" s="59"/>
      <c r="C185" s="59"/>
      <c r="D185" s="59"/>
      <c r="E185" s="59"/>
      <c r="F185" s="59"/>
      <c r="G185" s="59"/>
      <c r="H185" s="178"/>
      <c r="I185" s="178"/>
      <c r="J185" s="59"/>
      <c r="K185" s="59"/>
      <c r="L185" s="59"/>
      <c r="M185" s="59"/>
      <c r="N185" s="59"/>
      <c r="O185" s="59"/>
      <c r="P185" s="59"/>
      <c r="Q185" s="59"/>
      <c r="R185" s="59"/>
      <c r="S185" s="59"/>
      <c r="T185" s="59"/>
      <c r="U185" s="59"/>
      <c r="V185" s="59"/>
      <c r="W185" s="59"/>
      <c r="X185" s="59"/>
      <c r="Y185" s="59"/>
    </row>
    <row r="186" ht="35.25" customHeight="1">
      <c r="A186" s="59"/>
      <c r="B186" s="59"/>
      <c r="C186" s="59"/>
      <c r="D186" s="59"/>
      <c r="E186" s="59"/>
      <c r="F186" s="59"/>
      <c r="G186" s="59"/>
      <c r="H186" s="178"/>
      <c r="I186" s="178"/>
      <c r="J186" s="59"/>
      <c r="K186" s="59"/>
      <c r="L186" s="59"/>
      <c r="M186" s="59"/>
      <c r="N186" s="59"/>
      <c r="O186" s="59"/>
      <c r="P186" s="59"/>
      <c r="Q186" s="59"/>
      <c r="R186" s="59"/>
      <c r="S186" s="59"/>
      <c r="T186" s="59"/>
      <c r="U186" s="59"/>
      <c r="V186" s="59"/>
      <c r="W186" s="59"/>
      <c r="X186" s="59"/>
      <c r="Y186" s="59"/>
    </row>
    <row r="187" ht="35.25" customHeight="1">
      <c r="A187" s="59"/>
      <c r="B187" s="59"/>
      <c r="C187" s="59"/>
      <c r="D187" s="59"/>
      <c r="E187" s="59"/>
      <c r="F187" s="59"/>
      <c r="G187" s="59"/>
      <c r="H187" s="178"/>
      <c r="I187" s="178"/>
      <c r="J187" s="59"/>
      <c r="K187" s="59"/>
      <c r="L187" s="59"/>
      <c r="M187" s="59"/>
      <c r="N187" s="59"/>
      <c r="O187" s="59"/>
      <c r="P187" s="59"/>
      <c r="Q187" s="59"/>
      <c r="R187" s="59"/>
      <c r="S187" s="59"/>
      <c r="T187" s="59"/>
      <c r="U187" s="59"/>
      <c r="V187" s="59"/>
      <c r="W187" s="59"/>
      <c r="X187" s="59"/>
      <c r="Y187" s="59"/>
    </row>
    <row r="188" ht="35.25" customHeight="1">
      <c r="A188" s="59"/>
      <c r="B188" s="59"/>
      <c r="C188" s="59"/>
      <c r="D188" s="59"/>
      <c r="E188" s="59"/>
      <c r="F188" s="59"/>
      <c r="G188" s="59"/>
      <c r="H188" s="178"/>
      <c r="I188" s="178"/>
      <c r="J188" s="59"/>
      <c r="K188" s="59"/>
      <c r="L188" s="59"/>
      <c r="M188" s="59"/>
      <c r="N188" s="59"/>
      <c r="O188" s="59"/>
      <c r="P188" s="59"/>
      <c r="Q188" s="59"/>
      <c r="R188" s="59"/>
      <c r="S188" s="59"/>
      <c r="T188" s="59"/>
      <c r="U188" s="59"/>
      <c r="V188" s="59"/>
      <c r="W188" s="59"/>
      <c r="X188" s="59"/>
      <c r="Y188" s="59"/>
    </row>
    <row r="189" ht="35.25" customHeight="1">
      <c r="A189" s="59"/>
      <c r="B189" s="59"/>
      <c r="C189" s="59"/>
      <c r="D189" s="59"/>
      <c r="E189" s="59"/>
      <c r="F189" s="59"/>
      <c r="G189" s="59"/>
      <c r="H189" s="178"/>
      <c r="I189" s="178"/>
      <c r="J189" s="59"/>
      <c r="K189" s="59"/>
      <c r="L189" s="59"/>
      <c r="M189" s="59"/>
      <c r="N189" s="59"/>
      <c r="O189" s="59"/>
      <c r="P189" s="59"/>
      <c r="Q189" s="59"/>
      <c r="R189" s="59"/>
      <c r="S189" s="59"/>
      <c r="T189" s="59"/>
      <c r="U189" s="59"/>
      <c r="V189" s="59"/>
      <c r="W189" s="59"/>
      <c r="X189" s="59"/>
      <c r="Y189" s="59"/>
    </row>
    <row r="190" ht="35.25" customHeight="1">
      <c r="A190" s="59"/>
      <c r="B190" s="59"/>
      <c r="C190" s="59"/>
      <c r="D190" s="59"/>
      <c r="E190" s="59"/>
      <c r="F190" s="59"/>
      <c r="G190" s="59"/>
      <c r="H190" s="178"/>
      <c r="I190" s="178"/>
      <c r="J190" s="59"/>
      <c r="K190" s="59"/>
      <c r="L190" s="59"/>
      <c r="M190" s="59"/>
      <c r="N190" s="59"/>
      <c r="O190" s="59"/>
      <c r="P190" s="59"/>
      <c r="Q190" s="59"/>
      <c r="R190" s="59"/>
      <c r="S190" s="59"/>
      <c r="T190" s="59"/>
      <c r="U190" s="59"/>
      <c r="V190" s="59"/>
      <c r="W190" s="59"/>
      <c r="X190" s="59"/>
      <c r="Y190" s="59"/>
    </row>
    <row r="191" ht="35.25" customHeight="1">
      <c r="A191" s="59"/>
      <c r="B191" s="59"/>
      <c r="C191" s="59"/>
      <c r="D191" s="59"/>
      <c r="E191" s="59"/>
      <c r="F191" s="59"/>
      <c r="G191" s="59"/>
      <c r="H191" s="178"/>
      <c r="I191" s="178"/>
      <c r="J191" s="59"/>
      <c r="K191" s="59"/>
      <c r="L191" s="59"/>
      <c r="M191" s="59"/>
      <c r="N191" s="59"/>
      <c r="O191" s="59"/>
      <c r="P191" s="59"/>
      <c r="Q191" s="59"/>
      <c r="R191" s="59"/>
      <c r="S191" s="59"/>
      <c r="T191" s="59"/>
      <c r="U191" s="59"/>
      <c r="V191" s="59"/>
      <c r="W191" s="59"/>
      <c r="X191" s="59"/>
      <c r="Y191" s="59"/>
    </row>
    <row r="192" ht="35.25" customHeight="1">
      <c r="A192" s="59"/>
      <c r="B192" s="59"/>
      <c r="C192" s="59"/>
      <c r="D192" s="59"/>
      <c r="E192" s="59"/>
      <c r="F192" s="59"/>
      <c r="G192" s="59"/>
      <c r="H192" s="178"/>
      <c r="I192" s="178"/>
      <c r="J192" s="59"/>
      <c r="K192" s="59"/>
      <c r="L192" s="59"/>
      <c r="M192" s="59"/>
      <c r="N192" s="59"/>
      <c r="O192" s="59"/>
      <c r="P192" s="59"/>
      <c r="Q192" s="59"/>
      <c r="R192" s="59"/>
      <c r="S192" s="59"/>
      <c r="T192" s="59"/>
      <c r="U192" s="59"/>
      <c r="V192" s="59"/>
      <c r="W192" s="59"/>
      <c r="X192" s="59"/>
      <c r="Y192" s="59"/>
    </row>
    <row r="193" ht="35.25" customHeight="1">
      <c r="A193" s="59"/>
      <c r="B193" s="59"/>
      <c r="C193" s="59"/>
      <c r="D193" s="59"/>
      <c r="E193" s="59"/>
      <c r="F193" s="59"/>
      <c r="G193" s="59"/>
      <c r="H193" s="178"/>
      <c r="I193" s="178"/>
      <c r="J193" s="59"/>
      <c r="K193" s="59"/>
      <c r="L193" s="59"/>
      <c r="M193" s="59"/>
      <c r="N193" s="59"/>
      <c r="O193" s="59"/>
      <c r="P193" s="59"/>
      <c r="Q193" s="59"/>
      <c r="R193" s="59"/>
      <c r="S193" s="59"/>
      <c r="T193" s="59"/>
      <c r="U193" s="59"/>
      <c r="V193" s="59"/>
      <c r="W193" s="59"/>
      <c r="X193" s="59"/>
      <c r="Y193" s="59"/>
    </row>
    <row r="194" ht="35.25" customHeight="1">
      <c r="A194" s="59"/>
      <c r="B194" s="59"/>
      <c r="C194" s="59"/>
      <c r="D194" s="59"/>
      <c r="E194" s="59"/>
      <c r="F194" s="59"/>
      <c r="G194" s="59"/>
      <c r="H194" s="178"/>
      <c r="I194" s="178"/>
      <c r="J194" s="59"/>
      <c r="K194" s="59"/>
      <c r="L194" s="59"/>
      <c r="M194" s="59"/>
      <c r="N194" s="59"/>
      <c r="O194" s="59"/>
      <c r="P194" s="59"/>
      <c r="Q194" s="59"/>
      <c r="R194" s="59"/>
      <c r="S194" s="59"/>
      <c r="T194" s="59"/>
      <c r="U194" s="59"/>
      <c r="V194" s="59"/>
      <c r="W194" s="59"/>
      <c r="X194" s="59"/>
      <c r="Y194" s="59"/>
    </row>
    <row r="195" ht="35.25" customHeight="1">
      <c r="A195" s="59"/>
      <c r="B195" s="59"/>
      <c r="C195" s="59"/>
      <c r="D195" s="59"/>
      <c r="E195" s="59"/>
      <c r="F195" s="59"/>
      <c r="G195" s="59"/>
      <c r="H195" s="178"/>
      <c r="I195" s="178"/>
      <c r="J195" s="59"/>
      <c r="K195" s="59"/>
      <c r="L195" s="59"/>
      <c r="M195" s="59"/>
      <c r="N195" s="59"/>
      <c r="O195" s="59"/>
      <c r="P195" s="59"/>
      <c r="Q195" s="59"/>
      <c r="R195" s="59"/>
      <c r="S195" s="59"/>
      <c r="T195" s="59"/>
      <c r="U195" s="59"/>
      <c r="V195" s="59"/>
      <c r="W195" s="59"/>
      <c r="X195" s="59"/>
      <c r="Y195" s="59"/>
    </row>
    <row r="196" ht="35.25" customHeight="1">
      <c r="A196" s="59"/>
      <c r="B196" s="59"/>
      <c r="C196" s="59"/>
      <c r="D196" s="59"/>
      <c r="E196" s="59"/>
      <c r="F196" s="59"/>
      <c r="G196" s="59"/>
      <c r="H196" s="178"/>
      <c r="I196" s="178"/>
      <c r="J196" s="59"/>
      <c r="K196" s="59"/>
      <c r="L196" s="59"/>
      <c r="M196" s="59"/>
      <c r="N196" s="59"/>
      <c r="O196" s="59"/>
      <c r="P196" s="59"/>
      <c r="Q196" s="59"/>
      <c r="R196" s="59"/>
      <c r="S196" s="59"/>
      <c r="T196" s="59"/>
      <c r="U196" s="59"/>
      <c r="V196" s="59"/>
      <c r="W196" s="59"/>
      <c r="X196" s="59"/>
      <c r="Y196" s="59"/>
    </row>
    <row r="197" ht="35.25" customHeight="1">
      <c r="A197" s="59"/>
      <c r="B197" s="59"/>
      <c r="C197" s="59"/>
      <c r="D197" s="59"/>
      <c r="E197" s="59"/>
      <c r="F197" s="59"/>
      <c r="G197" s="59"/>
      <c r="H197" s="178"/>
      <c r="I197" s="178"/>
      <c r="J197" s="59"/>
      <c r="K197" s="59"/>
      <c r="L197" s="59"/>
      <c r="M197" s="59"/>
      <c r="N197" s="59"/>
      <c r="O197" s="59"/>
      <c r="P197" s="59"/>
      <c r="Q197" s="59"/>
      <c r="R197" s="59"/>
      <c r="S197" s="59"/>
      <c r="T197" s="59"/>
      <c r="U197" s="59"/>
      <c r="V197" s="59"/>
      <c r="W197" s="59"/>
      <c r="X197" s="59"/>
      <c r="Y197" s="59"/>
    </row>
    <row r="198" ht="35.25" customHeight="1">
      <c r="A198" s="59"/>
      <c r="B198" s="59"/>
      <c r="C198" s="59"/>
      <c r="D198" s="59"/>
      <c r="E198" s="59"/>
      <c r="F198" s="59"/>
      <c r="G198" s="59"/>
      <c r="H198" s="178"/>
      <c r="I198" s="178"/>
      <c r="J198" s="59"/>
      <c r="K198" s="59"/>
      <c r="L198" s="59"/>
      <c r="M198" s="59"/>
      <c r="N198" s="59"/>
      <c r="O198" s="59"/>
      <c r="P198" s="59"/>
      <c r="Q198" s="59"/>
      <c r="R198" s="59"/>
      <c r="S198" s="59"/>
      <c r="T198" s="59"/>
      <c r="U198" s="59"/>
      <c r="V198" s="59"/>
      <c r="W198" s="59"/>
      <c r="X198" s="59"/>
      <c r="Y198" s="59"/>
    </row>
    <row r="199" ht="35.25" customHeight="1">
      <c r="A199" s="59"/>
      <c r="B199" s="59"/>
      <c r="C199" s="59"/>
      <c r="D199" s="59"/>
      <c r="E199" s="59"/>
      <c r="F199" s="59"/>
      <c r="G199" s="59"/>
      <c r="H199" s="178"/>
      <c r="I199" s="178"/>
      <c r="J199" s="59"/>
      <c r="K199" s="59"/>
      <c r="L199" s="59"/>
      <c r="M199" s="59"/>
      <c r="N199" s="59"/>
      <c r="O199" s="59"/>
      <c r="P199" s="59"/>
      <c r="Q199" s="59"/>
      <c r="R199" s="59"/>
      <c r="S199" s="59"/>
      <c r="T199" s="59"/>
      <c r="U199" s="59"/>
      <c r="V199" s="59"/>
      <c r="W199" s="59"/>
      <c r="X199" s="59"/>
      <c r="Y199" s="59"/>
    </row>
    <row r="200" ht="35.25" customHeight="1">
      <c r="A200" s="59"/>
      <c r="B200" s="59"/>
      <c r="C200" s="59"/>
      <c r="D200" s="59"/>
      <c r="E200" s="59"/>
      <c r="F200" s="59"/>
      <c r="G200" s="59"/>
      <c r="H200" s="178"/>
      <c r="I200" s="178"/>
      <c r="J200" s="59"/>
      <c r="K200" s="59"/>
      <c r="L200" s="59"/>
      <c r="M200" s="59"/>
      <c r="N200" s="59"/>
      <c r="O200" s="59"/>
      <c r="P200" s="59"/>
      <c r="Q200" s="59"/>
      <c r="R200" s="59"/>
      <c r="S200" s="59"/>
      <c r="T200" s="59"/>
      <c r="U200" s="59"/>
      <c r="V200" s="59"/>
      <c r="W200" s="59"/>
      <c r="X200" s="59"/>
      <c r="Y200" s="59"/>
    </row>
    <row r="201" ht="35.25" customHeight="1">
      <c r="A201" s="59"/>
      <c r="B201" s="59"/>
      <c r="C201" s="59"/>
      <c r="D201" s="59"/>
      <c r="E201" s="59"/>
      <c r="F201" s="59"/>
      <c r="G201" s="59"/>
      <c r="H201" s="178"/>
      <c r="I201" s="178"/>
      <c r="J201" s="59"/>
      <c r="K201" s="59"/>
      <c r="L201" s="59"/>
      <c r="M201" s="59"/>
      <c r="N201" s="59"/>
      <c r="O201" s="59"/>
      <c r="P201" s="59"/>
      <c r="Q201" s="59"/>
      <c r="R201" s="59"/>
      <c r="S201" s="59"/>
      <c r="T201" s="59"/>
      <c r="U201" s="59"/>
      <c r="V201" s="59"/>
      <c r="W201" s="59"/>
      <c r="X201" s="59"/>
      <c r="Y201" s="59"/>
    </row>
    <row r="202" ht="35.25" customHeight="1">
      <c r="A202" s="59"/>
      <c r="B202" s="59"/>
      <c r="C202" s="59"/>
      <c r="D202" s="59"/>
      <c r="E202" s="59"/>
      <c r="F202" s="59"/>
      <c r="G202" s="59"/>
      <c r="H202" s="178"/>
      <c r="I202" s="178"/>
      <c r="J202" s="59"/>
      <c r="K202" s="59"/>
      <c r="L202" s="59"/>
      <c r="M202" s="59"/>
      <c r="N202" s="59"/>
      <c r="O202" s="59"/>
      <c r="P202" s="59"/>
      <c r="Q202" s="59"/>
      <c r="R202" s="59"/>
      <c r="S202" s="59"/>
      <c r="T202" s="59"/>
      <c r="U202" s="59"/>
      <c r="V202" s="59"/>
      <c r="W202" s="59"/>
      <c r="X202" s="59"/>
      <c r="Y202" s="59"/>
    </row>
    <row r="203" ht="35.25" customHeight="1">
      <c r="A203" s="59"/>
      <c r="B203" s="59"/>
      <c r="C203" s="59"/>
      <c r="D203" s="59"/>
      <c r="E203" s="59"/>
      <c r="F203" s="59"/>
      <c r="G203" s="59"/>
      <c r="H203" s="178"/>
      <c r="I203" s="178"/>
      <c r="J203" s="59"/>
      <c r="K203" s="59"/>
      <c r="L203" s="59"/>
      <c r="M203" s="59"/>
      <c r="N203" s="59"/>
      <c r="O203" s="59"/>
      <c r="P203" s="59"/>
      <c r="Q203" s="59"/>
      <c r="R203" s="59"/>
      <c r="S203" s="59"/>
      <c r="T203" s="59"/>
      <c r="U203" s="59"/>
      <c r="V203" s="59"/>
      <c r="W203" s="59"/>
      <c r="X203" s="59"/>
      <c r="Y203" s="59"/>
    </row>
    <row r="204" ht="35.25" customHeight="1">
      <c r="A204" s="59"/>
      <c r="B204" s="59"/>
      <c r="C204" s="59"/>
      <c r="D204" s="59"/>
      <c r="E204" s="59"/>
      <c r="F204" s="59"/>
      <c r="G204" s="59"/>
      <c r="H204" s="178"/>
      <c r="I204" s="178"/>
      <c r="J204" s="59"/>
      <c r="K204" s="59"/>
      <c r="L204" s="59"/>
      <c r="M204" s="59"/>
      <c r="N204" s="59"/>
      <c r="O204" s="59"/>
      <c r="P204" s="59"/>
      <c r="Q204" s="59"/>
      <c r="R204" s="59"/>
      <c r="S204" s="59"/>
      <c r="T204" s="59"/>
      <c r="U204" s="59"/>
      <c r="V204" s="59"/>
      <c r="W204" s="59"/>
      <c r="X204" s="59"/>
      <c r="Y204" s="59"/>
    </row>
    <row r="205" ht="35.25" customHeight="1">
      <c r="A205" s="59"/>
      <c r="B205" s="59"/>
      <c r="C205" s="59"/>
      <c r="D205" s="59"/>
      <c r="E205" s="59"/>
      <c r="F205" s="59"/>
      <c r="G205" s="59"/>
      <c r="H205" s="178"/>
      <c r="I205" s="178"/>
      <c r="J205" s="59"/>
      <c r="K205" s="59"/>
      <c r="L205" s="59"/>
      <c r="M205" s="59"/>
      <c r="N205" s="59"/>
      <c r="O205" s="59"/>
      <c r="P205" s="59"/>
      <c r="Q205" s="59"/>
      <c r="R205" s="59"/>
      <c r="S205" s="59"/>
      <c r="T205" s="59"/>
      <c r="U205" s="59"/>
      <c r="V205" s="59"/>
      <c r="W205" s="59"/>
      <c r="X205" s="59"/>
      <c r="Y205" s="59"/>
    </row>
    <row r="206" ht="35.25" customHeight="1">
      <c r="A206" s="59"/>
      <c r="B206" s="59"/>
      <c r="C206" s="59"/>
      <c r="D206" s="59"/>
      <c r="E206" s="59"/>
      <c r="F206" s="59"/>
      <c r="G206" s="59"/>
      <c r="H206" s="178"/>
      <c r="I206" s="178"/>
      <c r="J206" s="59"/>
      <c r="K206" s="59"/>
      <c r="L206" s="59"/>
      <c r="M206" s="59"/>
      <c r="N206" s="59"/>
      <c r="O206" s="59"/>
      <c r="P206" s="59"/>
      <c r="Q206" s="59"/>
      <c r="R206" s="59"/>
      <c r="S206" s="59"/>
      <c r="T206" s="59"/>
      <c r="U206" s="59"/>
      <c r="V206" s="59"/>
      <c r="W206" s="59"/>
      <c r="X206" s="59"/>
      <c r="Y206" s="59"/>
    </row>
    <row r="207" ht="35.25" customHeight="1">
      <c r="A207" s="59"/>
      <c r="B207" s="59"/>
      <c r="C207" s="59"/>
      <c r="D207" s="59"/>
      <c r="E207" s="59"/>
      <c r="F207" s="59"/>
      <c r="G207" s="59"/>
      <c r="H207" s="178"/>
      <c r="I207" s="178"/>
      <c r="J207" s="59"/>
      <c r="K207" s="59"/>
      <c r="L207" s="59"/>
      <c r="M207" s="59"/>
      <c r="N207" s="59"/>
      <c r="O207" s="59"/>
      <c r="P207" s="59"/>
      <c r="Q207" s="59"/>
      <c r="R207" s="59"/>
      <c r="S207" s="59"/>
      <c r="T207" s="59"/>
      <c r="U207" s="59"/>
      <c r="V207" s="59"/>
      <c r="W207" s="59"/>
      <c r="X207" s="59"/>
      <c r="Y207" s="59"/>
    </row>
    <row r="208" ht="35.25" customHeight="1">
      <c r="A208" s="59"/>
      <c r="B208" s="59"/>
      <c r="C208" s="59"/>
      <c r="D208" s="59"/>
      <c r="E208" s="59"/>
      <c r="F208" s="59"/>
      <c r="G208" s="59"/>
      <c r="H208" s="178"/>
      <c r="I208" s="178"/>
      <c r="J208" s="59"/>
      <c r="K208" s="59"/>
      <c r="L208" s="59"/>
      <c r="M208" s="59"/>
      <c r="N208" s="59"/>
      <c r="O208" s="59"/>
      <c r="P208" s="59"/>
      <c r="Q208" s="59"/>
      <c r="R208" s="59"/>
      <c r="S208" s="59"/>
      <c r="T208" s="59"/>
      <c r="U208" s="59"/>
      <c r="V208" s="59"/>
      <c r="W208" s="59"/>
      <c r="X208" s="59"/>
      <c r="Y208" s="59"/>
    </row>
    <row r="209" ht="35.25" customHeight="1">
      <c r="A209" s="59"/>
      <c r="B209" s="59"/>
      <c r="C209" s="59"/>
      <c r="D209" s="59"/>
      <c r="E209" s="59"/>
      <c r="F209" s="59"/>
      <c r="G209" s="59"/>
      <c r="H209" s="178"/>
      <c r="I209" s="178"/>
      <c r="J209" s="59"/>
      <c r="K209" s="59"/>
      <c r="L209" s="59"/>
      <c r="M209" s="59"/>
      <c r="N209" s="59"/>
      <c r="O209" s="59"/>
      <c r="P209" s="59"/>
      <c r="Q209" s="59"/>
      <c r="R209" s="59"/>
      <c r="S209" s="59"/>
      <c r="T209" s="59"/>
      <c r="U209" s="59"/>
      <c r="V209" s="59"/>
      <c r="W209" s="59"/>
      <c r="X209" s="59"/>
      <c r="Y209" s="59"/>
    </row>
    <row r="210" ht="35.25" customHeight="1">
      <c r="A210" s="59"/>
      <c r="B210" s="59"/>
      <c r="C210" s="59"/>
      <c r="D210" s="59"/>
      <c r="E210" s="59"/>
      <c r="F210" s="59"/>
      <c r="G210" s="59"/>
      <c r="H210" s="178"/>
      <c r="I210" s="178"/>
      <c r="J210" s="59"/>
      <c r="K210" s="59"/>
      <c r="L210" s="59"/>
      <c r="M210" s="59"/>
      <c r="N210" s="59"/>
      <c r="O210" s="59"/>
      <c r="P210" s="59"/>
      <c r="Q210" s="59"/>
      <c r="R210" s="59"/>
      <c r="S210" s="59"/>
      <c r="T210" s="59"/>
      <c r="U210" s="59"/>
      <c r="V210" s="59"/>
      <c r="W210" s="59"/>
      <c r="X210" s="59"/>
      <c r="Y210" s="59"/>
    </row>
    <row r="211" ht="35.25" customHeight="1">
      <c r="A211" s="59"/>
      <c r="B211" s="59"/>
      <c r="C211" s="59"/>
      <c r="D211" s="59"/>
      <c r="E211" s="59"/>
      <c r="F211" s="59"/>
      <c r="G211" s="59"/>
      <c r="H211" s="178"/>
      <c r="I211" s="178"/>
      <c r="J211" s="59"/>
      <c r="K211" s="59"/>
      <c r="L211" s="59"/>
      <c r="M211" s="59"/>
      <c r="N211" s="59"/>
      <c r="O211" s="59"/>
      <c r="P211" s="59"/>
      <c r="Q211" s="59"/>
      <c r="R211" s="59"/>
      <c r="S211" s="59"/>
      <c r="T211" s="59"/>
      <c r="U211" s="59"/>
      <c r="V211" s="59"/>
      <c r="W211" s="59"/>
      <c r="X211" s="59"/>
      <c r="Y211" s="59"/>
    </row>
    <row r="212" ht="35.25" customHeight="1">
      <c r="A212" s="59"/>
      <c r="B212" s="59"/>
      <c r="C212" s="59"/>
      <c r="D212" s="59"/>
      <c r="E212" s="59"/>
      <c r="F212" s="59"/>
      <c r="G212" s="59"/>
      <c r="H212" s="178"/>
      <c r="I212" s="178"/>
      <c r="J212" s="59"/>
      <c r="K212" s="59"/>
      <c r="L212" s="59"/>
      <c r="M212" s="59"/>
      <c r="N212" s="59"/>
      <c r="O212" s="59"/>
      <c r="P212" s="59"/>
      <c r="Q212" s="59"/>
      <c r="R212" s="59"/>
      <c r="S212" s="59"/>
      <c r="T212" s="59"/>
      <c r="U212" s="59"/>
      <c r="V212" s="59"/>
      <c r="W212" s="59"/>
      <c r="X212" s="59"/>
      <c r="Y212" s="59"/>
    </row>
    <row r="213" ht="35.25" customHeight="1">
      <c r="A213" s="59"/>
      <c r="B213" s="59"/>
      <c r="C213" s="59"/>
      <c r="D213" s="59"/>
      <c r="E213" s="59"/>
      <c r="F213" s="59"/>
      <c r="G213" s="59"/>
      <c r="H213" s="178"/>
      <c r="I213" s="178"/>
      <c r="J213" s="59"/>
      <c r="K213" s="59"/>
      <c r="L213" s="59"/>
      <c r="M213" s="59"/>
      <c r="N213" s="59"/>
      <c r="O213" s="59"/>
      <c r="P213" s="59"/>
      <c r="Q213" s="59"/>
      <c r="R213" s="59"/>
      <c r="S213" s="59"/>
      <c r="T213" s="59"/>
      <c r="U213" s="59"/>
      <c r="V213" s="59"/>
      <c r="W213" s="59"/>
      <c r="X213" s="59"/>
      <c r="Y213" s="59"/>
    </row>
    <row r="214" ht="35.25" customHeight="1">
      <c r="A214" s="59"/>
      <c r="B214" s="59"/>
      <c r="C214" s="59"/>
      <c r="D214" s="59"/>
      <c r="E214" s="59"/>
      <c r="F214" s="59"/>
      <c r="G214" s="59"/>
      <c r="H214" s="178"/>
      <c r="I214" s="178"/>
      <c r="J214" s="59"/>
      <c r="K214" s="59"/>
      <c r="L214" s="59"/>
      <c r="M214" s="59"/>
      <c r="N214" s="59"/>
      <c r="O214" s="59"/>
      <c r="P214" s="59"/>
      <c r="Q214" s="59"/>
      <c r="R214" s="59"/>
      <c r="S214" s="59"/>
      <c r="T214" s="59"/>
      <c r="U214" s="59"/>
      <c r="V214" s="59"/>
      <c r="W214" s="59"/>
      <c r="X214" s="59"/>
      <c r="Y214" s="59"/>
    </row>
    <row r="215" ht="35.25" customHeight="1">
      <c r="A215" s="59"/>
      <c r="B215" s="59"/>
      <c r="C215" s="59"/>
      <c r="D215" s="59"/>
      <c r="E215" s="59"/>
      <c r="F215" s="59"/>
      <c r="G215" s="59"/>
      <c r="H215" s="178"/>
      <c r="I215" s="178"/>
      <c r="J215" s="59"/>
      <c r="K215" s="59"/>
      <c r="L215" s="59"/>
      <c r="M215" s="59"/>
      <c r="N215" s="59"/>
      <c r="O215" s="59"/>
      <c r="P215" s="59"/>
      <c r="Q215" s="59"/>
      <c r="R215" s="59"/>
      <c r="S215" s="59"/>
      <c r="T215" s="59"/>
      <c r="U215" s="59"/>
      <c r="V215" s="59"/>
      <c r="W215" s="59"/>
      <c r="X215" s="59"/>
      <c r="Y215" s="59"/>
    </row>
    <row r="216" ht="35.25" customHeight="1">
      <c r="A216" s="59"/>
      <c r="B216" s="59"/>
      <c r="C216" s="59"/>
      <c r="D216" s="59"/>
      <c r="E216" s="59"/>
      <c r="F216" s="59"/>
      <c r="G216" s="59"/>
      <c r="H216" s="178"/>
      <c r="I216" s="178"/>
      <c r="J216" s="59"/>
      <c r="K216" s="59"/>
      <c r="L216" s="59"/>
      <c r="M216" s="59"/>
      <c r="N216" s="59"/>
      <c r="O216" s="59"/>
      <c r="P216" s="59"/>
      <c r="Q216" s="59"/>
      <c r="R216" s="59"/>
      <c r="S216" s="59"/>
      <c r="T216" s="59"/>
      <c r="U216" s="59"/>
      <c r="V216" s="59"/>
      <c r="W216" s="59"/>
      <c r="X216" s="59"/>
      <c r="Y216" s="59"/>
    </row>
    <row r="217" ht="35.25" customHeight="1">
      <c r="A217" s="59"/>
      <c r="B217" s="59"/>
      <c r="C217" s="59"/>
      <c r="D217" s="59"/>
      <c r="E217" s="59"/>
      <c r="F217" s="59"/>
      <c r="G217" s="59"/>
      <c r="H217" s="178"/>
      <c r="I217" s="178"/>
      <c r="J217" s="59"/>
      <c r="K217" s="59"/>
      <c r="L217" s="59"/>
      <c r="M217" s="59"/>
      <c r="N217" s="59"/>
      <c r="O217" s="59"/>
      <c r="P217" s="59"/>
      <c r="Q217" s="59"/>
      <c r="R217" s="59"/>
      <c r="S217" s="59"/>
      <c r="T217" s="59"/>
      <c r="U217" s="59"/>
      <c r="V217" s="59"/>
      <c r="W217" s="59"/>
      <c r="X217" s="59"/>
      <c r="Y217" s="59"/>
    </row>
    <row r="218" ht="35.25" customHeight="1">
      <c r="A218" s="59"/>
      <c r="B218" s="59"/>
      <c r="C218" s="59"/>
      <c r="D218" s="59"/>
      <c r="E218" s="59"/>
      <c r="F218" s="59"/>
      <c r="G218" s="59"/>
      <c r="H218" s="178"/>
      <c r="I218" s="178"/>
      <c r="J218" s="59"/>
      <c r="K218" s="59"/>
      <c r="L218" s="59"/>
      <c r="M218" s="59"/>
      <c r="N218" s="59"/>
      <c r="O218" s="59"/>
      <c r="P218" s="59"/>
      <c r="Q218" s="59"/>
      <c r="R218" s="59"/>
      <c r="S218" s="59"/>
      <c r="T218" s="59"/>
      <c r="U218" s="59"/>
      <c r="V218" s="59"/>
      <c r="W218" s="59"/>
      <c r="X218" s="59"/>
      <c r="Y218" s="59"/>
    </row>
    <row r="219" ht="35.25" customHeight="1">
      <c r="A219" s="59"/>
      <c r="B219" s="59"/>
      <c r="C219" s="59"/>
      <c r="D219" s="59"/>
      <c r="E219" s="59"/>
      <c r="F219" s="59"/>
      <c r="G219" s="59"/>
      <c r="H219" s="178"/>
      <c r="I219" s="178"/>
      <c r="J219" s="59"/>
      <c r="K219" s="59"/>
      <c r="L219" s="59"/>
      <c r="M219" s="59"/>
      <c r="N219" s="59"/>
      <c r="O219" s="59"/>
      <c r="P219" s="59"/>
      <c r="Q219" s="59"/>
      <c r="R219" s="59"/>
      <c r="S219" s="59"/>
      <c r="T219" s="59"/>
      <c r="U219" s="59"/>
      <c r="V219" s="59"/>
      <c r="W219" s="59"/>
      <c r="X219" s="59"/>
      <c r="Y219" s="59"/>
    </row>
    <row r="220" ht="35.25" customHeight="1">
      <c r="A220" s="59"/>
      <c r="B220" s="59"/>
      <c r="C220" s="59"/>
      <c r="D220" s="59"/>
      <c r="E220" s="59"/>
      <c r="F220" s="59"/>
      <c r="G220" s="59"/>
      <c r="H220" s="178"/>
      <c r="I220" s="178"/>
      <c r="J220" s="59"/>
      <c r="K220" s="59"/>
      <c r="L220" s="59"/>
      <c r="M220" s="59"/>
      <c r="N220" s="59"/>
      <c r="O220" s="59"/>
      <c r="P220" s="59"/>
      <c r="Q220" s="59"/>
      <c r="R220" s="59"/>
      <c r="S220" s="59"/>
      <c r="T220" s="59"/>
      <c r="U220" s="59"/>
      <c r="V220" s="59"/>
      <c r="W220" s="59"/>
      <c r="X220" s="59"/>
      <c r="Y220" s="59"/>
    </row>
    <row r="221" ht="35.25" customHeight="1">
      <c r="A221" s="59"/>
      <c r="B221" s="59"/>
      <c r="C221" s="59"/>
      <c r="D221" s="59"/>
      <c r="E221" s="59"/>
      <c r="F221" s="59"/>
      <c r="G221" s="59"/>
      <c r="H221" s="178"/>
      <c r="I221" s="178"/>
      <c r="J221" s="59"/>
      <c r="K221" s="59"/>
      <c r="L221" s="59"/>
      <c r="M221" s="59"/>
      <c r="N221" s="59"/>
      <c r="O221" s="59"/>
      <c r="P221" s="59"/>
      <c r="Q221" s="59"/>
      <c r="R221" s="59"/>
      <c r="S221" s="59"/>
      <c r="T221" s="59"/>
      <c r="U221" s="59"/>
      <c r="V221" s="59"/>
      <c r="W221" s="59"/>
      <c r="X221" s="59"/>
      <c r="Y221" s="59"/>
    </row>
    <row r="222" ht="35.25" customHeight="1">
      <c r="A222" s="59"/>
      <c r="B222" s="59"/>
      <c r="C222" s="59"/>
      <c r="D222" s="59"/>
      <c r="E222" s="59"/>
      <c r="F222" s="59"/>
      <c r="G222" s="59"/>
      <c r="H222" s="178"/>
      <c r="I222" s="178"/>
      <c r="J222" s="59"/>
      <c r="K222" s="59"/>
      <c r="L222" s="59"/>
      <c r="M222" s="59"/>
      <c r="N222" s="59"/>
      <c r="O222" s="59"/>
      <c r="P222" s="59"/>
      <c r="Q222" s="59"/>
      <c r="R222" s="59"/>
      <c r="S222" s="59"/>
      <c r="T222" s="59"/>
      <c r="U222" s="59"/>
      <c r="V222" s="59"/>
      <c r="W222" s="59"/>
      <c r="X222" s="59"/>
      <c r="Y222" s="59"/>
    </row>
    <row r="223" ht="35.25" customHeight="1">
      <c r="A223" s="59"/>
      <c r="B223" s="59"/>
      <c r="C223" s="59"/>
      <c r="D223" s="59"/>
      <c r="E223" s="59"/>
      <c r="F223" s="59"/>
      <c r="G223" s="59"/>
      <c r="H223" s="178"/>
      <c r="I223" s="178"/>
      <c r="J223" s="59"/>
      <c r="K223" s="59"/>
      <c r="L223" s="59"/>
      <c r="M223" s="59"/>
      <c r="N223" s="59"/>
      <c r="O223" s="59"/>
      <c r="P223" s="59"/>
      <c r="Q223" s="59"/>
      <c r="R223" s="59"/>
      <c r="S223" s="59"/>
      <c r="T223" s="59"/>
      <c r="U223" s="59"/>
      <c r="V223" s="59"/>
      <c r="W223" s="59"/>
      <c r="X223" s="59"/>
      <c r="Y223" s="59"/>
    </row>
    <row r="224" ht="35.25" customHeight="1">
      <c r="A224" s="59"/>
      <c r="B224" s="59"/>
      <c r="C224" s="59"/>
      <c r="D224" s="59"/>
      <c r="E224" s="59"/>
      <c r="F224" s="59"/>
      <c r="G224" s="59"/>
      <c r="H224" s="178"/>
      <c r="I224" s="178"/>
      <c r="J224" s="59"/>
      <c r="K224" s="59"/>
      <c r="L224" s="59"/>
      <c r="M224" s="59"/>
      <c r="N224" s="59"/>
      <c r="O224" s="59"/>
      <c r="P224" s="59"/>
      <c r="Q224" s="59"/>
      <c r="R224" s="59"/>
      <c r="S224" s="59"/>
      <c r="T224" s="59"/>
      <c r="U224" s="59"/>
      <c r="V224" s="59"/>
      <c r="W224" s="59"/>
      <c r="X224" s="59"/>
      <c r="Y224" s="59"/>
    </row>
    <row r="225" ht="35.25" customHeight="1">
      <c r="A225" s="59"/>
      <c r="B225" s="59"/>
      <c r="C225" s="59"/>
      <c r="D225" s="59"/>
      <c r="E225" s="59"/>
      <c r="F225" s="59"/>
      <c r="G225" s="59"/>
      <c r="H225" s="178"/>
      <c r="I225" s="178"/>
      <c r="J225" s="59"/>
      <c r="K225" s="59"/>
      <c r="L225" s="59"/>
      <c r="M225" s="59"/>
      <c r="N225" s="59"/>
      <c r="O225" s="59"/>
      <c r="P225" s="59"/>
      <c r="Q225" s="59"/>
      <c r="R225" s="59"/>
      <c r="S225" s="59"/>
      <c r="T225" s="59"/>
      <c r="U225" s="59"/>
      <c r="V225" s="59"/>
      <c r="W225" s="59"/>
      <c r="X225" s="59"/>
      <c r="Y225" s="59"/>
    </row>
    <row r="226" ht="35.25" customHeight="1">
      <c r="A226" s="59"/>
      <c r="B226" s="59"/>
      <c r="C226" s="59"/>
      <c r="D226" s="59"/>
      <c r="E226" s="59"/>
      <c r="F226" s="59"/>
      <c r="G226" s="59"/>
      <c r="H226" s="178"/>
      <c r="I226" s="178"/>
      <c r="J226" s="59"/>
      <c r="K226" s="59"/>
      <c r="L226" s="59"/>
      <c r="M226" s="59"/>
      <c r="N226" s="59"/>
      <c r="O226" s="59"/>
      <c r="P226" s="59"/>
      <c r="Q226" s="59"/>
      <c r="R226" s="59"/>
      <c r="S226" s="59"/>
      <c r="T226" s="59"/>
      <c r="U226" s="59"/>
      <c r="V226" s="59"/>
      <c r="W226" s="59"/>
      <c r="X226" s="59"/>
      <c r="Y226" s="59"/>
    </row>
    <row r="227" ht="35.25" customHeight="1">
      <c r="A227" s="59"/>
      <c r="B227" s="59"/>
      <c r="C227" s="59"/>
      <c r="D227" s="59"/>
      <c r="E227" s="59"/>
      <c r="F227" s="59"/>
      <c r="G227" s="59"/>
      <c r="H227" s="178"/>
      <c r="I227" s="178"/>
      <c r="J227" s="59"/>
      <c r="K227" s="59"/>
      <c r="L227" s="59"/>
      <c r="M227" s="59"/>
      <c r="N227" s="59"/>
      <c r="O227" s="59"/>
      <c r="P227" s="59"/>
      <c r="Q227" s="59"/>
      <c r="R227" s="59"/>
      <c r="S227" s="59"/>
      <c r="T227" s="59"/>
      <c r="U227" s="59"/>
      <c r="V227" s="59"/>
      <c r="W227" s="59"/>
      <c r="X227" s="59"/>
      <c r="Y227" s="59"/>
    </row>
    <row r="228" ht="35.25" customHeight="1">
      <c r="A228" s="59"/>
      <c r="B228" s="59"/>
      <c r="C228" s="59"/>
      <c r="D228" s="59"/>
      <c r="E228" s="59"/>
      <c r="F228" s="59"/>
      <c r="G228" s="59"/>
      <c r="H228" s="178"/>
      <c r="I228" s="178"/>
      <c r="J228" s="59"/>
      <c r="K228" s="59"/>
      <c r="L228" s="59"/>
      <c r="M228" s="59"/>
      <c r="N228" s="59"/>
      <c r="O228" s="59"/>
      <c r="P228" s="59"/>
      <c r="Q228" s="59"/>
      <c r="R228" s="59"/>
      <c r="S228" s="59"/>
      <c r="T228" s="59"/>
      <c r="U228" s="59"/>
      <c r="V228" s="59"/>
      <c r="W228" s="59"/>
      <c r="X228" s="59"/>
      <c r="Y228" s="59"/>
    </row>
    <row r="229" ht="35.25" customHeight="1">
      <c r="A229" s="59"/>
      <c r="B229" s="59"/>
      <c r="C229" s="59"/>
      <c r="D229" s="59"/>
      <c r="E229" s="59"/>
      <c r="F229" s="59"/>
      <c r="G229" s="59"/>
      <c r="H229" s="178"/>
      <c r="I229" s="178"/>
      <c r="J229" s="59"/>
      <c r="K229" s="59"/>
      <c r="L229" s="59"/>
      <c r="M229" s="59"/>
      <c r="N229" s="59"/>
      <c r="O229" s="59"/>
      <c r="P229" s="59"/>
      <c r="Q229" s="59"/>
      <c r="R229" s="59"/>
      <c r="S229" s="59"/>
      <c r="T229" s="59"/>
      <c r="U229" s="59"/>
      <c r="V229" s="59"/>
      <c r="W229" s="59"/>
      <c r="X229" s="59"/>
      <c r="Y229" s="59"/>
    </row>
    <row r="230" ht="35.25" customHeight="1">
      <c r="A230" s="59"/>
      <c r="B230" s="59"/>
      <c r="C230" s="59"/>
      <c r="D230" s="59"/>
      <c r="E230" s="59"/>
      <c r="F230" s="59"/>
      <c r="G230" s="59"/>
      <c r="H230" s="178"/>
      <c r="I230" s="178"/>
      <c r="J230" s="59"/>
      <c r="K230" s="59"/>
      <c r="L230" s="59"/>
      <c r="M230" s="59"/>
      <c r="N230" s="59"/>
      <c r="O230" s="59"/>
      <c r="P230" s="59"/>
      <c r="Q230" s="59"/>
      <c r="R230" s="59"/>
      <c r="S230" s="59"/>
      <c r="T230" s="59"/>
      <c r="U230" s="59"/>
      <c r="V230" s="59"/>
      <c r="W230" s="59"/>
      <c r="X230" s="59"/>
      <c r="Y230" s="59"/>
    </row>
    <row r="231" ht="35.25" customHeight="1">
      <c r="A231" s="59"/>
      <c r="B231" s="59"/>
      <c r="C231" s="59"/>
      <c r="D231" s="59"/>
      <c r="E231" s="59"/>
      <c r="F231" s="59"/>
      <c r="G231" s="59"/>
      <c r="H231" s="178"/>
      <c r="I231" s="178"/>
      <c r="J231" s="59"/>
      <c r="K231" s="59"/>
      <c r="L231" s="59"/>
      <c r="M231" s="59"/>
      <c r="N231" s="59"/>
      <c r="O231" s="59"/>
      <c r="P231" s="59"/>
      <c r="Q231" s="59"/>
      <c r="R231" s="59"/>
      <c r="S231" s="59"/>
      <c r="T231" s="59"/>
      <c r="U231" s="59"/>
      <c r="V231" s="59"/>
      <c r="W231" s="59"/>
      <c r="X231" s="59"/>
      <c r="Y231" s="59"/>
    </row>
    <row r="232" ht="35.25" customHeight="1">
      <c r="A232" s="59"/>
      <c r="B232" s="59"/>
      <c r="C232" s="59"/>
      <c r="D232" s="59"/>
      <c r="E232" s="59"/>
      <c r="F232" s="59"/>
      <c r="G232" s="59"/>
      <c r="H232" s="178"/>
      <c r="I232" s="178"/>
      <c r="J232" s="59"/>
      <c r="K232" s="59"/>
      <c r="L232" s="59"/>
      <c r="M232" s="59"/>
      <c r="N232" s="59"/>
      <c r="O232" s="59"/>
      <c r="P232" s="59"/>
      <c r="Q232" s="59"/>
      <c r="R232" s="59"/>
      <c r="S232" s="59"/>
      <c r="T232" s="59"/>
      <c r="U232" s="59"/>
      <c r="V232" s="59"/>
      <c r="W232" s="59"/>
      <c r="X232" s="59"/>
      <c r="Y232" s="59"/>
    </row>
    <row r="233" ht="35.25" customHeight="1">
      <c r="A233" s="59"/>
      <c r="B233" s="59"/>
      <c r="C233" s="59"/>
      <c r="D233" s="59"/>
      <c r="E233" s="59"/>
      <c r="F233" s="59"/>
      <c r="G233" s="59"/>
      <c r="H233" s="178"/>
      <c r="I233" s="178"/>
      <c r="J233" s="59"/>
      <c r="K233" s="59"/>
      <c r="L233" s="59"/>
      <c r="M233" s="59"/>
      <c r="N233" s="59"/>
      <c r="O233" s="59"/>
      <c r="P233" s="59"/>
      <c r="Q233" s="59"/>
      <c r="R233" s="59"/>
      <c r="S233" s="59"/>
      <c r="T233" s="59"/>
      <c r="U233" s="59"/>
      <c r="V233" s="59"/>
      <c r="W233" s="59"/>
      <c r="X233" s="59"/>
      <c r="Y233" s="59"/>
    </row>
    <row r="234" ht="35.25" customHeight="1">
      <c r="A234" s="59"/>
      <c r="B234" s="59"/>
      <c r="C234" s="59"/>
      <c r="D234" s="59"/>
      <c r="E234" s="59"/>
      <c r="F234" s="59"/>
      <c r="G234" s="59"/>
      <c r="H234" s="178"/>
      <c r="I234" s="178"/>
      <c r="J234" s="59"/>
      <c r="K234" s="59"/>
      <c r="L234" s="59"/>
      <c r="M234" s="59"/>
      <c r="N234" s="59"/>
      <c r="O234" s="59"/>
      <c r="P234" s="59"/>
      <c r="Q234" s="59"/>
      <c r="R234" s="59"/>
      <c r="S234" s="59"/>
      <c r="T234" s="59"/>
      <c r="U234" s="59"/>
      <c r="V234" s="59"/>
      <c r="W234" s="59"/>
      <c r="X234" s="59"/>
      <c r="Y234" s="59"/>
    </row>
    <row r="235" ht="35.25" customHeight="1">
      <c r="A235" s="59"/>
      <c r="B235" s="59"/>
      <c r="C235" s="59"/>
      <c r="D235" s="59"/>
      <c r="E235" s="59"/>
      <c r="F235" s="59"/>
      <c r="G235" s="59"/>
      <c r="H235" s="178"/>
      <c r="I235" s="178"/>
      <c r="J235" s="59"/>
      <c r="K235" s="59"/>
      <c r="L235" s="59"/>
      <c r="M235" s="59"/>
      <c r="N235" s="59"/>
      <c r="O235" s="59"/>
      <c r="P235" s="59"/>
      <c r="Q235" s="59"/>
      <c r="R235" s="59"/>
      <c r="S235" s="59"/>
      <c r="T235" s="59"/>
      <c r="U235" s="59"/>
      <c r="V235" s="59"/>
      <c r="W235" s="59"/>
      <c r="X235" s="59"/>
      <c r="Y235" s="59"/>
    </row>
    <row r="236" ht="35.25" customHeight="1">
      <c r="A236" s="59"/>
      <c r="B236" s="59"/>
      <c r="C236" s="59"/>
      <c r="D236" s="59"/>
      <c r="E236" s="59"/>
      <c r="F236" s="59"/>
      <c r="G236" s="59"/>
      <c r="H236" s="178"/>
      <c r="I236" s="178"/>
      <c r="J236" s="59"/>
      <c r="K236" s="59"/>
      <c r="L236" s="59"/>
      <c r="M236" s="59"/>
      <c r="N236" s="59"/>
      <c r="O236" s="59"/>
      <c r="P236" s="59"/>
      <c r="Q236" s="59"/>
      <c r="R236" s="59"/>
      <c r="S236" s="59"/>
      <c r="T236" s="59"/>
      <c r="U236" s="59"/>
      <c r="V236" s="59"/>
      <c r="W236" s="59"/>
      <c r="X236" s="59"/>
      <c r="Y236" s="59"/>
    </row>
    <row r="237" ht="35.25" customHeight="1">
      <c r="A237" s="59"/>
      <c r="B237" s="59"/>
      <c r="C237" s="59"/>
      <c r="D237" s="59"/>
      <c r="E237" s="59"/>
      <c r="F237" s="59"/>
      <c r="G237" s="59"/>
      <c r="H237" s="178"/>
      <c r="I237" s="178"/>
      <c r="J237" s="59"/>
      <c r="K237" s="59"/>
      <c r="L237" s="59"/>
      <c r="M237" s="59"/>
      <c r="N237" s="59"/>
      <c r="O237" s="59"/>
      <c r="P237" s="59"/>
      <c r="Q237" s="59"/>
      <c r="R237" s="59"/>
      <c r="S237" s="59"/>
      <c r="T237" s="59"/>
      <c r="U237" s="59"/>
      <c r="V237" s="59"/>
      <c r="W237" s="59"/>
      <c r="X237" s="59"/>
      <c r="Y237" s="59"/>
    </row>
    <row r="238" ht="35.25" customHeight="1">
      <c r="A238" s="59"/>
      <c r="B238" s="59"/>
      <c r="C238" s="59"/>
      <c r="D238" s="59"/>
      <c r="E238" s="59"/>
      <c r="F238" s="59"/>
      <c r="G238" s="59"/>
      <c r="H238" s="178"/>
      <c r="I238" s="178"/>
      <c r="J238" s="59"/>
      <c r="K238" s="59"/>
      <c r="L238" s="59"/>
      <c r="M238" s="59"/>
      <c r="N238" s="59"/>
      <c r="O238" s="59"/>
      <c r="P238" s="59"/>
      <c r="Q238" s="59"/>
      <c r="R238" s="59"/>
      <c r="S238" s="59"/>
      <c r="T238" s="59"/>
      <c r="U238" s="59"/>
      <c r="V238" s="59"/>
      <c r="W238" s="59"/>
      <c r="X238" s="59"/>
      <c r="Y238" s="59"/>
    </row>
    <row r="239" ht="35.25" customHeight="1">
      <c r="A239" s="59"/>
      <c r="B239" s="59"/>
      <c r="C239" s="59"/>
      <c r="D239" s="59"/>
      <c r="E239" s="59"/>
      <c r="F239" s="59"/>
      <c r="G239" s="59"/>
      <c r="H239" s="178"/>
      <c r="I239" s="178"/>
      <c r="J239" s="59"/>
      <c r="K239" s="59"/>
      <c r="L239" s="59"/>
      <c r="M239" s="59"/>
      <c r="N239" s="59"/>
      <c r="O239" s="59"/>
      <c r="P239" s="59"/>
      <c r="Q239" s="59"/>
      <c r="R239" s="59"/>
      <c r="S239" s="59"/>
      <c r="T239" s="59"/>
      <c r="U239" s="59"/>
      <c r="V239" s="59"/>
      <c r="W239" s="59"/>
      <c r="X239" s="59"/>
      <c r="Y239" s="59"/>
    </row>
    <row r="240" ht="35.25" customHeight="1">
      <c r="A240" s="59"/>
      <c r="B240" s="59"/>
      <c r="C240" s="59"/>
      <c r="D240" s="59"/>
      <c r="E240" s="59"/>
      <c r="F240" s="59"/>
      <c r="G240" s="59"/>
      <c r="H240" s="178"/>
      <c r="I240" s="178"/>
      <c r="J240" s="59"/>
      <c r="K240" s="59"/>
      <c r="L240" s="59"/>
      <c r="M240" s="59"/>
      <c r="N240" s="59"/>
      <c r="O240" s="59"/>
      <c r="P240" s="59"/>
      <c r="Q240" s="59"/>
      <c r="R240" s="59"/>
      <c r="S240" s="59"/>
      <c r="T240" s="59"/>
      <c r="U240" s="59"/>
      <c r="V240" s="59"/>
      <c r="W240" s="59"/>
      <c r="X240" s="59"/>
      <c r="Y240" s="59"/>
    </row>
    <row r="241" ht="35.25" customHeight="1">
      <c r="A241" s="59"/>
      <c r="B241" s="59"/>
      <c r="C241" s="59"/>
      <c r="D241" s="59"/>
      <c r="E241" s="59"/>
      <c r="F241" s="59"/>
      <c r="G241" s="59"/>
      <c r="H241" s="178"/>
      <c r="I241" s="178"/>
      <c r="J241" s="59"/>
      <c r="K241" s="59"/>
      <c r="L241" s="59"/>
      <c r="M241" s="59"/>
      <c r="N241" s="59"/>
      <c r="O241" s="59"/>
      <c r="P241" s="59"/>
      <c r="Q241" s="59"/>
      <c r="R241" s="59"/>
      <c r="S241" s="59"/>
      <c r="T241" s="59"/>
      <c r="U241" s="59"/>
      <c r="V241" s="59"/>
      <c r="W241" s="59"/>
      <c r="X241" s="59"/>
      <c r="Y241" s="59"/>
    </row>
    <row r="242" ht="35.25" customHeight="1">
      <c r="A242" s="59"/>
      <c r="B242" s="59"/>
      <c r="C242" s="59"/>
      <c r="D242" s="59"/>
      <c r="E242" s="59"/>
      <c r="F242" s="59"/>
      <c r="G242" s="59"/>
      <c r="H242" s="178"/>
      <c r="I242" s="178"/>
      <c r="J242" s="59"/>
      <c r="K242" s="59"/>
      <c r="L242" s="59"/>
      <c r="M242" s="59"/>
      <c r="N242" s="59"/>
      <c r="O242" s="59"/>
      <c r="P242" s="59"/>
      <c r="Q242" s="59"/>
      <c r="R242" s="59"/>
      <c r="S242" s="59"/>
      <c r="T242" s="59"/>
      <c r="U242" s="59"/>
      <c r="V242" s="59"/>
      <c r="W242" s="59"/>
      <c r="X242" s="59"/>
      <c r="Y242" s="59"/>
    </row>
    <row r="243" ht="35.25" customHeight="1">
      <c r="A243" s="59"/>
      <c r="B243" s="59"/>
      <c r="C243" s="59"/>
      <c r="D243" s="59"/>
      <c r="E243" s="59"/>
      <c r="F243" s="59"/>
      <c r="G243" s="59"/>
      <c r="H243" s="178"/>
      <c r="I243" s="178"/>
      <c r="J243" s="59"/>
      <c r="K243" s="59"/>
      <c r="L243" s="59"/>
      <c r="M243" s="59"/>
      <c r="N243" s="59"/>
      <c r="O243" s="59"/>
      <c r="P243" s="59"/>
      <c r="Q243" s="59"/>
      <c r="R243" s="59"/>
      <c r="S243" s="59"/>
      <c r="T243" s="59"/>
      <c r="U243" s="59"/>
      <c r="V243" s="59"/>
      <c r="W243" s="59"/>
      <c r="X243" s="59"/>
      <c r="Y243" s="59"/>
    </row>
    <row r="244" ht="35.25" customHeight="1">
      <c r="A244" s="59"/>
      <c r="B244" s="59"/>
      <c r="C244" s="59"/>
      <c r="D244" s="59"/>
      <c r="E244" s="59"/>
      <c r="F244" s="59"/>
      <c r="G244" s="59"/>
      <c r="H244" s="178"/>
      <c r="I244" s="178"/>
      <c r="J244" s="59"/>
      <c r="K244" s="59"/>
      <c r="L244" s="59"/>
      <c r="M244" s="59"/>
      <c r="N244" s="59"/>
      <c r="O244" s="59"/>
      <c r="P244" s="59"/>
      <c r="Q244" s="59"/>
      <c r="R244" s="59"/>
      <c r="S244" s="59"/>
      <c r="T244" s="59"/>
      <c r="U244" s="59"/>
      <c r="V244" s="59"/>
      <c r="W244" s="59"/>
      <c r="X244" s="59"/>
      <c r="Y244" s="59"/>
    </row>
    <row r="245" ht="35.25" customHeight="1">
      <c r="A245" s="59"/>
      <c r="B245" s="59"/>
      <c r="C245" s="59"/>
      <c r="D245" s="59"/>
      <c r="E245" s="59"/>
      <c r="F245" s="59"/>
      <c r="G245" s="59"/>
      <c r="H245" s="178"/>
      <c r="I245" s="178"/>
      <c r="J245" s="59"/>
      <c r="K245" s="59"/>
      <c r="L245" s="59"/>
      <c r="M245" s="59"/>
      <c r="N245" s="59"/>
      <c r="O245" s="59"/>
      <c r="P245" s="59"/>
      <c r="Q245" s="59"/>
      <c r="R245" s="59"/>
      <c r="S245" s="59"/>
      <c r="T245" s="59"/>
      <c r="U245" s="59"/>
      <c r="V245" s="59"/>
      <c r="W245" s="59"/>
      <c r="X245" s="59"/>
      <c r="Y245" s="59"/>
    </row>
    <row r="246" ht="35.25" customHeight="1">
      <c r="A246" s="59"/>
      <c r="B246" s="59"/>
      <c r="C246" s="59"/>
      <c r="D246" s="59"/>
      <c r="E246" s="59"/>
      <c r="F246" s="59"/>
      <c r="G246" s="59"/>
      <c r="H246" s="178"/>
      <c r="I246" s="178"/>
      <c r="J246" s="59"/>
      <c r="K246" s="59"/>
      <c r="L246" s="59"/>
      <c r="M246" s="59"/>
      <c r="N246" s="59"/>
      <c r="O246" s="59"/>
      <c r="P246" s="59"/>
      <c r="Q246" s="59"/>
      <c r="R246" s="59"/>
      <c r="S246" s="59"/>
      <c r="T246" s="59"/>
      <c r="U246" s="59"/>
      <c r="V246" s="59"/>
      <c r="W246" s="59"/>
      <c r="X246" s="59"/>
      <c r="Y246" s="59"/>
    </row>
    <row r="247" ht="35.25" customHeight="1">
      <c r="A247" s="59"/>
      <c r="B247" s="59"/>
      <c r="C247" s="59"/>
      <c r="D247" s="59"/>
      <c r="E247" s="59"/>
      <c r="F247" s="59"/>
      <c r="G247" s="59"/>
      <c r="H247" s="178"/>
      <c r="I247" s="178"/>
      <c r="J247" s="59"/>
      <c r="K247" s="59"/>
      <c r="L247" s="59"/>
      <c r="M247" s="59"/>
      <c r="N247" s="59"/>
      <c r="O247" s="59"/>
      <c r="P247" s="59"/>
      <c r="Q247" s="59"/>
      <c r="R247" s="59"/>
      <c r="S247" s="59"/>
      <c r="T247" s="59"/>
      <c r="U247" s="59"/>
      <c r="V247" s="59"/>
      <c r="W247" s="59"/>
      <c r="X247" s="59"/>
      <c r="Y247" s="59"/>
    </row>
    <row r="248" ht="35.25" customHeight="1">
      <c r="A248" s="59"/>
      <c r="B248" s="59"/>
      <c r="C248" s="59"/>
      <c r="D248" s="59"/>
      <c r="E248" s="59"/>
      <c r="F248" s="59"/>
      <c r="G248" s="59"/>
      <c r="H248" s="178"/>
      <c r="I248" s="178"/>
      <c r="J248" s="59"/>
      <c r="K248" s="59"/>
      <c r="L248" s="59"/>
      <c r="M248" s="59"/>
      <c r="N248" s="59"/>
      <c r="O248" s="59"/>
      <c r="P248" s="59"/>
      <c r="Q248" s="59"/>
      <c r="R248" s="59"/>
      <c r="S248" s="59"/>
      <c r="T248" s="59"/>
      <c r="U248" s="59"/>
      <c r="V248" s="59"/>
      <c r="W248" s="59"/>
      <c r="X248" s="59"/>
      <c r="Y248" s="59"/>
    </row>
    <row r="249" ht="35.25" customHeight="1">
      <c r="A249" s="59"/>
      <c r="B249" s="59"/>
      <c r="C249" s="59"/>
      <c r="D249" s="59"/>
      <c r="E249" s="59"/>
      <c r="F249" s="59"/>
      <c r="G249" s="59"/>
      <c r="H249" s="178"/>
      <c r="I249" s="178"/>
      <c r="J249" s="59"/>
      <c r="K249" s="59"/>
      <c r="L249" s="59"/>
      <c r="M249" s="59"/>
      <c r="N249" s="59"/>
      <c r="O249" s="59"/>
      <c r="P249" s="59"/>
      <c r="Q249" s="59"/>
      <c r="R249" s="59"/>
      <c r="S249" s="59"/>
      <c r="T249" s="59"/>
      <c r="U249" s="59"/>
      <c r="V249" s="59"/>
      <c r="W249" s="59"/>
      <c r="X249" s="59"/>
      <c r="Y249" s="59"/>
    </row>
    <row r="250" ht="35.25" customHeight="1">
      <c r="A250" s="59"/>
      <c r="B250" s="59"/>
      <c r="C250" s="59"/>
      <c r="D250" s="59"/>
      <c r="E250" s="59"/>
      <c r="F250" s="59"/>
      <c r="G250" s="59"/>
      <c r="H250" s="178"/>
      <c r="I250" s="178"/>
      <c r="J250" s="59"/>
      <c r="K250" s="59"/>
      <c r="L250" s="59"/>
      <c r="M250" s="59"/>
      <c r="N250" s="59"/>
      <c r="O250" s="59"/>
      <c r="P250" s="59"/>
      <c r="Q250" s="59"/>
      <c r="R250" s="59"/>
      <c r="S250" s="59"/>
      <c r="T250" s="59"/>
      <c r="U250" s="59"/>
      <c r="V250" s="59"/>
      <c r="W250" s="59"/>
      <c r="X250" s="59"/>
      <c r="Y250" s="59"/>
    </row>
    <row r="251" ht="35.25" customHeight="1">
      <c r="A251" s="59"/>
      <c r="B251" s="59"/>
      <c r="C251" s="59"/>
      <c r="D251" s="59"/>
      <c r="E251" s="59"/>
      <c r="F251" s="59"/>
      <c r="G251" s="59"/>
      <c r="H251" s="178"/>
      <c r="I251" s="178"/>
      <c r="J251" s="59"/>
      <c r="K251" s="59"/>
      <c r="L251" s="59"/>
      <c r="M251" s="59"/>
      <c r="N251" s="59"/>
      <c r="O251" s="59"/>
      <c r="P251" s="59"/>
      <c r="Q251" s="59"/>
      <c r="R251" s="59"/>
      <c r="S251" s="59"/>
      <c r="T251" s="59"/>
      <c r="U251" s="59"/>
      <c r="V251" s="59"/>
      <c r="W251" s="59"/>
      <c r="X251" s="59"/>
      <c r="Y251" s="59"/>
    </row>
    <row r="252" ht="35.25" customHeight="1">
      <c r="A252" s="59"/>
      <c r="B252" s="59"/>
      <c r="C252" s="59"/>
      <c r="D252" s="59"/>
      <c r="E252" s="59"/>
      <c r="F252" s="59"/>
      <c r="G252" s="59"/>
      <c r="H252" s="178"/>
      <c r="I252" s="178"/>
      <c r="J252" s="59"/>
      <c r="K252" s="59"/>
      <c r="L252" s="59"/>
      <c r="M252" s="59"/>
      <c r="N252" s="59"/>
      <c r="O252" s="59"/>
      <c r="P252" s="59"/>
      <c r="Q252" s="59"/>
      <c r="R252" s="59"/>
      <c r="S252" s="59"/>
      <c r="T252" s="59"/>
      <c r="U252" s="59"/>
      <c r="V252" s="59"/>
      <c r="W252" s="59"/>
      <c r="X252" s="59"/>
      <c r="Y252" s="59"/>
    </row>
    <row r="253" ht="35.25" customHeight="1">
      <c r="A253" s="59"/>
      <c r="B253" s="59"/>
      <c r="C253" s="59"/>
      <c r="D253" s="59"/>
      <c r="E253" s="59"/>
      <c r="F253" s="59"/>
      <c r="G253" s="59"/>
      <c r="H253" s="178"/>
      <c r="I253" s="178"/>
      <c r="J253" s="59"/>
      <c r="K253" s="59"/>
      <c r="L253" s="59"/>
      <c r="M253" s="59"/>
      <c r="N253" s="59"/>
      <c r="O253" s="59"/>
      <c r="P253" s="59"/>
      <c r="Q253" s="59"/>
      <c r="R253" s="59"/>
      <c r="S253" s="59"/>
      <c r="T253" s="59"/>
      <c r="U253" s="59"/>
      <c r="V253" s="59"/>
      <c r="W253" s="59"/>
      <c r="X253" s="59"/>
      <c r="Y253" s="59"/>
    </row>
    <row r="254" ht="35.25" customHeight="1">
      <c r="A254" s="59"/>
      <c r="B254" s="59"/>
      <c r="C254" s="59"/>
      <c r="D254" s="59"/>
      <c r="E254" s="59"/>
      <c r="F254" s="59"/>
      <c r="G254" s="59"/>
      <c r="H254" s="178"/>
      <c r="I254" s="178"/>
      <c r="J254" s="59"/>
      <c r="K254" s="59"/>
      <c r="L254" s="59"/>
      <c r="M254" s="59"/>
      <c r="N254" s="59"/>
      <c r="O254" s="59"/>
      <c r="P254" s="59"/>
      <c r="Q254" s="59"/>
      <c r="R254" s="59"/>
      <c r="S254" s="59"/>
      <c r="T254" s="59"/>
      <c r="U254" s="59"/>
      <c r="V254" s="59"/>
      <c r="W254" s="59"/>
      <c r="X254" s="59"/>
      <c r="Y254" s="59"/>
    </row>
    <row r="255" ht="35.25" customHeight="1">
      <c r="A255" s="59"/>
      <c r="B255" s="59"/>
      <c r="C255" s="59"/>
      <c r="D255" s="59"/>
      <c r="E255" s="59"/>
      <c r="F255" s="59"/>
      <c r="G255" s="59"/>
      <c r="H255" s="178"/>
      <c r="I255" s="178"/>
      <c r="J255" s="59"/>
      <c r="K255" s="59"/>
      <c r="L255" s="59"/>
      <c r="M255" s="59"/>
      <c r="N255" s="59"/>
      <c r="O255" s="59"/>
      <c r="P255" s="59"/>
      <c r="Q255" s="59"/>
      <c r="R255" s="59"/>
      <c r="S255" s="59"/>
      <c r="T255" s="59"/>
      <c r="U255" s="59"/>
      <c r="V255" s="59"/>
      <c r="W255" s="59"/>
      <c r="X255" s="59"/>
      <c r="Y255" s="59"/>
    </row>
    <row r="256" ht="35.25" customHeight="1">
      <c r="A256" s="59"/>
      <c r="B256" s="59"/>
      <c r="C256" s="59"/>
      <c r="D256" s="59"/>
      <c r="E256" s="59"/>
      <c r="F256" s="59"/>
      <c r="G256" s="59"/>
      <c r="H256" s="178"/>
      <c r="I256" s="178"/>
      <c r="J256" s="59"/>
      <c r="K256" s="59"/>
      <c r="L256" s="59"/>
      <c r="M256" s="59"/>
      <c r="N256" s="59"/>
      <c r="O256" s="59"/>
      <c r="P256" s="59"/>
      <c r="Q256" s="59"/>
      <c r="R256" s="59"/>
      <c r="S256" s="59"/>
      <c r="T256" s="59"/>
      <c r="U256" s="59"/>
      <c r="V256" s="59"/>
      <c r="W256" s="59"/>
      <c r="X256" s="59"/>
      <c r="Y256" s="59"/>
    </row>
    <row r="257" ht="35.25" customHeight="1">
      <c r="A257" s="59"/>
      <c r="B257" s="59"/>
      <c r="C257" s="59"/>
      <c r="D257" s="59"/>
      <c r="E257" s="59"/>
      <c r="F257" s="59"/>
      <c r="G257" s="59"/>
      <c r="H257" s="178"/>
      <c r="I257" s="178"/>
      <c r="J257" s="59"/>
      <c r="K257" s="59"/>
      <c r="L257" s="59"/>
      <c r="M257" s="59"/>
      <c r="N257" s="59"/>
      <c r="O257" s="59"/>
      <c r="P257" s="59"/>
      <c r="Q257" s="59"/>
      <c r="R257" s="59"/>
      <c r="S257" s="59"/>
      <c r="T257" s="59"/>
      <c r="U257" s="59"/>
      <c r="V257" s="59"/>
      <c r="W257" s="59"/>
      <c r="X257" s="59"/>
      <c r="Y257" s="59"/>
    </row>
    <row r="258" ht="35.25" customHeight="1">
      <c r="A258" s="59"/>
      <c r="B258" s="59"/>
      <c r="C258" s="59"/>
      <c r="D258" s="59"/>
      <c r="E258" s="59"/>
      <c r="F258" s="59"/>
      <c r="G258" s="59"/>
      <c r="H258" s="178"/>
      <c r="I258" s="178"/>
      <c r="J258" s="59"/>
      <c r="K258" s="59"/>
      <c r="L258" s="59"/>
      <c r="M258" s="59"/>
      <c r="N258" s="59"/>
      <c r="O258" s="59"/>
      <c r="P258" s="59"/>
      <c r="Q258" s="59"/>
      <c r="R258" s="59"/>
      <c r="S258" s="59"/>
      <c r="T258" s="59"/>
      <c r="U258" s="59"/>
      <c r="V258" s="59"/>
      <c r="W258" s="59"/>
      <c r="X258" s="59"/>
      <c r="Y258" s="59"/>
    </row>
    <row r="259" ht="35.25" customHeight="1">
      <c r="A259" s="59"/>
      <c r="B259" s="59"/>
      <c r="C259" s="59"/>
      <c r="D259" s="59"/>
      <c r="E259" s="59"/>
      <c r="F259" s="59"/>
      <c r="G259" s="59"/>
      <c r="H259" s="178"/>
      <c r="I259" s="178"/>
      <c r="J259" s="59"/>
      <c r="K259" s="59"/>
      <c r="L259" s="59"/>
      <c r="M259" s="59"/>
      <c r="N259" s="59"/>
      <c r="O259" s="59"/>
      <c r="P259" s="59"/>
      <c r="Q259" s="59"/>
      <c r="R259" s="59"/>
      <c r="S259" s="59"/>
      <c r="T259" s="59"/>
      <c r="U259" s="59"/>
      <c r="V259" s="59"/>
      <c r="W259" s="59"/>
      <c r="X259" s="59"/>
      <c r="Y259" s="59"/>
    </row>
    <row r="260" ht="35.25" customHeight="1">
      <c r="A260" s="59"/>
      <c r="B260" s="59"/>
      <c r="C260" s="59"/>
      <c r="D260" s="59"/>
      <c r="E260" s="59"/>
      <c r="F260" s="59"/>
      <c r="G260" s="59"/>
      <c r="H260" s="178"/>
      <c r="I260" s="178"/>
      <c r="J260" s="59"/>
      <c r="K260" s="59"/>
      <c r="L260" s="59"/>
      <c r="M260" s="59"/>
      <c r="N260" s="59"/>
      <c r="O260" s="59"/>
      <c r="P260" s="59"/>
      <c r="Q260" s="59"/>
      <c r="R260" s="59"/>
      <c r="S260" s="59"/>
      <c r="T260" s="59"/>
      <c r="U260" s="59"/>
      <c r="V260" s="59"/>
      <c r="W260" s="59"/>
      <c r="X260" s="59"/>
      <c r="Y260" s="59"/>
    </row>
    <row r="261" ht="35.25" customHeight="1">
      <c r="A261" s="59"/>
      <c r="B261" s="59"/>
      <c r="C261" s="59"/>
      <c r="D261" s="59"/>
      <c r="E261" s="59"/>
      <c r="F261" s="59"/>
      <c r="G261" s="59"/>
      <c r="H261" s="178"/>
      <c r="I261" s="178"/>
      <c r="J261" s="59"/>
      <c r="K261" s="59"/>
      <c r="L261" s="59"/>
      <c r="M261" s="59"/>
      <c r="N261" s="59"/>
      <c r="O261" s="59"/>
      <c r="P261" s="59"/>
      <c r="Q261" s="59"/>
      <c r="R261" s="59"/>
      <c r="S261" s="59"/>
      <c r="T261" s="59"/>
      <c r="U261" s="59"/>
      <c r="V261" s="59"/>
      <c r="W261" s="59"/>
      <c r="X261" s="59"/>
      <c r="Y261" s="59"/>
    </row>
    <row r="262" ht="35.25" customHeight="1">
      <c r="A262" s="59"/>
      <c r="B262" s="59"/>
      <c r="C262" s="59"/>
      <c r="D262" s="59"/>
      <c r="E262" s="59"/>
      <c r="F262" s="59"/>
      <c r="G262" s="59"/>
      <c r="H262" s="178"/>
      <c r="I262" s="178"/>
      <c r="J262" s="59"/>
      <c r="K262" s="59"/>
      <c r="L262" s="59"/>
      <c r="M262" s="59"/>
      <c r="N262" s="59"/>
      <c r="O262" s="59"/>
      <c r="P262" s="59"/>
      <c r="Q262" s="59"/>
      <c r="R262" s="59"/>
      <c r="S262" s="59"/>
      <c r="T262" s="59"/>
      <c r="U262" s="59"/>
      <c r="V262" s="59"/>
      <c r="W262" s="59"/>
      <c r="X262" s="59"/>
      <c r="Y262" s="59"/>
    </row>
    <row r="263" ht="35.25" customHeight="1">
      <c r="A263" s="59"/>
      <c r="B263" s="59"/>
      <c r="C263" s="59"/>
      <c r="D263" s="59"/>
      <c r="E263" s="59"/>
      <c r="F263" s="59"/>
      <c r="G263" s="59"/>
      <c r="H263" s="178"/>
      <c r="I263" s="178"/>
      <c r="J263" s="59"/>
      <c r="K263" s="59"/>
      <c r="L263" s="59"/>
      <c r="M263" s="59"/>
      <c r="N263" s="59"/>
      <c r="O263" s="59"/>
      <c r="P263" s="59"/>
      <c r="Q263" s="59"/>
      <c r="R263" s="59"/>
      <c r="S263" s="59"/>
      <c r="T263" s="59"/>
      <c r="U263" s="59"/>
      <c r="V263" s="59"/>
      <c r="W263" s="59"/>
      <c r="X263" s="59"/>
      <c r="Y263" s="59"/>
    </row>
    <row r="264" ht="35.25" customHeight="1">
      <c r="A264" s="59"/>
      <c r="B264" s="59"/>
      <c r="C264" s="59"/>
      <c r="D264" s="59"/>
      <c r="E264" s="59"/>
      <c r="F264" s="59"/>
      <c r="G264" s="59"/>
      <c r="H264" s="178"/>
      <c r="I264" s="178"/>
      <c r="J264" s="59"/>
      <c r="K264" s="59"/>
      <c r="L264" s="59"/>
      <c r="M264" s="59"/>
      <c r="N264" s="59"/>
      <c r="O264" s="59"/>
      <c r="P264" s="59"/>
      <c r="Q264" s="59"/>
      <c r="R264" s="59"/>
      <c r="S264" s="59"/>
      <c r="T264" s="59"/>
      <c r="U264" s="59"/>
      <c r="V264" s="59"/>
      <c r="W264" s="59"/>
      <c r="X264" s="59"/>
      <c r="Y264" s="59"/>
    </row>
    <row r="265" ht="35.25" customHeight="1">
      <c r="A265" s="59"/>
      <c r="B265" s="59"/>
      <c r="C265" s="59"/>
      <c r="D265" s="59"/>
      <c r="E265" s="59"/>
      <c r="F265" s="59"/>
      <c r="G265" s="59"/>
      <c r="H265" s="178"/>
      <c r="I265" s="178"/>
      <c r="J265" s="59"/>
      <c r="K265" s="59"/>
      <c r="L265" s="59"/>
      <c r="M265" s="59"/>
      <c r="N265" s="59"/>
      <c r="O265" s="59"/>
      <c r="P265" s="59"/>
      <c r="Q265" s="59"/>
      <c r="R265" s="59"/>
      <c r="S265" s="59"/>
      <c r="T265" s="59"/>
      <c r="U265" s="59"/>
      <c r="V265" s="59"/>
      <c r="W265" s="59"/>
      <c r="X265" s="59"/>
      <c r="Y265" s="59"/>
    </row>
    <row r="266" ht="35.25" customHeight="1">
      <c r="A266" s="59"/>
      <c r="B266" s="59"/>
      <c r="C266" s="59"/>
      <c r="D266" s="59"/>
      <c r="E266" s="59"/>
      <c r="F266" s="59"/>
      <c r="G266" s="59"/>
      <c r="H266" s="178"/>
      <c r="I266" s="178"/>
      <c r="J266" s="59"/>
      <c r="K266" s="59"/>
      <c r="L266" s="59"/>
      <c r="M266" s="59"/>
      <c r="N266" s="59"/>
      <c r="O266" s="59"/>
      <c r="P266" s="59"/>
      <c r="Q266" s="59"/>
      <c r="R266" s="59"/>
      <c r="S266" s="59"/>
      <c r="T266" s="59"/>
      <c r="U266" s="59"/>
      <c r="V266" s="59"/>
      <c r="W266" s="59"/>
      <c r="X266" s="59"/>
      <c r="Y266" s="59"/>
    </row>
    <row r="267" ht="35.25" customHeight="1">
      <c r="A267" s="59"/>
      <c r="B267" s="59"/>
      <c r="C267" s="59"/>
      <c r="D267" s="59"/>
      <c r="E267" s="59"/>
      <c r="F267" s="59"/>
      <c r="G267" s="59"/>
      <c r="H267" s="178"/>
      <c r="I267" s="178"/>
      <c r="J267" s="59"/>
      <c r="K267" s="59"/>
      <c r="L267" s="59"/>
      <c r="M267" s="59"/>
      <c r="N267" s="59"/>
      <c r="O267" s="59"/>
      <c r="P267" s="59"/>
      <c r="Q267" s="59"/>
      <c r="R267" s="59"/>
      <c r="S267" s="59"/>
      <c r="T267" s="59"/>
      <c r="U267" s="59"/>
      <c r="V267" s="59"/>
      <c r="W267" s="59"/>
      <c r="X267" s="59"/>
      <c r="Y267" s="59"/>
    </row>
    <row r="268" ht="35.25" customHeight="1">
      <c r="A268" s="59"/>
      <c r="B268" s="59"/>
      <c r="C268" s="59"/>
      <c r="D268" s="59"/>
      <c r="E268" s="59"/>
      <c r="F268" s="59"/>
      <c r="G268" s="59"/>
      <c r="H268" s="178"/>
      <c r="I268" s="178"/>
      <c r="J268" s="59"/>
      <c r="K268" s="59"/>
      <c r="L268" s="59"/>
      <c r="M268" s="59"/>
      <c r="N268" s="59"/>
      <c r="O268" s="59"/>
      <c r="P268" s="59"/>
      <c r="Q268" s="59"/>
      <c r="R268" s="59"/>
      <c r="S268" s="59"/>
      <c r="T268" s="59"/>
      <c r="U268" s="59"/>
      <c r="V268" s="59"/>
      <c r="W268" s="59"/>
      <c r="X268" s="59"/>
      <c r="Y268" s="59"/>
    </row>
    <row r="269" ht="35.25" customHeight="1">
      <c r="A269" s="59"/>
      <c r="B269" s="59"/>
      <c r="C269" s="59"/>
      <c r="D269" s="59"/>
      <c r="E269" s="59"/>
      <c r="F269" s="59"/>
      <c r="G269" s="59"/>
      <c r="H269" s="178"/>
      <c r="I269" s="178"/>
      <c r="J269" s="59"/>
      <c r="K269" s="59"/>
      <c r="L269" s="59"/>
      <c r="M269" s="59"/>
      <c r="N269" s="59"/>
      <c r="O269" s="59"/>
      <c r="P269" s="59"/>
      <c r="Q269" s="59"/>
      <c r="R269" s="59"/>
      <c r="S269" s="59"/>
      <c r="T269" s="59"/>
      <c r="U269" s="59"/>
      <c r="V269" s="59"/>
      <c r="W269" s="59"/>
      <c r="X269" s="59"/>
      <c r="Y269" s="59"/>
    </row>
    <row r="270" ht="35.25" customHeight="1">
      <c r="A270" s="59"/>
      <c r="B270" s="59"/>
      <c r="C270" s="59"/>
      <c r="D270" s="59"/>
      <c r="E270" s="59"/>
      <c r="F270" s="59"/>
      <c r="G270" s="59"/>
      <c r="H270" s="178"/>
      <c r="I270" s="178"/>
      <c r="J270" s="59"/>
      <c r="K270" s="59"/>
      <c r="L270" s="59"/>
      <c r="M270" s="59"/>
      <c r="N270" s="59"/>
      <c r="O270" s="59"/>
      <c r="P270" s="59"/>
      <c r="Q270" s="59"/>
      <c r="R270" s="59"/>
      <c r="S270" s="59"/>
      <c r="T270" s="59"/>
      <c r="U270" s="59"/>
      <c r="V270" s="59"/>
      <c r="W270" s="59"/>
      <c r="X270" s="59"/>
      <c r="Y270" s="59"/>
    </row>
    <row r="271" ht="35.25" customHeight="1">
      <c r="A271" s="59"/>
      <c r="B271" s="59"/>
      <c r="C271" s="59"/>
      <c r="D271" s="59"/>
      <c r="E271" s="59"/>
      <c r="F271" s="59"/>
      <c r="G271" s="59"/>
      <c r="H271" s="178"/>
      <c r="I271" s="178"/>
      <c r="J271" s="59"/>
      <c r="K271" s="59"/>
      <c r="L271" s="59"/>
      <c r="M271" s="59"/>
      <c r="N271" s="59"/>
      <c r="O271" s="59"/>
      <c r="P271" s="59"/>
      <c r="Q271" s="59"/>
      <c r="R271" s="59"/>
      <c r="S271" s="59"/>
      <c r="T271" s="59"/>
      <c r="U271" s="59"/>
      <c r="V271" s="59"/>
      <c r="W271" s="59"/>
      <c r="X271" s="59"/>
      <c r="Y271" s="59"/>
    </row>
    <row r="272" ht="35.25" customHeight="1">
      <c r="A272" s="59"/>
      <c r="B272" s="59"/>
      <c r="C272" s="59"/>
      <c r="D272" s="59"/>
      <c r="E272" s="59"/>
      <c r="F272" s="59"/>
      <c r="G272" s="59"/>
      <c r="H272" s="178"/>
      <c r="I272" s="178"/>
      <c r="J272" s="59"/>
      <c r="K272" s="59"/>
      <c r="L272" s="59"/>
      <c r="M272" s="59"/>
      <c r="N272" s="59"/>
      <c r="O272" s="59"/>
      <c r="P272" s="59"/>
      <c r="Q272" s="59"/>
      <c r="R272" s="59"/>
      <c r="S272" s="59"/>
      <c r="T272" s="59"/>
      <c r="U272" s="59"/>
      <c r="V272" s="59"/>
      <c r="W272" s="59"/>
      <c r="X272" s="59"/>
      <c r="Y272" s="59"/>
    </row>
    <row r="273" ht="35.25" customHeight="1">
      <c r="A273" s="59"/>
      <c r="B273" s="59"/>
      <c r="C273" s="59"/>
      <c r="D273" s="59"/>
      <c r="E273" s="59"/>
      <c r="F273" s="59"/>
      <c r="G273" s="59"/>
      <c r="H273" s="178"/>
      <c r="I273" s="178"/>
      <c r="J273" s="59"/>
      <c r="K273" s="59"/>
      <c r="L273" s="59"/>
      <c r="M273" s="59"/>
      <c r="N273" s="59"/>
      <c r="O273" s="59"/>
      <c r="P273" s="59"/>
      <c r="Q273" s="59"/>
      <c r="R273" s="59"/>
      <c r="S273" s="59"/>
      <c r="T273" s="59"/>
      <c r="U273" s="59"/>
      <c r="V273" s="59"/>
      <c r="W273" s="59"/>
      <c r="X273" s="59"/>
      <c r="Y273" s="59"/>
    </row>
    <row r="274" ht="35.25" customHeight="1">
      <c r="A274" s="59"/>
      <c r="B274" s="59"/>
      <c r="C274" s="59"/>
      <c r="D274" s="59"/>
      <c r="E274" s="59"/>
      <c r="F274" s="59"/>
      <c r="G274" s="59"/>
      <c r="H274" s="178"/>
      <c r="I274" s="178"/>
      <c r="J274" s="59"/>
      <c r="K274" s="59"/>
      <c r="L274" s="59"/>
      <c r="M274" s="59"/>
      <c r="N274" s="59"/>
      <c r="O274" s="59"/>
      <c r="P274" s="59"/>
      <c r="Q274" s="59"/>
      <c r="R274" s="59"/>
      <c r="S274" s="59"/>
      <c r="T274" s="59"/>
      <c r="U274" s="59"/>
      <c r="V274" s="59"/>
      <c r="W274" s="59"/>
      <c r="X274" s="59"/>
      <c r="Y274" s="59"/>
    </row>
    <row r="275" ht="35.25" customHeight="1">
      <c r="A275" s="59"/>
      <c r="B275" s="59"/>
      <c r="C275" s="59"/>
      <c r="D275" s="59"/>
      <c r="E275" s="59"/>
      <c r="F275" s="59"/>
      <c r="G275" s="59"/>
      <c r="H275" s="178"/>
      <c r="I275" s="178"/>
      <c r="J275" s="59"/>
      <c r="K275" s="59"/>
      <c r="L275" s="59"/>
      <c r="M275" s="59"/>
      <c r="N275" s="59"/>
      <c r="O275" s="59"/>
      <c r="P275" s="59"/>
      <c r="Q275" s="59"/>
      <c r="R275" s="59"/>
      <c r="S275" s="59"/>
      <c r="T275" s="59"/>
      <c r="U275" s="59"/>
      <c r="V275" s="59"/>
      <c r="W275" s="59"/>
      <c r="X275" s="59"/>
      <c r="Y275" s="59"/>
    </row>
    <row r="276" ht="35.25" customHeight="1">
      <c r="A276" s="59"/>
      <c r="B276" s="59"/>
      <c r="C276" s="59"/>
      <c r="D276" s="59"/>
      <c r="E276" s="59"/>
      <c r="F276" s="59"/>
      <c r="G276" s="59"/>
      <c r="H276" s="178"/>
      <c r="I276" s="178"/>
      <c r="J276" s="59"/>
      <c r="K276" s="59"/>
      <c r="L276" s="59"/>
      <c r="M276" s="59"/>
      <c r="N276" s="59"/>
      <c r="O276" s="59"/>
      <c r="P276" s="59"/>
      <c r="Q276" s="59"/>
      <c r="R276" s="59"/>
      <c r="S276" s="59"/>
      <c r="T276" s="59"/>
      <c r="U276" s="59"/>
      <c r="V276" s="59"/>
      <c r="W276" s="59"/>
      <c r="X276" s="59"/>
      <c r="Y276" s="59"/>
    </row>
    <row r="277" ht="35.25" customHeight="1">
      <c r="A277" s="59"/>
      <c r="B277" s="59"/>
      <c r="C277" s="59"/>
      <c r="D277" s="59"/>
      <c r="E277" s="59"/>
      <c r="F277" s="59"/>
      <c r="G277" s="59"/>
      <c r="H277" s="178"/>
      <c r="I277" s="178"/>
      <c r="J277" s="59"/>
      <c r="K277" s="59"/>
      <c r="L277" s="59"/>
      <c r="M277" s="59"/>
      <c r="N277" s="59"/>
      <c r="O277" s="59"/>
      <c r="P277" s="59"/>
      <c r="Q277" s="59"/>
      <c r="R277" s="59"/>
      <c r="S277" s="59"/>
      <c r="T277" s="59"/>
      <c r="U277" s="59"/>
      <c r="V277" s="59"/>
      <c r="W277" s="59"/>
      <c r="X277" s="59"/>
      <c r="Y277" s="59"/>
    </row>
    <row r="278" ht="35.25" customHeight="1">
      <c r="A278" s="59"/>
      <c r="B278" s="59"/>
      <c r="C278" s="59"/>
      <c r="D278" s="59"/>
      <c r="E278" s="59"/>
      <c r="F278" s="59"/>
      <c r="G278" s="59"/>
      <c r="H278" s="178"/>
      <c r="I278" s="178"/>
      <c r="J278" s="59"/>
      <c r="K278" s="59"/>
      <c r="L278" s="59"/>
      <c r="M278" s="59"/>
      <c r="N278" s="59"/>
      <c r="O278" s="59"/>
      <c r="P278" s="59"/>
      <c r="Q278" s="59"/>
      <c r="R278" s="59"/>
      <c r="S278" s="59"/>
      <c r="T278" s="59"/>
      <c r="U278" s="59"/>
      <c r="V278" s="59"/>
      <c r="W278" s="59"/>
      <c r="X278" s="59"/>
      <c r="Y278" s="59"/>
    </row>
    <row r="279" ht="35.25" customHeight="1">
      <c r="A279" s="59"/>
      <c r="B279" s="59"/>
      <c r="C279" s="59"/>
      <c r="D279" s="59"/>
      <c r="E279" s="59"/>
      <c r="F279" s="59"/>
      <c r="G279" s="59"/>
      <c r="H279" s="178"/>
      <c r="I279" s="178"/>
      <c r="J279" s="59"/>
      <c r="K279" s="59"/>
      <c r="L279" s="59"/>
      <c r="M279" s="59"/>
      <c r="N279" s="59"/>
      <c r="O279" s="59"/>
      <c r="P279" s="59"/>
      <c r="Q279" s="59"/>
      <c r="R279" s="59"/>
      <c r="S279" s="59"/>
      <c r="T279" s="59"/>
      <c r="U279" s="59"/>
      <c r="V279" s="59"/>
      <c r="W279" s="59"/>
      <c r="X279" s="59"/>
      <c r="Y279" s="59"/>
    </row>
    <row r="280" ht="35.25" customHeight="1">
      <c r="A280" s="59"/>
      <c r="B280" s="59"/>
      <c r="C280" s="59"/>
      <c r="D280" s="59"/>
      <c r="E280" s="59"/>
      <c r="F280" s="59"/>
      <c r="G280" s="59"/>
      <c r="H280" s="178"/>
      <c r="I280" s="178"/>
      <c r="J280" s="59"/>
      <c r="K280" s="59"/>
      <c r="L280" s="59"/>
      <c r="M280" s="59"/>
      <c r="N280" s="59"/>
      <c r="O280" s="59"/>
      <c r="P280" s="59"/>
      <c r="Q280" s="59"/>
      <c r="R280" s="59"/>
      <c r="S280" s="59"/>
      <c r="T280" s="59"/>
      <c r="U280" s="59"/>
      <c r="V280" s="59"/>
      <c r="W280" s="59"/>
      <c r="X280" s="59"/>
      <c r="Y280" s="59"/>
    </row>
    <row r="281" ht="35.25" customHeight="1">
      <c r="A281" s="59"/>
      <c r="B281" s="59"/>
      <c r="C281" s="59"/>
      <c r="D281" s="59"/>
      <c r="E281" s="59"/>
      <c r="F281" s="59"/>
      <c r="G281" s="59"/>
      <c r="H281" s="178"/>
      <c r="I281" s="178"/>
      <c r="J281" s="59"/>
      <c r="K281" s="59"/>
      <c r="L281" s="59"/>
      <c r="M281" s="59"/>
      <c r="N281" s="59"/>
      <c r="O281" s="59"/>
      <c r="P281" s="59"/>
      <c r="Q281" s="59"/>
      <c r="R281" s="59"/>
      <c r="S281" s="59"/>
      <c r="T281" s="59"/>
      <c r="U281" s="59"/>
      <c r="V281" s="59"/>
      <c r="W281" s="59"/>
      <c r="X281" s="59"/>
      <c r="Y281" s="59"/>
    </row>
    <row r="282" ht="35.25" customHeight="1">
      <c r="A282" s="59"/>
      <c r="B282" s="59"/>
      <c r="C282" s="59"/>
      <c r="D282" s="59"/>
      <c r="E282" s="59"/>
      <c r="F282" s="59"/>
      <c r="G282" s="59"/>
      <c r="H282" s="178"/>
      <c r="I282" s="178"/>
      <c r="J282" s="59"/>
      <c r="K282" s="59"/>
      <c r="L282" s="59"/>
      <c r="M282" s="59"/>
      <c r="N282" s="59"/>
      <c r="O282" s="59"/>
      <c r="P282" s="59"/>
      <c r="Q282" s="59"/>
      <c r="R282" s="59"/>
      <c r="S282" s="59"/>
      <c r="T282" s="59"/>
      <c r="U282" s="59"/>
      <c r="V282" s="59"/>
      <c r="W282" s="59"/>
      <c r="X282" s="59"/>
      <c r="Y282" s="59"/>
    </row>
    <row r="283" ht="35.25" customHeight="1">
      <c r="A283" s="59"/>
      <c r="B283" s="59"/>
      <c r="C283" s="59"/>
      <c r="D283" s="59"/>
      <c r="E283" s="59"/>
      <c r="F283" s="59"/>
      <c r="G283" s="59"/>
      <c r="H283" s="178"/>
      <c r="I283" s="178"/>
      <c r="J283" s="59"/>
      <c r="K283" s="59"/>
      <c r="L283" s="59"/>
      <c r="M283" s="59"/>
      <c r="N283" s="59"/>
      <c r="O283" s="59"/>
      <c r="P283" s="59"/>
      <c r="Q283" s="59"/>
      <c r="R283" s="59"/>
      <c r="S283" s="59"/>
      <c r="T283" s="59"/>
      <c r="U283" s="59"/>
      <c r="V283" s="59"/>
      <c r="W283" s="59"/>
      <c r="X283" s="59"/>
      <c r="Y283" s="59"/>
    </row>
    <row r="284" ht="35.25" customHeight="1">
      <c r="A284" s="59"/>
      <c r="B284" s="59"/>
      <c r="C284" s="59"/>
      <c r="D284" s="59"/>
      <c r="E284" s="59"/>
      <c r="F284" s="59"/>
      <c r="G284" s="59"/>
      <c r="H284" s="178"/>
      <c r="I284" s="178"/>
      <c r="J284" s="59"/>
      <c r="K284" s="59"/>
      <c r="L284" s="59"/>
      <c r="M284" s="59"/>
      <c r="N284" s="59"/>
      <c r="O284" s="59"/>
      <c r="P284" s="59"/>
      <c r="Q284" s="59"/>
      <c r="R284" s="59"/>
      <c r="S284" s="59"/>
      <c r="T284" s="59"/>
      <c r="U284" s="59"/>
      <c r="V284" s="59"/>
      <c r="W284" s="59"/>
      <c r="X284" s="59"/>
      <c r="Y284" s="59"/>
    </row>
    <row r="285" ht="35.25" customHeight="1">
      <c r="A285" s="59"/>
      <c r="B285" s="59"/>
      <c r="C285" s="59"/>
      <c r="D285" s="59"/>
      <c r="E285" s="59"/>
      <c r="F285" s="59"/>
      <c r="G285" s="59"/>
      <c r="H285" s="178"/>
      <c r="I285" s="178"/>
      <c r="J285" s="59"/>
      <c r="K285" s="59"/>
      <c r="L285" s="59"/>
      <c r="M285" s="59"/>
      <c r="N285" s="59"/>
      <c r="O285" s="59"/>
      <c r="P285" s="59"/>
      <c r="Q285" s="59"/>
      <c r="R285" s="59"/>
      <c r="S285" s="59"/>
      <c r="T285" s="59"/>
      <c r="U285" s="59"/>
      <c r="V285" s="59"/>
      <c r="W285" s="59"/>
      <c r="X285" s="59"/>
      <c r="Y285" s="59"/>
    </row>
    <row r="286" ht="35.25" customHeight="1">
      <c r="A286" s="59"/>
      <c r="B286" s="59"/>
      <c r="C286" s="59"/>
      <c r="D286" s="59"/>
      <c r="E286" s="59"/>
      <c r="F286" s="59"/>
      <c r="G286" s="59"/>
      <c r="H286" s="178"/>
      <c r="I286" s="178"/>
      <c r="J286" s="59"/>
      <c r="K286" s="59"/>
      <c r="L286" s="59"/>
      <c r="M286" s="59"/>
      <c r="N286" s="59"/>
      <c r="O286" s="59"/>
      <c r="P286" s="59"/>
      <c r="Q286" s="59"/>
      <c r="R286" s="59"/>
      <c r="S286" s="59"/>
      <c r="T286" s="59"/>
      <c r="U286" s="59"/>
      <c r="V286" s="59"/>
      <c r="W286" s="59"/>
      <c r="X286" s="59"/>
      <c r="Y286" s="59"/>
    </row>
    <row r="287" ht="35.25" customHeight="1">
      <c r="A287" s="59"/>
      <c r="B287" s="59"/>
      <c r="C287" s="59"/>
      <c r="D287" s="59"/>
      <c r="E287" s="59"/>
      <c r="F287" s="59"/>
      <c r="G287" s="59"/>
      <c r="H287" s="178"/>
      <c r="I287" s="178"/>
      <c r="J287" s="59"/>
      <c r="K287" s="59"/>
      <c r="L287" s="59"/>
      <c r="M287" s="59"/>
      <c r="N287" s="59"/>
      <c r="O287" s="59"/>
      <c r="P287" s="59"/>
      <c r="Q287" s="59"/>
      <c r="R287" s="59"/>
      <c r="S287" s="59"/>
      <c r="T287" s="59"/>
      <c r="U287" s="59"/>
      <c r="V287" s="59"/>
      <c r="W287" s="59"/>
      <c r="X287" s="59"/>
      <c r="Y287" s="59"/>
    </row>
    <row r="288" ht="35.25" customHeight="1">
      <c r="A288" s="59"/>
      <c r="B288" s="59"/>
      <c r="C288" s="59"/>
      <c r="D288" s="59"/>
      <c r="E288" s="59"/>
      <c r="F288" s="59"/>
      <c r="G288" s="59"/>
      <c r="H288" s="178"/>
      <c r="I288" s="178"/>
      <c r="J288" s="59"/>
      <c r="K288" s="59"/>
      <c r="L288" s="59"/>
      <c r="M288" s="59"/>
      <c r="N288" s="59"/>
      <c r="O288" s="59"/>
      <c r="P288" s="59"/>
      <c r="Q288" s="59"/>
      <c r="R288" s="59"/>
      <c r="S288" s="59"/>
      <c r="T288" s="59"/>
      <c r="U288" s="59"/>
      <c r="V288" s="59"/>
      <c r="W288" s="59"/>
      <c r="X288" s="59"/>
      <c r="Y288" s="59"/>
    </row>
    <row r="289" ht="35.25" customHeight="1">
      <c r="A289" s="59"/>
      <c r="B289" s="59"/>
      <c r="C289" s="59"/>
      <c r="D289" s="59"/>
      <c r="E289" s="59"/>
      <c r="F289" s="59"/>
      <c r="G289" s="59"/>
      <c r="H289" s="178"/>
      <c r="I289" s="178"/>
      <c r="J289" s="59"/>
      <c r="K289" s="59"/>
      <c r="L289" s="59"/>
      <c r="M289" s="59"/>
      <c r="N289" s="59"/>
      <c r="O289" s="59"/>
      <c r="P289" s="59"/>
      <c r="Q289" s="59"/>
      <c r="R289" s="59"/>
      <c r="S289" s="59"/>
      <c r="T289" s="59"/>
      <c r="U289" s="59"/>
      <c r="V289" s="59"/>
      <c r="W289" s="59"/>
      <c r="X289" s="59"/>
      <c r="Y289" s="59"/>
    </row>
    <row r="290" ht="35.25" customHeight="1">
      <c r="A290" s="59"/>
      <c r="B290" s="59"/>
      <c r="C290" s="59"/>
      <c r="D290" s="59"/>
      <c r="E290" s="59"/>
      <c r="F290" s="59"/>
      <c r="G290" s="59"/>
      <c r="H290" s="178"/>
      <c r="I290" s="178"/>
      <c r="J290" s="59"/>
      <c r="K290" s="59"/>
      <c r="L290" s="59"/>
      <c r="M290" s="59"/>
      <c r="N290" s="59"/>
      <c r="O290" s="59"/>
      <c r="P290" s="59"/>
      <c r="Q290" s="59"/>
      <c r="R290" s="59"/>
      <c r="S290" s="59"/>
      <c r="T290" s="59"/>
      <c r="U290" s="59"/>
      <c r="V290" s="59"/>
      <c r="W290" s="59"/>
      <c r="X290" s="59"/>
      <c r="Y290" s="59"/>
    </row>
    <row r="291" ht="35.25" customHeight="1">
      <c r="A291" s="59"/>
      <c r="B291" s="59"/>
      <c r="C291" s="59"/>
      <c r="D291" s="59"/>
      <c r="E291" s="59"/>
      <c r="F291" s="59"/>
      <c r="G291" s="59"/>
      <c r="H291" s="178"/>
      <c r="I291" s="178"/>
      <c r="J291" s="59"/>
      <c r="K291" s="59"/>
      <c r="L291" s="59"/>
      <c r="M291" s="59"/>
      <c r="N291" s="59"/>
      <c r="O291" s="59"/>
      <c r="P291" s="59"/>
      <c r="Q291" s="59"/>
      <c r="R291" s="59"/>
      <c r="S291" s="59"/>
      <c r="T291" s="59"/>
      <c r="U291" s="59"/>
      <c r="V291" s="59"/>
      <c r="W291" s="59"/>
      <c r="X291" s="59"/>
      <c r="Y291" s="59"/>
    </row>
    <row r="292" ht="35.25" customHeight="1">
      <c r="A292" s="59"/>
      <c r="B292" s="59"/>
      <c r="C292" s="59"/>
      <c r="D292" s="59"/>
      <c r="E292" s="59"/>
      <c r="F292" s="59"/>
      <c r="G292" s="59"/>
      <c r="H292" s="178"/>
      <c r="I292" s="178"/>
      <c r="J292" s="59"/>
      <c r="K292" s="59"/>
      <c r="L292" s="59"/>
      <c r="M292" s="59"/>
      <c r="N292" s="59"/>
      <c r="O292" s="59"/>
      <c r="P292" s="59"/>
      <c r="Q292" s="59"/>
      <c r="R292" s="59"/>
      <c r="S292" s="59"/>
      <c r="T292" s="59"/>
      <c r="U292" s="59"/>
      <c r="V292" s="59"/>
      <c r="W292" s="59"/>
      <c r="X292" s="59"/>
      <c r="Y292" s="59"/>
    </row>
    <row r="293" ht="35.25" customHeight="1">
      <c r="A293" s="59"/>
      <c r="B293" s="59"/>
      <c r="C293" s="59"/>
      <c r="D293" s="59"/>
      <c r="E293" s="59"/>
      <c r="F293" s="59"/>
      <c r="G293" s="59"/>
      <c r="H293" s="178"/>
      <c r="I293" s="178"/>
      <c r="J293" s="59"/>
      <c r="K293" s="59"/>
      <c r="L293" s="59"/>
      <c r="M293" s="59"/>
      <c r="N293" s="59"/>
      <c r="O293" s="59"/>
      <c r="P293" s="59"/>
      <c r="Q293" s="59"/>
      <c r="R293" s="59"/>
      <c r="S293" s="59"/>
      <c r="T293" s="59"/>
      <c r="U293" s="59"/>
      <c r="V293" s="59"/>
      <c r="W293" s="59"/>
      <c r="X293" s="59"/>
      <c r="Y293" s="59"/>
    </row>
    <row r="294" ht="35.25" customHeight="1">
      <c r="A294" s="59"/>
      <c r="B294" s="59"/>
      <c r="C294" s="59"/>
      <c r="D294" s="59"/>
      <c r="E294" s="59"/>
      <c r="F294" s="59"/>
      <c r="G294" s="59"/>
      <c r="H294" s="178"/>
      <c r="I294" s="178"/>
      <c r="J294" s="59"/>
      <c r="K294" s="59"/>
      <c r="L294" s="59"/>
      <c r="M294" s="59"/>
      <c r="N294" s="59"/>
      <c r="O294" s="59"/>
      <c r="P294" s="59"/>
      <c r="Q294" s="59"/>
      <c r="R294" s="59"/>
      <c r="S294" s="59"/>
      <c r="T294" s="59"/>
      <c r="U294" s="59"/>
      <c r="V294" s="59"/>
      <c r="W294" s="59"/>
      <c r="X294" s="59"/>
      <c r="Y294" s="59"/>
    </row>
    <row r="295" ht="35.25" customHeight="1">
      <c r="A295" s="59"/>
      <c r="B295" s="59"/>
      <c r="C295" s="59"/>
      <c r="D295" s="59"/>
      <c r="E295" s="59"/>
      <c r="F295" s="59"/>
      <c r="G295" s="59"/>
      <c r="H295" s="178"/>
      <c r="I295" s="178"/>
      <c r="J295" s="59"/>
      <c r="K295" s="59"/>
      <c r="L295" s="59"/>
      <c r="M295" s="59"/>
      <c r="N295" s="59"/>
      <c r="O295" s="59"/>
      <c r="P295" s="59"/>
      <c r="Q295" s="59"/>
      <c r="R295" s="59"/>
      <c r="S295" s="59"/>
      <c r="T295" s="59"/>
      <c r="U295" s="59"/>
      <c r="V295" s="59"/>
      <c r="W295" s="59"/>
      <c r="X295" s="59"/>
      <c r="Y295" s="59"/>
    </row>
    <row r="296" ht="35.25" customHeight="1">
      <c r="A296" s="59"/>
      <c r="B296" s="59"/>
      <c r="C296" s="59"/>
      <c r="D296" s="59"/>
      <c r="E296" s="59"/>
      <c r="F296" s="59"/>
      <c r="G296" s="59"/>
      <c r="H296" s="178"/>
      <c r="I296" s="178"/>
      <c r="J296" s="59"/>
      <c r="K296" s="59"/>
      <c r="L296" s="59"/>
      <c r="M296" s="59"/>
      <c r="N296" s="59"/>
      <c r="O296" s="59"/>
      <c r="P296" s="59"/>
      <c r="Q296" s="59"/>
      <c r="R296" s="59"/>
      <c r="S296" s="59"/>
      <c r="T296" s="59"/>
      <c r="U296" s="59"/>
      <c r="V296" s="59"/>
      <c r="W296" s="59"/>
      <c r="X296" s="59"/>
      <c r="Y296" s="59"/>
    </row>
    <row r="297" ht="35.25" customHeight="1">
      <c r="A297" s="59"/>
      <c r="B297" s="59"/>
      <c r="C297" s="59"/>
      <c r="D297" s="59"/>
      <c r="E297" s="59"/>
      <c r="F297" s="59"/>
      <c r="G297" s="59"/>
      <c r="H297" s="178"/>
      <c r="I297" s="178"/>
      <c r="J297" s="59"/>
      <c r="K297" s="59"/>
      <c r="L297" s="59"/>
      <c r="M297" s="59"/>
      <c r="N297" s="59"/>
      <c r="O297" s="59"/>
      <c r="P297" s="59"/>
      <c r="Q297" s="59"/>
      <c r="R297" s="59"/>
      <c r="S297" s="59"/>
      <c r="T297" s="59"/>
      <c r="U297" s="59"/>
      <c r="V297" s="59"/>
      <c r="W297" s="59"/>
      <c r="X297" s="59"/>
      <c r="Y297" s="59"/>
    </row>
    <row r="298" ht="35.25" customHeight="1">
      <c r="A298" s="59"/>
      <c r="B298" s="59"/>
      <c r="C298" s="59"/>
      <c r="D298" s="59"/>
      <c r="E298" s="59"/>
      <c r="F298" s="59"/>
      <c r="G298" s="59"/>
      <c r="H298" s="178"/>
      <c r="I298" s="178"/>
      <c r="J298" s="59"/>
      <c r="K298" s="59"/>
      <c r="L298" s="59"/>
      <c r="M298" s="59"/>
      <c r="N298" s="59"/>
      <c r="O298" s="59"/>
      <c r="P298" s="59"/>
      <c r="Q298" s="59"/>
      <c r="R298" s="59"/>
      <c r="S298" s="59"/>
      <c r="T298" s="59"/>
      <c r="U298" s="59"/>
      <c r="V298" s="59"/>
      <c r="W298" s="59"/>
      <c r="X298" s="59"/>
      <c r="Y298" s="59"/>
    </row>
    <row r="299" ht="35.25" customHeight="1">
      <c r="A299" s="59"/>
      <c r="B299" s="59"/>
      <c r="C299" s="59"/>
      <c r="D299" s="59"/>
      <c r="E299" s="59"/>
      <c r="F299" s="59"/>
      <c r="G299" s="59"/>
      <c r="H299" s="178"/>
      <c r="I299" s="178"/>
      <c r="J299" s="59"/>
      <c r="K299" s="59"/>
      <c r="L299" s="59"/>
      <c r="M299" s="59"/>
      <c r="N299" s="59"/>
      <c r="O299" s="59"/>
      <c r="P299" s="59"/>
      <c r="Q299" s="59"/>
      <c r="R299" s="59"/>
      <c r="S299" s="59"/>
      <c r="T299" s="59"/>
      <c r="U299" s="59"/>
      <c r="V299" s="59"/>
      <c r="W299" s="59"/>
      <c r="X299" s="59"/>
      <c r="Y299" s="59"/>
    </row>
    <row r="300" ht="35.25" customHeight="1">
      <c r="A300" s="59"/>
      <c r="B300" s="59"/>
      <c r="C300" s="59"/>
      <c r="D300" s="59"/>
      <c r="E300" s="59"/>
      <c r="F300" s="59"/>
      <c r="G300" s="59"/>
      <c r="H300" s="178"/>
      <c r="I300" s="178"/>
      <c r="J300" s="59"/>
      <c r="K300" s="59"/>
      <c r="L300" s="59"/>
      <c r="M300" s="59"/>
      <c r="N300" s="59"/>
      <c r="O300" s="59"/>
      <c r="P300" s="59"/>
      <c r="Q300" s="59"/>
      <c r="R300" s="59"/>
      <c r="S300" s="59"/>
      <c r="T300" s="59"/>
      <c r="U300" s="59"/>
      <c r="V300" s="59"/>
      <c r="W300" s="59"/>
      <c r="X300" s="59"/>
      <c r="Y300" s="59"/>
    </row>
    <row r="301" ht="35.25" customHeight="1">
      <c r="A301" s="59"/>
      <c r="B301" s="59"/>
      <c r="C301" s="59"/>
      <c r="D301" s="59"/>
      <c r="E301" s="59"/>
      <c r="F301" s="59"/>
      <c r="G301" s="59"/>
      <c r="H301" s="178"/>
      <c r="I301" s="178"/>
      <c r="J301" s="59"/>
      <c r="K301" s="59"/>
      <c r="L301" s="59"/>
      <c r="M301" s="59"/>
      <c r="N301" s="59"/>
      <c r="O301" s="59"/>
      <c r="P301" s="59"/>
      <c r="Q301" s="59"/>
      <c r="R301" s="59"/>
      <c r="S301" s="59"/>
      <c r="T301" s="59"/>
      <c r="U301" s="59"/>
      <c r="V301" s="59"/>
      <c r="W301" s="59"/>
      <c r="X301" s="59"/>
      <c r="Y301" s="59"/>
    </row>
    <row r="302" ht="35.25" customHeight="1">
      <c r="A302" s="59"/>
      <c r="B302" s="59"/>
      <c r="C302" s="59"/>
      <c r="D302" s="59"/>
      <c r="E302" s="59"/>
      <c r="F302" s="59"/>
      <c r="G302" s="59"/>
      <c r="H302" s="178"/>
      <c r="I302" s="178"/>
      <c r="J302" s="59"/>
      <c r="K302" s="59"/>
      <c r="L302" s="59"/>
      <c r="M302" s="59"/>
      <c r="N302" s="59"/>
      <c r="O302" s="59"/>
      <c r="P302" s="59"/>
      <c r="Q302" s="59"/>
      <c r="R302" s="59"/>
      <c r="S302" s="59"/>
      <c r="T302" s="59"/>
      <c r="U302" s="59"/>
      <c r="V302" s="59"/>
      <c r="W302" s="59"/>
      <c r="X302" s="59"/>
      <c r="Y302" s="59"/>
    </row>
    <row r="303" ht="35.25" customHeight="1">
      <c r="A303" s="59"/>
      <c r="B303" s="59"/>
      <c r="C303" s="59"/>
      <c r="D303" s="59"/>
      <c r="E303" s="59"/>
      <c r="F303" s="59"/>
      <c r="G303" s="59"/>
      <c r="H303" s="178"/>
      <c r="I303" s="178"/>
      <c r="J303" s="59"/>
      <c r="K303" s="59"/>
      <c r="L303" s="59"/>
      <c r="M303" s="59"/>
      <c r="N303" s="59"/>
      <c r="O303" s="59"/>
      <c r="P303" s="59"/>
      <c r="Q303" s="59"/>
      <c r="R303" s="59"/>
      <c r="S303" s="59"/>
      <c r="T303" s="59"/>
      <c r="U303" s="59"/>
      <c r="V303" s="59"/>
      <c r="W303" s="59"/>
      <c r="X303" s="59"/>
      <c r="Y303" s="59"/>
    </row>
    <row r="304" ht="35.25" customHeight="1">
      <c r="A304" s="59"/>
      <c r="B304" s="59"/>
      <c r="C304" s="59"/>
      <c r="D304" s="59"/>
      <c r="E304" s="59"/>
      <c r="F304" s="59"/>
      <c r="G304" s="59"/>
      <c r="H304" s="178"/>
      <c r="I304" s="178"/>
      <c r="J304" s="59"/>
      <c r="K304" s="59"/>
      <c r="L304" s="59"/>
      <c r="M304" s="59"/>
      <c r="N304" s="59"/>
      <c r="O304" s="59"/>
      <c r="P304" s="59"/>
      <c r="Q304" s="59"/>
      <c r="R304" s="59"/>
      <c r="S304" s="59"/>
      <c r="T304" s="59"/>
      <c r="U304" s="59"/>
      <c r="V304" s="59"/>
      <c r="W304" s="59"/>
      <c r="X304" s="59"/>
      <c r="Y304" s="59"/>
    </row>
    <row r="305" ht="35.25" customHeight="1">
      <c r="A305" s="59"/>
      <c r="B305" s="59"/>
      <c r="C305" s="59"/>
      <c r="D305" s="59"/>
      <c r="E305" s="59"/>
      <c r="F305" s="59"/>
      <c r="G305" s="59"/>
      <c r="H305" s="178"/>
      <c r="I305" s="178"/>
      <c r="J305" s="59"/>
      <c r="K305" s="59"/>
      <c r="L305" s="59"/>
      <c r="M305" s="59"/>
      <c r="N305" s="59"/>
      <c r="O305" s="59"/>
      <c r="P305" s="59"/>
      <c r="Q305" s="59"/>
      <c r="R305" s="59"/>
      <c r="S305" s="59"/>
      <c r="T305" s="59"/>
      <c r="U305" s="59"/>
      <c r="V305" s="59"/>
      <c r="W305" s="59"/>
      <c r="X305" s="59"/>
      <c r="Y305" s="59"/>
    </row>
    <row r="306" ht="35.25" customHeight="1">
      <c r="A306" s="59"/>
      <c r="B306" s="59"/>
      <c r="C306" s="59"/>
      <c r="D306" s="59"/>
      <c r="E306" s="59"/>
      <c r="F306" s="59"/>
      <c r="G306" s="59"/>
      <c r="H306" s="178"/>
      <c r="I306" s="178"/>
      <c r="J306" s="59"/>
      <c r="K306" s="59"/>
      <c r="L306" s="59"/>
      <c r="M306" s="59"/>
      <c r="N306" s="59"/>
      <c r="O306" s="59"/>
      <c r="P306" s="59"/>
      <c r="Q306" s="59"/>
      <c r="R306" s="59"/>
      <c r="S306" s="59"/>
      <c r="T306" s="59"/>
      <c r="U306" s="59"/>
      <c r="V306" s="59"/>
      <c r="W306" s="59"/>
      <c r="X306" s="59"/>
      <c r="Y306" s="59"/>
    </row>
    <row r="307" ht="35.25" customHeight="1">
      <c r="A307" s="59"/>
      <c r="B307" s="59"/>
      <c r="C307" s="59"/>
      <c r="D307" s="59"/>
      <c r="E307" s="59"/>
      <c r="F307" s="59"/>
      <c r="G307" s="59"/>
      <c r="H307" s="178"/>
      <c r="I307" s="178"/>
      <c r="J307" s="59"/>
      <c r="K307" s="59"/>
      <c r="L307" s="59"/>
      <c r="M307" s="59"/>
      <c r="N307" s="59"/>
      <c r="O307" s="59"/>
      <c r="P307" s="59"/>
      <c r="Q307" s="59"/>
      <c r="R307" s="59"/>
      <c r="S307" s="59"/>
      <c r="T307" s="59"/>
      <c r="U307" s="59"/>
      <c r="V307" s="59"/>
      <c r="W307" s="59"/>
      <c r="X307" s="59"/>
      <c r="Y307" s="59"/>
    </row>
    <row r="308" ht="35.25" customHeight="1">
      <c r="A308" s="59"/>
      <c r="B308" s="59"/>
      <c r="C308" s="59"/>
      <c r="D308" s="59"/>
      <c r="E308" s="59"/>
      <c r="F308" s="59"/>
      <c r="G308" s="59"/>
      <c r="H308" s="178"/>
      <c r="I308" s="178"/>
      <c r="J308" s="59"/>
      <c r="K308" s="59"/>
      <c r="L308" s="59"/>
      <c r="M308" s="59"/>
      <c r="N308" s="59"/>
      <c r="O308" s="59"/>
      <c r="P308" s="59"/>
      <c r="Q308" s="59"/>
      <c r="R308" s="59"/>
      <c r="S308" s="59"/>
      <c r="T308" s="59"/>
      <c r="U308" s="59"/>
      <c r="V308" s="59"/>
      <c r="W308" s="59"/>
      <c r="X308" s="59"/>
      <c r="Y308" s="59"/>
    </row>
    <row r="309" ht="35.25" customHeight="1">
      <c r="A309" s="59"/>
      <c r="B309" s="59"/>
      <c r="C309" s="59"/>
      <c r="D309" s="59"/>
      <c r="E309" s="59"/>
      <c r="F309" s="59"/>
      <c r="G309" s="59"/>
      <c r="H309" s="178"/>
      <c r="I309" s="178"/>
      <c r="J309" s="59"/>
      <c r="K309" s="59"/>
      <c r="L309" s="59"/>
      <c r="M309" s="59"/>
      <c r="N309" s="59"/>
      <c r="O309" s="59"/>
      <c r="P309" s="59"/>
      <c r="Q309" s="59"/>
      <c r="R309" s="59"/>
      <c r="S309" s="59"/>
      <c r="T309" s="59"/>
      <c r="U309" s="59"/>
      <c r="V309" s="59"/>
      <c r="W309" s="59"/>
      <c r="X309" s="59"/>
      <c r="Y309" s="59"/>
    </row>
    <row r="310" ht="35.25" customHeight="1">
      <c r="A310" s="59"/>
      <c r="B310" s="59"/>
      <c r="C310" s="59"/>
      <c r="D310" s="59"/>
      <c r="E310" s="59"/>
      <c r="F310" s="59"/>
      <c r="G310" s="59"/>
      <c r="H310" s="178"/>
      <c r="I310" s="178"/>
      <c r="J310" s="59"/>
      <c r="K310" s="59"/>
      <c r="L310" s="59"/>
      <c r="M310" s="59"/>
      <c r="N310" s="59"/>
      <c r="O310" s="59"/>
      <c r="P310" s="59"/>
      <c r="Q310" s="59"/>
      <c r="R310" s="59"/>
      <c r="S310" s="59"/>
      <c r="T310" s="59"/>
      <c r="U310" s="59"/>
      <c r="V310" s="59"/>
      <c r="W310" s="59"/>
      <c r="X310" s="59"/>
      <c r="Y310" s="59"/>
    </row>
    <row r="311" ht="35.25" customHeight="1">
      <c r="A311" s="59"/>
      <c r="B311" s="59"/>
      <c r="C311" s="59"/>
      <c r="D311" s="59"/>
      <c r="E311" s="59"/>
      <c r="F311" s="59"/>
      <c r="G311" s="59"/>
      <c r="H311" s="178"/>
      <c r="I311" s="178"/>
      <c r="J311" s="59"/>
      <c r="K311" s="59"/>
      <c r="L311" s="59"/>
      <c r="M311" s="59"/>
      <c r="N311" s="59"/>
      <c r="O311" s="59"/>
      <c r="P311" s="59"/>
      <c r="Q311" s="59"/>
      <c r="R311" s="59"/>
      <c r="S311" s="59"/>
      <c r="T311" s="59"/>
      <c r="U311" s="59"/>
      <c r="V311" s="59"/>
      <c r="W311" s="59"/>
      <c r="X311" s="59"/>
      <c r="Y311" s="59"/>
    </row>
    <row r="312" ht="35.25" customHeight="1">
      <c r="A312" s="59"/>
      <c r="B312" s="59"/>
      <c r="C312" s="59"/>
      <c r="D312" s="59"/>
      <c r="E312" s="59"/>
      <c r="F312" s="59"/>
      <c r="G312" s="59"/>
      <c r="H312" s="178"/>
      <c r="I312" s="178"/>
      <c r="J312" s="59"/>
      <c r="K312" s="59"/>
      <c r="L312" s="59"/>
      <c r="M312" s="59"/>
      <c r="N312" s="59"/>
      <c r="O312" s="59"/>
      <c r="P312" s="59"/>
      <c r="Q312" s="59"/>
      <c r="R312" s="59"/>
      <c r="S312" s="59"/>
      <c r="T312" s="59"/>
      <c r="U312" s="59"/>
      <c r="V312" s="59"/>
      <c r="W312" s="59"/>
      <c r="X312" s="59"/>
      <c r="Y312" s="59"/>
    </row>
    <row r="313" ht="35.25" customHeight="1">
      <c r="A313" s="59"/>
      <c r="B313" s="59"/>
      <c r="C313" s="59"/>
      <c r="D313" s="59"/>
      <c r="E313" s="59"/>
      <c r="F313" s="59"/>
      <c r="G313" s="59"/>
      <c r="H313" s="178"/>
      <c r="I313" s="178"/>
      <c r="J313" s="59"/>
      <c r="K313" s="59"/>
      <c r="L313" s="59"/>
      <c r="M313" s="59"/>
      <c r="N313" s="59"/>
      <c r="O313" s="59"/>
      <c r="P313" s="59"/>
      <c r="Q313" s="59"/>
      <c r="R313" s="59"/>
      <c r="S313" s="59"/>
      <c r="T313" s="59"/>
      <c r="U313" s="59"/>
      <c r="V313" s="59"/>
      <c r="W313" s="59"/>
      <c r="X313" s="59"/>
      <c r="Y313" s="59"/>
    </row>
    <row r="314" ht="35.25" customHeight="1">
      <c r="A314" s="59"/>
      <c r="B314" s="59"/>
      <c r="C314" s="59"/>
      <c r="D314" s="59"/>
      <c r="E314" s="59"/>
      <c r="F314" s="59"/>
      <c r="G314" s="59"/>
      <c r="H314" s="178"/>
      <c r="I314" s="178"/>
      <c r="J314" s="59"/>
      <c r="K314" s="59"/>
      <c r="L314" s="59"/>
      <c r="M314" s="59"/>
      <c r="N314" s="59"/>
      <c r="O314" s="59"/>
      <c r="P314" s="59"/>
      <c r="Q314" s="59"/>
      <c r="R314" s="59"/>
      <c r="S314" s="59"/>
      <c r="T314" s="59"/>
      <c r="U314" s="59"/>
      <c r="V314" s="59"/>
      <c r="W314" s="59"/>
      <c r="X314" s="59"/>
      <c r="Y314" s="59"/>
    </row>
    <row r="315" ht="35.25" customHeight="1">
      <c r="A315" s="59"/>
      <c r="B315" s="59"/>
      <c r="C315" s="59"/>
      <c r="D315" s="59"/>
      <c r="E315" s="59"/>
      <c r="F315" s="59"/>
      <c r="G315" s="59"/>
      <c r="H315" s="178"/>
      <c r="I315" s="178"/>
      <c r="J315" s="59"/>
      <c r="K315" s="59"/>
      <c r="L315" s="59"/>
      <c r="M315" s="59"/>
      <c r="N315" s="59"/>
      <c r="O315" s="59"/>
      <c r="P315" s="59"/>
      <c r="Q315" s="59"/>
      <c r="R315" s="59"/>
      <c r="S315" s="59"/>
      <c r="T315" s="59"/>
      <c r="U315" s="59"/>
      <c r="V315" s="59"/>
      <c r="W315" s="59"/>
      <c r="X315" s="59"/>
      <c r="Y315" s="59"/>
    </row>
    <row r="316" ht="35.25" customHeight="1">
      <c r="A316" s="59"/>
      <c r="B316" s="59"/>
      <c r="C316" s="59"/>
      <c r="D316" s="59"/>
      <c r="E316" s="59"/>
      <c r="F316" s="59"/>
      <c r="G316" s="59"/>
      <c r="H316" s="178"/>
      <c r="I316" s="178"/>
      <c r="J316" s="59"/>
      <c r="K316" s="59"/>
      <c r="L316" s="59"/>
      <c r="M316" s="59"/>
      <c r="N316" s="59"/>
      <c r="O316" s="59"/>
      <c r="P316" s="59"/>
      <c r="Q316" s="59"/>
      <c r="R316" s="59"/>
      <c r="S316" s="59"/>
      <c r="T316" s="59"/>
      <c r="U316" s="59"/>
      <c r="V316" s="59"/>
      <c r="W316" s="59"/>
      <c r="X316" s="59"/>
      <c r="Y316" s="59"/>
    </row>
    <row r="317" ht="35.25" customHeight="1">
      <c r="A317" s="59"/>
      <c r="B317" s="59"/>
      <c r="C317" s="59"/>
      <c r="D317" s="59"/>
      <c r="E317" s="59"/>
      <c r="F317" s="59"/>
      <c r="G317" s="59"/>
      <c r="H317" s="178"/>
      <c r="I317" s="178"/>
      <c r="J317" s="59"/>
      <c r="K317" s="59"/>
      <c r="L317" s="59"/>
      <c r="M317" s="59"/>
      <c r="N317" s="59"/>
      <c r="O317" s="59"/>
      <c r="P317" s="59"/>
      <c r="Q317" s="59"/>
      <c r="R317" s="59"/>
      <c r="S317" s="59"/>
      <c r="T317" s="59"/>
      <c r="U317" s="59"/>
      <c r="V317" s="59"/>
      <c r="W317" s="59"/>
      <c r="X317" s="59"/>
      <c r="Y317" s="59"/>
    </row>
    <row r="318" ht="35.25" customHeight="1">
      <c r="A318" s="59"/>
      <c r="B318" s="59"/>
      <c r="C318" s="59"/>
      <c r="D318" s="59"/>
      <c r="E318" s="59"/>
      <c r="F318" s="59"/>
      <c r="G318" s="59"/>
      <c r="H318" s="178"/>
      <c r="I318" s="178"/>
      <c r="J318" s="59"/>
      <c r="K318" s="59"/>
      <c r="L318" s="59"/>
      <c r="M318" s="59"/>
      <c r="N318" s="59"/>
      <c r="O318" s="59"/>
      <c r="P318" s="59"/>
      <c r="Q318" s="59"/>
      <c r="R318" s="59"/>
      <c r="S318" s="59"/>
      <c r="T318" s="59"/>
      <c r="U318" s="59"/>
      <c r="V318" s="59"/>
      <c r="W318" s="59"/>
      <c r="X318" s="59"/>
      <c r="Y318" s="59"/>
    </row>
    <row r="319" ht="35.25" customHeight="1">
      <c r="A319" s="59"/>
      <c r="B319" s="59"/>
      <c r="C319" s="59"/>
      <c r="D319" s="59"/>
      <c r="E319" s="59"/>
      <c r="F319" s="59"/>
      <c r="G319" s="59"/>
      <c r="H319" s="178"/>
      <c r="I319" s="178"/>
      <c r="J319" s="59"/>
      <c r="K319" s="59"/>
      <c r="L319" s="59"/>
      <c r="M319" s="59"/>
      <c r="N319" s="59"/>
      <c r="O319" s="59"/>
      <c r="P319" s="59"/>
      <c r="Q319" s="59"/>
      <c r="R319" s="59"/>
      <c r="S319" s="59"/>
      <c r="T319" s="59"/>
      <c r="U319" s="59"/>
      <c r="V319" s="59"/>
      <c r="W319" s="59"/>
      <c r="X319" s="59"/>
      <c r="Y319" s="59"/>
    </row>
    <row r="320" ht="35.25" customHeight="1">
      <c r="A320" s="59"/>
      <c r="B320" s="59"/>
      <c r="C320" s="59"/>
      <c r="D320" s="59"/>
      <c r="E320" s="59"/>
      <c r="F320" s="59"/>
      <c r="G320" s="59"/>
      <c r="H320" s="178"/>
      <c r="I320" s="178"/>
      <c r="J320" s="59"/>
      <c r="K320" s="59"/>
      <c r="L320" s="59"/>
      <c r="M320" s="59"/>
      <c r="N320" s="59"/>
      <c r="O320" s="59"/>
      <c r="P320" s="59"/>
      <c r="Q320" s="59"/>
      <c r="R320" s="59"/>
      <c r="S320" s="59"/>
      <c r="T320" s="59"/>
      <c r="U320" s="59"/>
      <c r="V320" s="59"/>
      <c r="W320" s="59"/>
      <c r="X320" s="59"/>
      <c r="Y320" s="59"/>
    </row>
    <row r="321" ht="35.25" customHeight="1">
      <c r="A321" s="59"/>
      <c r="B321" s="59"/>
      <c r="C321" s="59"/>
      <c r="D321" s="59"/>
      <c r="E321" s="59"/>
      <c r="F321" s="59"/>
      <c r="G321" s="59"/>
      <c r="H321" s="178"/>
      <c r="I321" s="178"/>
      <c r="J321" s="59"/>
      <c r="K321" s="59"/>
      <c r="L321" s="59"/>
      <c r="M321" s="59"/>
      <c r="N321" s="59"/>
      <c r="O321" s="59"/>
      <c r="P321" s="59"/>
      <c r="Q321" s="59"/>
      <c r="R321" s="59"/>
      <c r="S321" s="59"/>
      <c r="T321" s="59"/>
      <c r="U321" s="59"/>
      <c r="V321" s="59"/>
      <c r="W321" s="59"/>
      <c r="X321" s="59"/>
      <c r="Y321" s="59"/>
    </row>
    <row r="322" ht="35.25" customHeight="1">
      <c r="A322" s="59"/>
      <c r="B322" s="59"/>
      <c r="C322" s="59"/>
      <c r="D322" s="59"/>
      <c r="E322" s="59"/>
      <c r="F322" s="59"/>
      <c r="G322" s="59"/>
      <c r="H322" s="178"/>
      <c r="I322" s="178"/>
      <c r="J322" s="59"/>
      <c r="K322" s="59"/>
      <c r="L322" s="59"/>
      <c r="M322" s="59"/>
      <c r="N322" s="59"/>
      <c r="O322" s="59"/>
      <c r="P322" s="59"/>
      <c r="Q322" s="59"/>
      <c r="R322" s="59"/>
      <c r="S322" s="59"/>
      <c r="T322" s="59"/>
      <c r="U322" s="59"/>
      <c r="V322" s="59"/>
      <c r="W322" s="59"/>
      <c r="X322" s="59"/>
      <c r="Y322" s="59"/>
    </row>
    <row r="323" ht="35.25" customHeight="1">
      <c r="A323" s="59"/>
      <c r="B323" s="59"/>
      <c r="C323" s="59"/>
      <c r="D323" s="59"/>
      <c r="E323" s="59"/>
      <c r="F323" s="59"/>
      <c r="G323" s="59"/>
      <c r="H323" s="178"/>
      <c r="I323" s="178"/>
      <c r="J323" s="59"/>
      <c r="K323" s="59"/>
      <c r="L323" s="59"/>
      <c r="M323" s="59"/>
      <c r="N323" s="59"/>
      <c r="O323" s="59"/>
      <c r="P323" s="59"/>
      <c r="Q323" s="59"/>
      <c r="R323" s="59"/>
      <c r="S323" s="59"/>
      <c r="T323" s="59"/>
      <c r="U323" s="59"/>
      <c r="V323" s="59"/>
      <c r="W323" s="59"/>
      <c r="X323" s="59"/>
      <c r="Y323" s="59"/>
    </row>
    <row r="324" ht="35.25" customHeight="1">
      <c r="A324" s="59"/>
      <c r="B324" s="59"/>
      <c r="C324" s="59"/>
      <c r="D324" s="59"/>
      <c r="E324" s="59"/>
      <c r="F324" s="59"/>
      <c r="G324" s="59"/>
      <c r="H324" s="178"/>
      <c r="I324" s="178"/>
      <c r="J324" s="59"/>
      <c r="K324" s="59"/>
      <c r="L324" s="59"/>
      <c r="M324" s="59"/>
      <c r="N324" s="59"/>
      <c r="O324" s="59"/>
      <c r="P324" s="59"/>
      <c r="Q324" s="59"/>
      <c r="R324" s="59"/>
      <c r="S324" s="59"/>
      <c r="T324" s="59"/>
      <c r="U324" s="59"/>
      <c r="V324" s="59"/>
      <c r="W324" s="59"/>
      <c r="X324" s="59"/>
      <c r="Y324" s="59"/>
    </row>
    <row r="325" ht="35.25" customHeight="1">
      <c r="A325" s="59"/>
      <c r="B325" s="59"/>
      <c r="C325" s="59"/>
      <c r="D325" s="59"/>
      <c r="E325" s="59"/>
      <c r="F325" s="59"/>
      <c r="G325" s="59"/>
      <c r="H325" s="178"/>
      <c r="I325" s="178"/>
      <c r="J325" s="59"/>
      <c r="K325" s="59"/>
      <c r="L325" s="59"/>
      <c r="M325" s="59"/>
      <c r="N325" s="59"/>
      <c r="O325" s="59"/>
      <c r="P325" s="59"/>
      <c r="Q325" s="59"/>
      <c r="R325" s="59"/>
      <c r="S325" s="59"/>
      <c r="T325" s="59"/>
      <c r="U325" s="59"/>
      <c r="V325" s="59"/>
      <c r="W325" s="59"/>
      <c r="X325" s="59"/>
      <c r="Y325" s="59"/>
    </row>
    <row r="326" ht="35.25" customHeight="1">
      <c r="A326" s="59"/>
      <c r="B326" s="59"/>
      <c r="C326" s="59"/>
      <c r="D326" s="59"/>
      <c r="E326" s="59"/>
      <c r="F326" s="59"/>
      <c r="G326" s="59"/>
      <c r="H326" s="178"/>
      <c r="I326" s="178"/>
      <c r="J326" s="59"/>
      <c r="K326" s="59"/>
      <c r="L326" s="59"/>
      <c r="M326" s="59"/>
      <c r="N326" s="59"/>
      <c r="O326" s="59"/>
      <c r="P326" s="59"/>
      <c r="Q326" s="59"/>
      <c r="R326" s="59"/>
      <c r="S326" s="59"/>
      <c r="T326" s="59"/>
      <c r="U326" s="59"/>
      <c r="V326" s="59"/>
      <c r="W326" s="59"/>
      <c r="X326" s="59"/>
      <c r="Y326" s="59"/>
    </row>
    <row r="327" ht="35.25" customHeight="1">
      <c r="A327" s="59"/>
      <c r="B327" s="59"/>
      <c r="C327" s="59"/>
      <c r="D327" s="59"/>
      <c r="E327" s="59"/>
      <c r="F327" s="59"/>
      <c r="G327" s="59"/>
      <c r="H327" s="178"/>
      <c r="I327" s="178"/>
      <c r="J327" s="59"/>
      <c r="K327" s="59"/>
      <c r="L327" s="59"/>
      <c r="M327" s="59"/>
      <c r="N327" s="59"/>
      <c r="O327" s="59"/>
      <c r="P327" s="59"/>
      <c r="Q327" s="59"/>
      <c r="R327" s="59"/>
      <c r="S327" s="59"/>
      <c r="T327" s="59"/>
      <c r="U327" s="59"/>
      <c r="V327" s="59"/>
      <c r="W327" s="59"/>
      <c r="X327" s="59"/>
      <c r="Y327" s="59"/>
    </row>
    <row r="328" ht="35.25" customHeight="1">
      <c r="A328" s="59"/>
      <c r="B328" s="59"/>
      <c r="C328" s="59"/>
      <c r="D328" s="59"/>
      <c r="E328" s="59"/>
      <c r="F328" s="59"/>
      <c r="G328" s="59"/>
      <c r="H328" s="178"/>
      <c r="I328" s="178"/>
      <c r="J328" s="59"/>
      <c r="K328" s="59"/>
      <c r="L328" s="59"/>
      <c r="M328" s="59"/>
      <c r="N328" s="59"/>
      <c r="O328" s="59"/>
      <c r="P328" s="59"/>
      <c r="Q328" s="59"/>
      <c r="R328" s="59"/>
      <c r="S328" s="59"/>
      <c r="T328" s="59"/>
      <c r="U328" s="59"/>
      <c r="V328" s="59"/>
      <c r="W328" s="59"/>
      <c r="X328" s="59"/>
      <c r="Y328" s="59"/>
    </row>
    <row r="329" ht="35.25" customHeight="1">
      <c r="A329" s="59"/>
      <c r="B329" s="59"/>
      <c r="C329" s="59"/>
      <c r="D329" s="59"/>
      <c r="E329" s="59"/>
      <c r="F329" s="59"/>
      <c r="G329" s="59"/>
      <c r="H329" s="178"/>
      <c r="I329" s="178"/>
      <c r="J329" s="59"/>
      <c r="K329" s="59"/>
      <c r="L329" s="59"/>
      <c r="M329" s="59"/>
      <c r="N329" s="59"/>
      <c r="O329" s="59"/>
      <c r="P329" s="59"/>
      <c r="Q329" s="59"/>
      <c r="R329" s="59"/>
      <c r="S329" s="59"/>
      <c r="T329" s="59"/>
      <c r="U329" s="59"/>
      <c r="V329" s="59"/>
      <c r="W329" s="59"/>
      <c r="X329" s="59"/>
      <c r="Y329" s="59"/>
    </row>
    <row r="330" ht="35.25" customHeight="1">
      <c r="A330" s="59"/>
      <c r="B330" s="59"/>
      <c r="C330" s="59"/>
      <c r="D330" s="59"/>
      <c r="E330" s="59"/>
      <c r="F330" s="59"/>
      <c r="G330" s="59"/>
      <c r="H330" s="178"/>
      <c r="I330" s="178"/>
      <c r="J330" s="59"/>
      <c r="K330" s="59"/>
      <c r="L330" s="59"/>
      <c r="M330" s="59"/>
      <c r="N330" s="59"/>
      <c r="O330" s="59"/>
      <c r="P330" s="59"/>
      <c r="Q330" s="59"/>
      <c r="R330" s="59"/>
      <c r="S330" s="59"/>
      <c r="T330" s="59"/>
      <c r="U330" s="59"/>
      <c r="V330" s="59"/>
      <c r="W330" s="59"/>
      <c r="X330" s="59"/>
      <c r="Y330" s="59"/>
    </row>
    <row r="331" ht="35.25" customHeight="1">
      <c r="A331" s="59"/>
      <c r="B331" s="59"/>
      <c r="C331" s="59"/>
      <c r="D331" s="59"/>
      <c r="E331" s="59"/>
      <c r="F331" s="59"/>
      <c r="G331" s="59"/>
      <c r="H331" s="178"/>
      <c r="I331" s="178"/>
      <c r="J331" s="59"/>
      <c r="K331" s="59"/>
      <c r="L331" s="59"/>
      <c r="M331" s="59"/>
      <c r="N331" s="59"/>
      <c r="O331" s="59"/>
      <c r="P331" s="59"/>
      <c r="Q331" s="59"/>
      <c r="R331" s="59"/>
      <c r="S331" s="59"/>
      <c r="T331" s="59"/>
      <c r="U331" s="59"/>
      <c r="V331" s="59"/>
      <c r="W331" s="59"/>
      <c r="X331" s="59"/>
      <c r="Y331" s="59"/>
    </row>
    <row r="332" ht="35.25" customHeight="1">
      <c r="A332" s="59"/>
      <c r="B332" s="59"/>
      <c r="C332" s="59"/>
      <c r="D332" s="59"/>
      <c r="E332" s="59"/>
      <c r="F332" s="59"/>
      <c r="G332" s="59"/>
      <c r="H332" s="178"/>
      <c r="I332" s="178"/>
      <c r="J332" s="59"/>
      <c r="K332" s="59"/>
      <c r="L332" s="59"/>
      <c r="M332" s="59"/>
      <c r="N332" s="59"/>
      <c r="O332" s="59"/>
      <c r="P332" s="59"/>
      <c r="Q332" s="59"/>
      <c r="R332" s="59"/>
      <c r="S332" s="59"/>
      <c r="T332" s="59"/>
      <c r="U332" s="59"/>
      <c r="V332" s="59"/>
      <c r="W332" s="59"/>
      <c r="X332" s="59"/>
      <c r="Y332" s="59"/>
    </row>
    <row r="333" ht="35.25" customHeight="1">
      <c r="A333" s="59"/>
      <c r="B333" s="59"/>
      <c r="C333" s="59"/>
      <c r="D333" s="59"/>
      <c r="E333" s="59"/>
      <c r="F333" s="59"/>
      <c r="G333" s="59"/>
      <c r="H333" s="178"/>
      <c r="I333" s="178"/>
      <c r="J333" s="59"/>
      <c r="K333" s="59"/>
      <c r="L333" s="59"/>
      <c r="M333" s="59"/>
      <c r="N333" s="59"/>
      <c r="O333" s="59"/>
      <c r="P333" s="59"/>
      <c r="Q333" s="59"/>
      <c r="R333" s="59"/>
      <c r="S333" s="59"/>
      <c r="T333" s="59"/>
      <c r="U333" s="59"/>
      <c r="V333" s="59"/>
      <c r="W333" s="59"/>
      <c r="X333" s="59"/>
      <c r="Y333" s="59"/>
    </row>
    <row r="334" ht="35.25" customHeight="1">
      <c r="A334" s="59"/>
      <c r="B334" s="59"/>
      <c r="C334" s="59"/>
      <c r="D334" s="59"/>
      <c r="E334" s="59"/>
      <c r="F334" s="59"/>
      <c r="G334" s="59"/>
      <c r="H334" s="178"/>
      <c r="I334" s="178"/>
      <c r="J334" s="59"/>
      <c r="K334" s="59"/>
      <c r="L334" s="59"/>
      <c r="M334" s="59"/>
      <c r="N334" s="59"/>
      <c r="O334" s="59"/>
      <c r="P334" s="59"/>
      <c r="Q334" s="59"/>
      <c r="R334" s="59"/>
      <c r="S334" s="59"/>
      <c r="T334" s="59"/>
      <c r="U334" s="59"/>
      <c r="V334" s="59"/>
      <c r="W334" s="59"/>
      <c r="X334" s="59"/>
      <c r="Y334" s="59"/>
    </row>
    <row r="335" ht="35.25" customHeight="1">
      <c r="A335" s="59"/>
      <c r="B335" s="59"/>
      <c r="C335" s="59"/>
      <c r="D335" s="59"/>
      <c r="E335" s="59"/>
      <c r="F335" s="59"/>
      <c r="G335" s="59"/>
      <c r="H335" s="178"/>
      <c r="I335" s="178"/>
      <c r="J335" s="59"/>
      <c r="K335" s="59"/>
      <c r="L335" s="59"/>
      <c r="M335" s="59"/>
      <c r="N335" s="59"/>
      <c r="O335" s="59"/>
      <c r="P335" s="59"/>
      <c r="Q335" s="59"/>
      <c r="R335" s="59"/>
      <c r="S335" s="59"/>
      <c r="T335" s="59"/>
      <c r="U335" s="59"/>
      <c r="V335" s="59"/>
      <c r="W335" s="59"/>
      <c r="X335" s="59"/>
      <c r="Y335" s="59"/>
    </row>
    <row r="336" ht="35.25" customHeight="1">
      <c r="A336" s="59"/>
      <c r="B336" s="59"/>
      <c r="C336" s="59"/>
      <c r="D336" s="59"/>
      <c r="E336" s="59"/>
      <c r="F336" s="59"/>
      <c r="G336" s="59"/>
      <c r="H336" s="178"/>
      <c r="I336" s="178"/>
      <c r="J336" s="59"/>
      <c r="K336" s="59"/>
      <c r="L336" s="59"/>
      <c r="M336" s="59"/>
      <c r="N336" s="59"/>
      <c r="O336" s="59"/>
      <c r="P336" s="59"/>
      <c r="Q336" s="59"/>
      <c r="R336" s="59"/>
      <c r="S336" s="59"/>
      <c r="T336" s="59"/>
      <c r="U336" s="59"/>
      <c r="V336" s="59"/>
      <c r="W336" s="59"/>
      <c r="X336" s="59"/>
      <c r="Y336" s="59"/>
    </row>
    <row r="337" ht="35.25" customHeight="1">
      <c r="A337" s="59"/>
      <c r="B337" s="59"/>
      <c r="C337" s="59"/>
      <c r="D337" s="59"/>
      <c r="E337" s="59"/>
      <c r="F337" s="59"/>
      <c r="G337" s="59"/>
      <c r="H337" s="178"/>
      <c r="I337" s="178"/>
      <c r="J337" s="59"/>
      <c r="K337" s="59"/>
      <c r="L337" s="59"/>
      <c r="M337" s="59"/>
      <c r="N337" s="59"/>
      <c r="O337" s="59"/>
      <c r="P337" s="59"/>
      <c r="Q337" s="59"/>
      <c r="R337" s="59"/>
      <c r="S337" s="59"/>
      <c r="T337" s="59"/>
      <c r="U337" s="59"/>
      <c r="V337" s="59"/>
      <c r="W337" s="59"/>
      <c r="X337" s="59"/>
      <c r="Y337" s="59"/>
    </row>
    <row r="338" ht="35.25" customHeight="1">
      <c r="A338" s="59"/>
      <c r="B338" s="59"/>
      <c r="C338" s="59"/>
      <c r="D338" s="59"/>
      <c r="E338" s="59"/>
      <c r="F338" s="59"/>
      <c r="G338" s="59"/>
      <c r="H338" s="178"/>
      <c r="I338" s="178"/>
      <c r="J338" s="59"/>
      <c r="K338" s="59"/>
      <c r="L338" s="59"/>
      <c r="M338" s="59"/>
      <c r="N338" s="59"/>
      <c r="O338" s="59"/>
      <c r="P338" s="59"/>
      <c r="Q338" s="59"/>
      <c r="R338" s="59"/>
      <c r="S338" s="59"/>
      <c r="T338" s="59"/>
      <c r="U338" s="59"/>
      <c r="V338" s="59"/>
      <c r="W338" s="59"/>
      <c r="X338" s="59"/>
      <c r="Y338" s="59"/>
    </row>
    <row r="339" ht="35.25" customHeight="1">
      <c r="A339" s="59"/>
      <c r="B339" s="59"/>
      <c r="C339" s="59"/>
      <c r="D339" s="59"/>
      <c r="E339" s="59"/>
      <c r="F339" s="59"/>
      <c r="G339" s="59"/>
      <c r="H339" s="178"/>
      <c r="I339" s="178"/>
      <c r="J339" s="59"/>
      <c r="K339" s="59"/>
      <c r="L339" s="59"/>
      <c r="M339" s="59"/>
      <c r="N339" s="59"/>
      <c r="O339" s="59"/>
      <c r="P339" s="59"/>
      <c r="Q339" s="59"/>
      <c r="R339" s="59"/>
      <c r="S339" s="59"/>
      <c r="T339" s="59"/>
      <c r="U339" s="59"/>
      <c r="V339" s="59"/>
      <c r="W339" s="59"/>
      <c r="X339" s="59"/>
      <c r="Y339" s="59"/>
    </row>
    <row r="340" ht="35.25" customHeight="1">
      <c r="A340" s="59"/>
      <c r="B340" s="59"/>
      <c r="C340" s="59"/>
      <c r="D340" s="59"/>
      <c r="E340" s="59"/>
      <c r="F340" s="59"/>
      <c r="G340" s="59"/>
      <c r="H340" s="178"/>
      <c r="I340" s="178"/>
      <c r="J340" s="59"/>
      <c r="K340" s="59"/>
      <c r="L340" s="59"/>
      <c r="M340" s="59"/>
      <c r="N340" s="59"/>
      <c r="O340" s="59"/>
      <c r="P340" s="59"/>
      <c r="Q340" s="59"/>
      <c r="R340" s="59"/>
      <c r="S340" s="59"/>
      <c r="T340" s="59"/>
      <c r="U340" s="59"/>
      <c r="V340" s="59"/>
      <c r="W340" s="59"/>
      <c r="X340" s="59"/>
      <c r="Y340" s="59"/>
    </row>
    <row r="341" ht="35.25" customHeight="1">
      <c r="A341" s="59"/>
      <c r="B341" s="59"/>
      <c r="C341" s="59"/>
      <c r="D341" s="59"/>
      <c r="E341" s="59"/>
      <c r="F341" s="59"/>
      <c r="G341" s="59"/>
      <c r="H341" s="178"/>
      <c r="I341" s="178"/>
      <c r="J341" s="59"/>
      <c r="K341" s="59"/>
      <c r="L341" s="59"/>
      <c r="M341" s="59"/>
      <c r="N341" s="59"/>
      <c r="O341" s="59"/>
      <c r="P341" s="59"/>
      <c r="Q341" s="59"/>
      <c r="R341" s="59"/>
      <c r="S341" s="59"/>
      <c r="T341" s="59"/>
      <c r="U341" s="59"/>
      <c r="V341" s="59"/>
      <c r="W341" s="59"/>
      <c r="X341" s="59"/>
      <c r="Y341" s="59"/>
    </row>
    <row r="342" ht="35.25" customHeight="1">
      <c r="A342" s="59"/>
      <c r="B342" s="59"/>
      <c r="C342" s="59"/>
      <c r="D342" s="59"/>
      <c r="E342" s="59"/>
      <c r="F342" s="59"/>
      <c r="G342" s="59"/>
      <c r="H342" s="178"/>
      <c r="I342" s="178"/>
      <c r="J342" s="59"/>
      <c r="K342" s="59"/>
      <c r="L342" s="59"/>
      <c r="M342" s="59"/>
      <c r="N342" s="59"/>
      <c r="O342" s="59"/>
      <c r="P342" s="59"/>
      <c r="Q342" s="59"/>
      <c r="R342" s="59"/>
      <c r="S342" s="59"/>
      <c r="T342" s="59"/>
      <c r="U342" s="59"/>
      <c r="V342" s="59"/>
      <c r="W342" s="59"/>
      <c r="X342" s="59"/>
      <c r="Y342" s="59"/>
    </row>
    <row r="343" ht="35.25" customHeight="1">
      <c r="A343" s="59"/>
      <c r="B343" s="59"/>
      <c r="C343" s="59"/>
      <c r="D343" s="59"/>
      <c r="E343" s="59"/>
      <c r="F343" s="59"/>
      <c r="G343" s="59"/>
      <c r="H343" s="178"/>
      <c r="I343" s="178"/>
      <c r="J343" s="59"/>
      <c r="K343" s="59"/>
      <c r="L343" s="59"/>
      <c r="M343" s="59"/>
      <c r="N343" s="59"/>
      <c r="O343" s="59"/>
      <c r="P343" s="59"/>
      <c r="Q343" s="59"/>
      <c r="R343" s="59"/>
      <c r="S343" s="59"/>
      <c r="T343" s="59"/>
      <c r="U343" s="59"/>
      <c r="V343" s="59"/>
      <c r="W343" s="59"/>
      <c r="X343" s="59"/>
      <c r="Y343" s="59"/>
    </row>
    <row r="344" ht="35.25" customHeight="1">
      <c r="A344" s="59"/>
      <c r="B344" s="59"/>
      <c r="C344" s="59"/>
      <c r="D344" s="59"/>
      <c r="E344" s="59"/>
      <c r="F344" s="59"/>
      <c r="G344" s="59"/>
      <c r="H344" s="178"/>
      <c r="I344" s="178"/>
      <c r="J344" s="59"/>
      <c r="K344" s="59"/>
      <c r="L344" s="59"/>
      <c r="M344" s="59"/>
      <c r="N344" s="59"/>
      <c r="O344" s="59"/>
      <c r="P344" s="59"/>
      <c r="Q344" s="59"/>
      <c r="R344" s="59"/>
      <c r="S344" s="59"/>
      <c r="T344" s="59"/>
      <c r="U344" s="59"/>
      <c r="V344" s="59"/>
      <c r="W344" s="59"/>
      <c r="X344" s="59"/>
      <c r="Y344" s="59"/>
    </row>
    <row r="345" ht="35.25" customHeight="1">
      <c r="A345" s="59"/>
      <c r="B345" s="59"/>
      <c r="C345" s="59"/>
      <c r="D345" s="59"/>
      <c r="E345" s="59"/>
      <c r="F345" s="59"/>
      <c r="G345" s="59"/>
      <c r="H345" s="178"/>
      <c r="I345" s="178"/>
      <c r="J345" s="59"/>
      <c r="K345" s="59"/>
      <c r="L345" s="59"/>
      <c r="M345" s="59"/>
      <c r="N345" s="59"/>
      <c r="O345" s="59"/>
      <c r="P345" s="59"/>
      <c r="Q345" s="59"/>
      <c r="R345" s="59"/>
      <c r="S345" s="59"/>
      <c r="T345" s="59"/>
      <c r="U345" s="59"/>
      <c r="V345" s="59"/>
      <c r="W345" s="59"/>
      <c r="X345" s="59"/>
      <c r="Y345" s="59"/>
    </row>
    <row r="346" ht="35.25" customHeight="1">
      <c r="A346" s="59"/>
      <c r="B346" s="59"/>
      <c r="C346" s="59"/>
      <c r="D346" s="59"/>
      <c r="E346" s="59"/>
      <c r="F346" s="59"/>
      <c r="G346" s="59"/>
      <c r="H346" s="178"/>
      <c r="I346" s="178"/>
      <c r="J346" s="59"/>
      <c r="K346" s="59"/>
      <c r="L346" s="59"/>
      <c r="M346" s="59"/>
      <c r="N346" s="59"/>
      <c r="O346" s="59"/>
      <c r="P346" s="59"/>
      <c r="Q346" s="59"/>
      <c r="R346" s="59"/>
      <c r="S346" s="59"/>
      <c r="T346" s="59"/>
      <c r="U346" s="59"/>
      <c r="V346" s="59"/>
      <c r="W346" s="59"/>
      <c r="X346" s="59"/>
      <c r="Y346" s="59"/>
    </row>
    <row r="347" ht="35.25" customHeight="1">
      <c r="A347" s="59"/>
      <c r="B347" s="59"/>
      <c r="C347" s="59"/>
      <c r="D347" s="59"/>
      <c r="E347" s="59"/>
      <c r="F347" s="59"/>
      <c r="G347" s="59"/>
      <c r="H347" s="178"/>
      <c r="I347" s="178"/>
      <c r="J347" s="59"/>
      <c r="K347" s="59"/>
      <c r="L347" s="59"/>
      <c r="M347" s="59"/>
      <c r="N347" s="59"/>
      <c r="O347" s="59"/>
      <c r="P347" s="59"/>
      <c r="Q347" s="59"/>
      <c r="R347" s="59"/>
      <c r="S347" s="59"/>
      <c r="T347" s="59"/>
      <c r="U347" s="59"/>
      <c r="V347" s="59"/>
      <c r="W347" s="59"/>
      <c r="X347" s="59"/>
      <c r="Y347" s="59"/>
    </row>
    <row r="348" ht="35.25" customHeight="1">
      <c r="A348" s="59"/>
      <c r="B348" s="59"/>
      <c r="C348" s="59"/>
      <c r="D348" s="59"/>
      <c r="E348" s="59"/>
      <c r="F348" s="59"/>
      <c r="G348" s="59"/>
      <c r="H348" s="178"/>
      <c r="I348" s="178"/>
      <c r="J348" s="59"/>
      <c r="K348" s="59"/>
      <c r="L348" s="59"/>
      <c r="M348" s="59"/>
      <c r="N348" s="59"/>
      <c r="O348" s="59"/>
      <c r="P348" s="59"/>
      <c r="Q348" s="59"/>
      <c r="R348" s="59"/>
      <c r="S348" s="59"/>
      <c r="T348" s="59"/>
      <c r="U348" s="59"/>
      <c r="V348" s="59"/>
      <c r="W348" s="59"/>
      <c r="X348" s="59"/>
      <c r="Y348" s="59"/>
    </row>
    <row r="349" ht="35.25" customHeight="1">
      <c r="A349" s="59"/>
      <c r="B349" s="59"/>
      <c r="C349" s="59"/>
      <c r="D349" s="59"/>
      <c r="E349" s="59"/>
      <c r="F349" s="59"/>
      <c r="G349" s="59"/>
      <c r="H349" s="178"/>
      <c r="I349" s="178"/>
      <c r="J349" s="59"/>
      <c r="K349" s="59"/>
      <c r="L349" s="59"/>
      <c r="M349" s="59"/>
      <c r="N349" s="59"/>
      <c r="O349" s="59"/>
      <c r="P349" s="59"/>
      <c r="Q349" s="59"/>
      <c r="R349" s="59"/>
      <c r="S349" s="59"/>
      <c r="T349" s="59"/>
      <c r="U349" s="59"/>
      <c r="V349" s="59"/>
      <c r="W349" s="59"/>
      <c r="X349" s="59"/>
      <c r="Y349" s="59"/>
    </row>
    <row r="350" ht="35.25" customHeight="1">
      <c r="A350" s="59"/>
      <c r="B350" s="59"/>
      <c r="C350" s="59"/>
      <c r="D350" s="59"/>
      <c r="E350" s="59"/>
      <c r="F350" s="59"/>
      <c r="G350" s="59"/>
      <c r="H350" s="178"/>
      <c r="I350" s="178"/>
      <c r="J350" s="59"/>
      <c r="K350" s="59"/>
      <c r="L350" s="59"/>
      <c r="M350" s="59"/>
      <c r="N350" s="59"/>
      <c r="O350" s="59"/>
      <c r="P350" s="59"/>
      <c r="Q350" s="59"/>
      <c r="R350" s="59"/>
      <c r="S350" s="59"/>
      <c r="T350" s="59"/>
      <c r="U350" s="59"/>
      <c r="V350" s="59"/>
      <c r="W350" s="59"/>
      <c r="X350" s="59"/>
      <c r="Y350" s="59"/>
    </row>
    <row r="351" ht="35.25" customHeight="1">
      <c r="A351" s="59"/>
      <c r="B351" s="59"/>
      <c r="C351" s="59"/>
      <c r="D351" s="59"/>
      <c r="E351" s="59"/>
      <c r="F351" s="59"/>
      <c r="G351" s="59"/>
      <c r="H351" s="178"/>
      <c r="I351" s="178"/>
      <c r="J351" s="59"/>
      <c r="K351" s="59"/>
      <c r="L351" s="59"/>
      <c r="M351" s="59"/>
      <c r="N351" s="59"/>
      <c r="O351" s="59"/>
      <c r="P351" s="59"/>
      <c r="Q351" s="59"/>
      <c r="R351" s="59"/>
      <c r="S351" s="59"/>
      <c r="T351" s="59"/>
      <c r="U351" s="59"/>
      <c r="V351" s="59"/>
      <c r="W351" s="59"/>
      <c r="X351" s="59"/>
      <c r="Y351" s="59"/>
    </row>
    <row r="352" ht="35.25" customHeight="1">
      <c r="A352" s="59"/>
      <c r="B352" s="59"/>
      <c r="C352" s="59"/>
      <c r="D352" s="59"/>
      <c r="E352" s="59"/>
      <c r="F352" s="59"/>
      <c r="G352" s="59"/>
      <c r="H352" s="178"/>
      <c r="I352" s="178"/>
      <c r="J352" s="59"/>
      <c r="K352" s="59"/>
      <c r="L352" s="59"/>
      <c r="M352" s="59"/>
      <c r="N352" s="59"/>
      <c r="O352" s="59"/>
      <c r="P352" s="59"/>
      <c r="Q352" s="59"/>
      <c r="R352" s="59"/>
      <c r="S352" s="59"/>
      <c r="T352" s="59"/>
      <c r="U352" s="59"/>
      <c r="V352" s="59"/>
      <c r="W352" s="59"/>
      <c r="X352" s="59"/>
      <c r="Y352" s="59"/>
    </row>
    <row r="353" ht="35.25" customHeight="1">
      <c r="A353" s="59"/>
      <c r="B353" s="59"/>
      <c r="C353" s="59"/>
      <c r="D353" s="59"/>
      <c r="E353" s="59"/>
      <c r="F353" s="59"/>
      <c r="G353" s="59"/>
      <c r="H353" s="178"/>
      <c r="I353" s="178"/>
      <c r="J353" s="59"/>
      <c r="K353" s="59"/>
      <c r="L353" s="59"/>
      <c r="M353" s="59"/>
      <c r="N353" s="59"/>
      <c r="O353" s="59"/>
      <c r="P353" s="59"/>
      <c r="Q353" s="59"/>
      <c r="R353" s="59"/>
      <c r="S353" s="59"/>
      <c r="T353" s="59"/>
      <c r="U353" s="59"/>
      <c r="V353" s="59"/>
      <c r="W353" s="59"/>
      <c r="X353" s="59"/>
      <c r="Y353" s="59"/>
    </row>
    <row r="354" ht="35.25" customHeight="1">
      <c r="A354" s="59"/>
      <c r="B354" s="59"/>
      <c r="C354" s="59"/>
      <c r="D354" s="59"/>
      <c r="E354" s="59"/>
      <c r="F354" s="59"/>
      <c r="G354" s="59"/>
      <c r="H354" s="178"/>
      <c r="I354" s="178"/>
      <c r="J354" s="59"/>
      <c r="K354" s="59"/>
      <c r="L354" s="59"/>
      <c r="M354" s="59"/>
      <c r="N354" s="59"/>
      <c r="O354" s="59"/>
      <c r="P354" s="59"/>
      <c r="Q354" s="59"/>
      <c r="R354" s="59"/>
      <c r="S354" s="59"/>
      <c r="T354" s="59"/>
      <c r="U354" s="59"/>
      <c r="V354" s="59"/>
      <c r="W354" s="59"/>
      <c r="X354" s="59"/>
      <c r="Y354" s="59"/>
    </row>
    <row r="355" ht="35.25" customHeight="1">
      <c r="A355" s="59"/>
      <c r="B355" s="59"/>
      <c r="C355" s="59"/>
      <c r="D355" s="59"/>
      <c r="E355" s="59"/>
      <c r="F355" s="59"/>
      <c r="G355" s="59"/>
      <c r="H355" s="178"/>
      <c r="I355" s="178"/>
      <c r="J355" s="59"/>
      <c r="K355" s="59"/>
      <c r="L355" s="59"/>
      <c r="M355" s="59"/>
      <c r="N355" s="59"/>
      <c r="O355" s="59"/>
      <c r="P355" s="59"/>
      <c r="Q355" s="59"/>
      <c r="R355" s="59"/>
      <c r="S355" s="59"/>
      <c r="T355" s="59"/>
      <c r="U355" s="59"/>
      <c r="V355" s="59"/>
      <c r="W355" s="59"/>
      <c r="X355" s="59"/>
      <c r="Y355" s="59"/>
    </row>
    <row r="356" ht="35.25" customHeight="1">
      <c r="A356" s="59"/>
      <c r="B356" s="59"/>
      <c r="C356" s="59"/>
      <c r="D356" s="59"/>
      <c r="E356" s="59"/>
      <c r="F356" s="59"/>
      <c r="G356" s="59"/>
      <c r="H356" s="178"/>
      <c r="I356" s="178"/>
      <c r="J356" s="59"/>
      <c r="K356" s="59"/>
      <c r="L356" s="59"/>
      <c r="M356" s="59"/>
      <c r="N356" s="59"/>
      <c r="O356" s="59"/>
      <c r="P356" s="59"/>
      <c r="Q356" s="59"/>
      <c r="R356" s="59"/>
      <c r="S356" s="59"/>
      <c r="T356" s="59"/>
      <c r="U356" s="59"/>
      <c r="V356" s="59"/>
      <c r="W356" s="59"/>
      <c r="X356" s="59"/>
      <c r="Y356" s="59"/>
    </row>
    <row r="357" ht="35.25" customHeight="1">
      <c r="A357" s="59"/>
      <c r="B357" s="59"/>
      <c r="C357" s="59"/>
      <c r="D357" s="59"/>
      <c r="E357" s="59"/>
      <c r="F357" s="59"/>
      <c r="G357" s="59"/>
      <c r="H357" s="178"/>
      <c r="I357" s="178"/>
      <c r="J357" s="59"/>
      <c r="K357" s="59"/>
      <c r="L357" s="59"/>
      <c r="M357" s="59"/>
      <c r="N357" s="59"/>
      <c r="O357" s="59"/>
      <c r="P357" s="59"/>
      <c r="Q357" s="59"/>
      <c r="R357" s="59"/>
      <c r="S357" s="59"/>
      <c r="T357" s="59"/>
      <c r="U357" s="59"/>
      <c r="V357" s="59"/>
      <c r="W357" s="59"/>
      <c r="X357" s="59"/>
      <c r="Y357" s="59"/>
    </row>
    <row r="358" ht="35.25" customHeight="1">
      <c r="A358" s="59"/>
      <c r="B358" s="59"/>
      <c r="C358" s="59"/>
      <c r="D358" s="59"/>
      <c r="E358" s="59"/>
      <c r="F358" s="59"/>
      <c r="G358" s="59"/>
      <c r="H358" s="178"/>
      <c r="I358" s="178"/>
      <c r="J358" s="59"/>
      <c r="K358" s="59"/>
      <c r="L358" s="59"/>
      <c r="M358" s="59"/>
      <c r="N358" s="59"/>
      <c r="O358" s="59"/>
      <c r="P358" s="59"/>
      <c r="Q358" s="59"/>
      <c r="R358" s="59"/>
      <c r="S358" s="59"/>
      <c r="T358" s="59"/>
      <c r="U358" s="59"/>
      <c r="V358" s="59"/>
      <c r="W358" s="59"/>
      <c r="X358" s="59"/>
      <c r="Y358" s="59"/>
    </row>
    <row r="359" ht="35.25" customHeight="1">
      <c r="A359" s="59"/>
      <c r="B359" s="59"/>
      <c r="C359" s="59"/>
      <c r="D359" s="59"/>
      <c r="E359" s="59"/>
      <c r="F359" s="59"/>
      <c r="G359" s="59"/>
      <c r="H359" s="178"/>
      <c r="I359" s="178"/>
      <c r="J359" s="59"/>
      <c r="K359" s="59"/>
      <c r="L359" s="59"/>
      <c r="M359" s="59"/>
      <c r="N359" s="59"/>
      <c r="O359" s="59"/>
      <c r="P359" s="59"/>
      <c r="Q359" s="59"/>
      <c r="R359" s="59"/>
      <c r="S359" s="59"/>
      <c r="T359" s="59"/>
      <c r="U359" s="59"/>
      <c r="V359" s="59"/>
      <c r="W359" s="59"/>
      <c r="X359" s="59"/>
      <c r="Y359" s="59"/>
    </row>
    <row r="360" ht="35.25" customHeight="1">
      <c r="A360" s="59"/>
      <c r="B360" s="59"/>
      <c r="C360" s="59"/>
      <c r="D360" s="59"/>
      <c r="E360" s="59"/>
      <c r="F360" s="59"/>
      <c r="G360" s="59"/>
      <c r="H360" s="178"/>
      <c r="I360" s="178"/>
      <c r="J360" s="59"/>
      <c r="K360" s="59"/>
      <c r="L360" s="59"/>
      <c r="M360" s="59"/>
      <c r="N360" s="59"/>
      <c r="O360" s="59"/>
      <c r="P360" s="59"/>
      <c r="Q360" s="59"/>
      <c r="R360" s="59"/>
      <c r="S360" s="59"/>
      <c r="T360" s="59"/>
      <c r="U360" s="59"/>
      <c r="V360" s="59"/>
      <c r="W360" s="59"/>
      <c r="X360" s="59"/>
      <c r="Y360" s="59"/>
    </row>
    <row r="361" ht="35.25" customHeight="1">
      <c r="A361" s="59"/>
      <c r="B361" s="59"/>
      <c r="C361" s="59"/>
      <c r="D361" s="59"/>
      <c r="E361" s="59"/>
      <c r="F361" s="59"/>
      <c r="G361" s="59"/>
      <c r="H361" s="178"/>
      <c r="I361" s="178"/>
      <c r="J361" s="59"/>
      <c r="K361" s="59"/>
      <c r="L361" s="59"/>
      <c r="M361" s="59"/>
      <c r="N361" s="59"/>
      <c r="O361" s="59"/>
      <c r="P361" s="59"/>
      <c r="Q361" s="59"/>
      <c r="R361" s="59"/>
      <c r="S361" s="59"/>
      <c r="T361" s="59"/>
      <c r="U361" s="59"/>
      <c r="V361" s="59"/>
      <c r="W361" s="59"/>
      <c r="X361" s="59"/>
      <c r="Y361" s="59"/>
    </row>
    <row r="362" ht="35.25" customHeight="1">
      <c r="A362" s="59"/>
      <c r="B362" s="59"/>
      <c r="C362" s="59"/>
      <c r="D362" s="59"/>
      <c r="E362" s="59"/>
      <c r="F362" s="59"/>
      <c r="G362" s="59"/>
      <c r="H362" s="178"/>
      <c r="I362" s="178"/>
      <c r="J362" s="59"/>
      <c r="K362" s="59"/>
      <c r="L362" s="59"/>
      <c r="M362" s="59"/>
      <c r="N362" s="59"/>
      <c r="O362" s="59"/>
      <c r="P362" s="59"/>
      <c r="Q362" s="59"/>
      <c r="R362" s="59"/>
      <c r="S362" s="59"/>
      <c r="T362" s="59"/>
      <c r="U362" s="59"/>
      <c r="V362" s="59"/>
      <c r="W362" s="59"/>
      <c r="X362" s="59"/>
      <c r="Y362" s="59"/>
    </row>
    <row r="363" ht="35.25" customHeight="1">
      <c r="A363" s="59"/>
      <c r="B363" s="59"/>
      <c r="C363" s="59"/>
      <c r="D363" s="59"/>
      <c r="E363" s="59"/>
      <c r="F363" s="59"/>
      <c r="G363" s="59"/>
      <c r="H363" s="178"/>
      <c r="I363" s="178"/>
      <c r="J363" s="59"/>
      <c r="K363" s="59"/>
      <c r="L363" s="59"/>
      <c r="M363" s="59"/>
      <c r="N363" s="59"/>
      <c r="O363" s="59"/>
      <c r="P363" s="59"/>
      <c r="Q363" s="59"/>
      <c r="R363" s="59"/>
      <c r="S363" s="59"/>
      <c r="T363" s="59"/>
      <c r="U363" s="59"/>
      <c r="V363" s="59"/>
      <c r="W363" s="59"/>
      <c r="X363" s="59"/>
      <c r="Y363" s="59"/>
    </row>
    <row r="364" ht="35.25" customHeight="1">
      <c r="A364" s="59"/>
      <c r="B364" s="59"/>
      <c r="C364" s="59"/>
      <c r="D364" s="59"/>
      <c r="E364" s="59"/>
      <c r="F364" s="59"/>
      <c r="G364" s="59"/>
      <c r="H364" s="178"/>
      <c r="I364" s="178"/>
      <c r="J364" s="59"/>
      <c r="K364" s="59"/>
      <c r="L364" s="59"/>
      <c r="M364" s="59"/>
      <c r="N364" s="59"/>
      <c r="O364" s="59"/>
      <c r="P364" s="59"/>
      <c r="Q364" s="59"/>
      <c r="R364" s="59"/>
      <c r="S364" s="59"/>
      <c r="T364" s="59"/>
      <c r="U364" s="59"/>
      <c r="V364" s="59"/>
      <c r="W364" s="59"/>
      <c r="X364" s="59"/>
      <c r="Y364" s="59"/>
    </row>
    <row r="365" ht="35.25" customHeight="1">
      <c r="A365" s="59"/>
      <c r="B365" s="59"/>
      <c r="C365" s="59"/>
      <c r="D365" s="59"/>
      <c r="E365" s="59"/>
      <c r="F365" s="59"/>
      <c r="G365" s="59"/>
      <c r="H365" s="178"/>
      <c r="I365" s="178"/>
      <c r="J365" s="59"/>
      <c r="K365" s="59"/>
      <c r="L365" s="59"/>
      <c r="M365" s="59"/>
      <c r="N365" s="59"/>
      <c r="O365" s="59"/>
      <c r="P365" s="59"/>
      <c r="Q365" s="59"/>
      <c r="R365" s="59"/>
      <c r="S365" s="59"/>
      <c r="T365" s="59"/>
      <c r="U365" s="59"/>
      <c r="V365" s="59"/>
      <c r="W365" s="59"/>
      <c r="X365" s="59"/>
      <c r="Y365" s="59"/>
    </row>
    <row r="366" ht="35.25" customHeight="1">
      <c r="A366" s="59"/>
      <c r="B366" s="59"/>
      <c r="C366" s="59"/>
      <c r="D366" s="59"/>
      <c r="E366" s="59"/>
      <c r="F366" s="59"/>
      <c r="G366" s="59"/>
      <c r="H366" s="178"/>
      <c r="I366" s="178"/>
      <c r="J366" s="59"/>
      <c r="K366" s="59"/>
      <c r="L366" s="59"/>
      <c r="M366" s="59"/>
      <c r="N366" s="59"/>
      <c r="O366" s="59"/>
      <c r="P366" s="59"/>
      <c r="Q366" s="59"/>
      <c r="R366" s="59"/>
      <c r="S366" s="59"/>
      <c r="T366" s="59"/>
      <c r="U366" s="59"/>
      <c r="V366" s="59"/>
      <c r="W366" s="59"/>
      <c r="X366" s="59"/>
      <c r="Y366" s="59"/>
    </row>
    <row r="367" ht="35.25" customHeight="1">
      <c r="A367" s="59"/>
      <c r="B367" s="59"/>
      <c r="C367" s="59"/>
      <c r="D367" s="59"/>
      <c r="E367" s="59"/>
      <c r="F367" s="59"/>
      <c r="G367" s="59"/>
      <c r="H367" s="178"/>
      <c r="I367" s="178"/>
      <c r="J367" s="59"/>
      <c r="K367" s="59"/>
      <c r="L367" s="59"/>
      <c r="M367" s="59"/>
      <c r="N367" s="59"/>
      <c r="O367" s="59"/>
      <c r="P367" s="59"/>
      <c r="Q367" s="59"/>
      <c r="R367" s="59"/>
      <c r="S367" s="59"/>
      <c r="T367" s="59"/>
      <c r="U367" s="59"/>
      <c r="V367" s="59"/>
      <c r="W367" s="59"/>
      <c r="X367" s="59"/>
      <c r="Y367" s="59"/>
    </row>
    <row r="368" ht="35.25" customHeight="1">
      <c r="A368" s="59"/>
      <c r="B368" s="59"/>
      <c r="C368" s="59"/>
      <c r="D368" s="59"/>
      <c r="E368" s="59"/>
      <c r="F368" s="59"/>
      <c r="G368" s="59"/>
      <c r="H368" s="178"/>
      <c r="I368" s="178"/>
      <c r="J368" s="59"/>
      <c r="K368" s="59"/>
      <c r="L368" s="59"/>
      <c r="M368" s="59"/>
      <c r="N368" s="59"/>
      <c r="O368" s="59"/>
      <c r="P368" s="59"/>
      <c r="Q368" s="59"/>
      <c r="R368" s="59"/>
      <c r="S368" s="59"/>
      <c r="T368" s="59"/>
      <c r="U368" s="59"/>
      <c r="V368" s="59"/>
      <c r="W368" s="59"/>
      <c r="X368" s="59"/>
      <c r="Y368" s="59"/>
    </row>
    <row r="369" ht="35.25" customHeight="1">
      <c r="A369" s="59"/>
      <c r="B369" s="59"/>
      <c r="C369" s="59"/>
      <c r="D369" s="59"/>
      <c r="E369" s="59"/>
      <c r="F369" s="59"/>
      <c r="G369" s="59"/>
      <c r="H369" s="178"/>
      <c r="I369" s="178"/>
      <c r="J369" s="59"/>
      <c r="K369" s="59"/>
      <c r="L369" s="59"/>
      <c r="M369" s="59"/>
      <c r="N369" s="59"/>
      <c r="O369" s="59"/>
      <c r="P369" s="59"/>
      <c r="Q369" s="59"/>
      <c r="R369" s="59"/>
      <c r="S369" s="59"/>
      <c r="T369" s="59"/>
      <c r="U369" s="59"/>
      <c r="V369" s="59"/>
      <c r="W369" s="59"/>
      <c r="X369" s="59"/>
      <c r="Y369" s="59"/>
    </row>
    <row r="370" ht="35.25" customHeight="1">
      <c r="A370" s="59"/>
      <c r="B370" s="59"/>
      <c r="C370" s="59"/>
      <c r="D370" s="59"/>
      <c r="E370" s="59"/>
      <c r="F370" s="59"/>
      <c r="G370" s="59"/>
      <c r="H370" s="178"/>
      <c r="I370" s="178"/>
      <c r="J370" s="59"/>
      <c r="K370" s="59"/>
      <c r="L370" s="59"/>
      <c r="M370" s="59"/>
      <c r="N370" s="59"/>
      <c r="O370" s="59"/>
      <c r="P370" s="59"/>
      <c r="Q370" s="59"/>
      <c r="R370" s="59"/>
      <c r="S370" s="59"/>
      <c r="T370" s="59"/>
      <c r="U370" s="59"/>
      <c r="V370" s="59"/>
      <c r="W370" s="59"/>
      <c r="X370" s="59"/>
      <c r="Y370" s="59"/>
    </row>
    <row r="371" ht="35.25" customHeight="1">
      <c r="A371" s="59"/>
      <c r="B371" s="59"/>
      <c r="C371" s="59"/>
      <c r="D371" s="59"/>
      <c r="E371" s="59"/>
      <c r="F371" s="59"/>
      <c r="G371" s="59"/>
      <c r="H371" s="178"/>
      <c r="I371" s="178"/>
      <c r="J371" s="59"/>
      <c r="K371" s="59"/>
      <c r="L371" s="59"/>
      <c r="M371" s="59"/>
      <c r="N371" s="59"/>
      <c r="O371" s="59"/>
      <c r="P371" s="59"/>
      <c r="Q371" s="59"/>
      <c r="R371" s="59"/>
      <c r="S371" s="59"/>
      <c r="T371" s="59"/>
      <c r="U371" s="59"/>
      <c r="V371" s="59"/>
      <c r="W371" s="59"/>
      <c r="X371" s="59"/>
      <c r="Y371" s="59"/>
    </row>
    <row r="372" ht="35.25" customHeight="1">
      <c r="A372" s="59"/>
      <c r="B372" s="59"/>
      <c r="C372" s="59"/>
      <c r="D372" s="59"/>
      <c r="E372" s="59"/>
      <c r="F372" s="59"/>
      <c r="G372" s="59"/>
      <c r="H372" s="178"/>
      <c r="I372" s="178"/>
      <c r="J372" s="59"/>
      <c r="K372" s="59"/>
      <c r="L372" s="59"/>
      <c r="M372" s="59"/>
      <c r="N372" s="59"/>
      <c r="O372" s="59"/>
      <c r="P372" s="59"/>
      <c r="Q372" s="59"/>
      <c r="R372" s="59"/>
      <c r="S372" s="59"/>
      <c r="T372" s="59"/>
      <c r="U372" s="59"/>
      <c r="V372" s="59"/>
      <c r="W372" s="59"/>
      <c r="X372" s="59"/>
      <c r="Y372" s="59"/>
    </row>
    <row r="373" ht="35.25" customHeight="1">
      <c r="A373" s="59"/>
      <c r="B373" s="59"/>
      <c r="C373" s="59"/>
      <c r="D373" s="59"/>
      <c r="E373" s="59"/>
      <c r="F373" s="59"/>
      <c r="G373" s="59"/>
      <c r="H373" s="178"/>
      <c r="I373" s="178"/>
      <c r="J373" s="59"/>
      <c r="K373" s="59"/>
      <c r="L373" s="59"/>
      <c r="M373" s="59"/>
      <c r="N373" s="59"/>
      <c r="O373" s="59"/>
      <c r="P373" s="59"/>
      <c r="Q373" s="59"/>
      <c r="R373" s="59"/>
      <c r="S373" s="59"/>
      <c r="T373" s="59"/>
      <c r="U373" s="59"/>
      <c r="V373" s="59"/>
      <c r="W373" s="59"/>
      <c r="X373" s="59"/>
      <c r="Y373" s="59"/>
    </row>
    <row r="374" ht="35.25" customHeight="1">
      <c r="A374" s="59"/>
      <c r="B374" s="59"/>
      <c r="C374" s="59"/>
      <c r="D374" s="59"/>
      <c r="E374" s="59"/>
      <c r="F374" s="59"/>
      <c r="G374" s="59"/>
      <c r="H374" s="178"/>
      <c r="I374" s="178"/>
      <c r="J374" s="59"/>
      <c r="K374" s="59"/>
      <c r="L374" s="59"/>
      <c r="M374" s="59"/>
      <c r="N374" s="59"/>
      <c r="O374" s="59"/>
      <c r="P374" s="59"/>
      <c r="Q374" s="59"/>
      <c r="R374" s="59"/>
      <c r="S374" s="59"/>
      <c r="T374" s="59"/>
      <c r="U374" s="59"/>
      <c r="V374" s="59"/>
      <c r="W374" s="59"/>
      <c r="X374" s="59"/>
      <c r="Y374" s="59"/>
    </row>
    <row r="375" ht="35.25" customHeight="1">
      <c r="A375" s="59"/>
      <c r="B375" s="59"/>
      <c r="C375" s="59"/>
      <c r="D375" s="59"/>
      <c r="E375" s="59"/>
      <c r="F375" s="59"/>
      <c r="G375" s="59"/>
      <c r="H375" s="178"/>
      <c r="I375" s="178"/>
      <c r="J375" s="59"/>
      <c r="K375" s="59"/>
      <c r="L375" s="59"/>
      <c r="M375" s="59"/>
      <c r="N375" s="59"/>
      <c r="O375" s="59"/>
      <c r="P375" s="59"/>
      <c r="Q375" s="59"/>
      <c r="R375" s="59"/>
      <c r="S375" s="59"/>
      <c r="T375" s="59"/>
      <c r="U375" s="59"/>
      <c r="V375" s="59"/>
      <c r="W375" s="59"/>
      <c r="X375" s="59"/>
      <c r="Y375" s="59"/>
    </row>
    <row r="376" ht="35.25" customHeight="1">
      <c r="A376" s="59"/>
      <c r="B376" s="59"/>
      <c r="C376" s="59"/>
      <c r="D376" s="59"/>
      <c r="E376" s="59"/>
      <c r="F376" s="59"/>
      <c r="G376" s="59"/>
      <c r="H376" s="178"/>
      <c r="I376" s="178"/>
      <c r="J376" s="59"/>
      <c r="K376" s="59"/>
      <c r="L376" s="59"/>
      <c r="M376" s="59"/>
      <c r="N376" s="59"/>
      <c r="O376" s="59"/>
      <c r="P376" s="59"/>
      <c r="Q376" s="59"/>
      <c r="R376" s="59"/>
      <c r="S376" s="59"/>
      <c r="T376" s="59"/>
      <c r="U376" s="59"/>
      <c r="V376" s="59"/>
      <c r="W376" s="59"/>
      <c r="X376" s="59"/>
      <c r="Y376" s="59"/>
    </row>
    <row r="377" ht="35.25" customHeight="1">
      <c r="A377" s="59"/>
      <c r="B377" s="59"/>
      <c r="C377" s="59"/>
      <c r="D377" s="59"/>
      <c r="E377" s="59"/>
      <c r="F377" s="59"/>
      <c r="G377" s="59"/>
      <c r="H377" s="178"/>
      <c r="I377" s="178"/>
      <c r="J377" s="59"/>
      <c r="K377" s="59"/>
      <c r="L377" s="59"/>
      <c r="M377" s="59"/>
      <c r="N377" s="59"/>
      <c r="O377" s="59"/>
      <c r="P377" s="59"/>
      <c r="Q377" s="59"/>
      <c r="R377" s="59"/>
      <c r="S377" s="59"/>
      <c r="T377" s="59"/>
      <c r="U377" s="59"/>
      <c r="V377" s="59"/>
      <c r="W377" s="59"/>
      <c r="X377" s="59"/>
      <c r="Y377" s="59"/>
    </row>
    <row r="378" ht="35.25" customHeight="1">
      <c r="A378" s="59"/>
      <c r="B378" s="59"/>
      <c r="C378" s="59"/>
      <c r="D378" s="59"/>
      <c r="E378" s="59"/>
      <c r="F378" s="59"/>
      <c r="G378" s="59"/>
      <c r="H378" s="178"/>
      <c r="I378" s="178"/>
      <c r="J378" s="59"/>
      <c r="K378" s="59"/>
      <c r="L378" s="59"/>
      <c r="M378" s="59"/>
      <c r="N378" s="59"/>
      <c r="O378" s="59"/>
      <c r="P378" s="59"/>
      <c r="Q378" s="59"/>
      <c r="R378" s="59"/>
      <c r="S378" s="59"/>
      <c r="T378" s="59"/>
      <c r="U378" s="59"/>
      <c r="V378" s="59"/>
      <c r="W378" s="59"/>
      <c r="X378" s="59"/>
      <c r="Y378" s="59"/>
    </row>
    <row r="379" ht="35.25" customHeight="1">
      <c r="A379" s="59"/>
      <c r="B379" s="59"/>
      <c r="C379" s="59"/>
      <c r="D379" s="59"/>
      <c r="E379" s="59"/>
      <c r="F379" s="59"/>
      <c r="G379" s="59"/>
      <c r="H379" s="178"/>
      <c r="I379" s="178"/>
      <c r="J379" s="59"/>
      <c r="K379" s="59"/>
      <c r="L379" s="59"/>
      <c r="M379" s="59"/>
      <c r="N379" s="59"/>
      <c r="O379" s="59"/>
      <c r="P379" s="59"/>
      <c r="Q379" s="59"/>
      <c r="R379" s="59"/>
      <c r="S379" s="59"/>
      <c r="T379" s="59"/>
      <c r="U379" s="59"/>
      <c r="V379" s="59"/>
      <c r="W379" s="59"/>
      <c r="X379" s="59"/>
      <c r="Y379" s="59"/>
    </row>
    <row r="380" ht="35.25" customHeight="1">
      <c r="A380" s="59"/>
      <c r="B380" s="59"/>
      <c r="C380" s="59"/>
      <c r="D380" s="59"/>
      <c r="E380" s="59"/>
      <c r="F380" s="59"/>
      <c r="G380" s="59"/>
      <c r="H380" s="178"/>
      <c r="I380" s="178"/>
      <c r="J380" s="59"/>
      <c r="K380" s="59"/>
      <c r="L380" s="59"/>
      <c r="M380" s="59"/>
      <c r="N380" s="59"/>
      <c r="O380" s="59"/>
      <c r="P380" s="59"/>
      <c r="Q380" s="59"/>
      <c r="R380" s="59"/>
      <c r="S380" s="59"/>
      <c r="T380" s="59"/>
      <c r="U380" s="59"/>
      <c r="V380" s="59"/>
      <c r="W380" s="59"/>
      <c r="X380" s="59"/>
      <c r="Y380" s="59"/>
    </row>
    <row r="381" ht="35.25" customHeight="1">
      <c r="A381" s="59"/>
      <c r="B381" s="59"/>
      <c r="C381" s="59"/>
      <c r="D381" s="59"/>
      <c r="E381" s="59"/>
      <c r="F381" s="59"/>
      <c r="G381" s="59"/>
      <c r="H381" s="178"/>
      <c r="I381" s="178"/>
      <c r="J381" s="59"/>
      <c r="K381" s="59"/>
      <c r="L381" s="59"/>
      <c r="M381" s="59"/>
      <c r="N381" s="59"/>
      <c r="O381" s="59"/>
      <c r="P381" s="59"/>
      <c r="Q381" s="59"/>
      <c r="R381" s="59"/>
      <c r="S381" s="59"/>
      <c r="T381" s="59"/>
      <c r="U381" s="59"/>
      <c r="V381" s="59"/>
      <c r="W381" s="59"/>
      <c r="X381" s="59"/>
      <c r="Y381" s="59"/>
    </row>
    <row r="382" ht="35.25" customHeight="1">
      <c r="A382" s="59"/>
      <c r="B382" s="59"/>
      <c r="C382" s="59"/>
      <c r="D382" s="59"/>
      <c r="E382" s="59"/>
      <c r="F382" s="59"/>
      <c r="G382" s="59"/>
      <c r="H382" s="178"/>
      <c r="I382" s="178"/>
      <c r="J382" s="59"/>
      <c r="K382" s="59"/>
      <c r="L382" s="59"/>
      <c r="M382" s="59"/>
      <c r="N382" s="59"/>
      <c r="O382" s="59"/>
      <c r="P382" s="59"/>
      <c r="Q382" s="59"/>
      <c r="R382" s="59"/>
      <c r="S382" s="59"/>
      <c r="T382" s="59"/>
      <c r="U382" s="59"/>
      <c r="V382" s="59"/>
      <c r="W382" s="59"/>
      <c r="X382" s="59"/>
      <c r="Y382" s="59"/>
    </row>
    <row r="383" ht="35.25" customHeight="1">
      <c r="A383" s="59"/>
      <c r="B383" s="59"/>
      <c r="C383" s="59"/>
      <c r="D383" s="59"/>
      <c r="E383" s="59"/>
      <c r="F383" s="59"/>
      <c r="G383" s="59"/>
      <c r="H383" s="178"/>
      <c r="I383" s="178"/>
      <c r="J383" s="59"/>
      <c r="K383" s="59"/>
      <c r="L383" s="59"/>
      <c r="M383" s="59"/>
      <c r="N383" s="59"/>
      <c r="O383" s="59"/>
      <c r="P383" s="59"/>
      <c r="Q383" s="59"/>
      <c r="R383" s="59"/>
      <c r="S383" s="59"/>
      <c r="T383" s="59"/>
      <c r="U383" s="59"/>
      <c r="V383" s="59"/>
      <c r="W383" s="59"/>
      <c r="X383" s="59"/>
      <c r="Y383" s="59"/>
    </row>
    <row r="384" ht="35.25" customHeight="1">
      <c r="A384" s="59"/>
      <c r="B384" s="59"/>
      <c r="C384" s="59"/>
      <c r="D384" s="59"/>
      <c r="E384" s="59"/>
      <c r="F384" s="59"/>
      <c r="G384" s="59"/>
      <c r="H384" s="178"/>
      <c r="I384" s="178"/>
      <c r="J384" s="59"/>
      <c r="K384" s="59"/>
      <c r="L384" s="59"/>
      <c r="M384" s="59"/>
      <c r="N384" s="59"/>
      <c r="O384" s="59"/>
      <c r="P384" s="59"/>
      <c r="Q384" s="59"/>
      <c r="R384" s="59"/>
      <c r="S384" s="59"/>
      <c r="T384" s="59"/>
      <c r="U384" s="59"/>
      <c r="V384" s="59"/>
      <c r="W384" s="59"/>
      <c r="X384" s="59"/>
      <c r="Y384" s="59"/>
    </row>
    <row r="385" ht="35.25" customHeight="1">
      <c r="A385" s="59"/>
      <c r="B385" s="59"/>
      <c r="C385" s="59"/>
      <c r="D385" s="59"/>
      <c r="E385" s="59"/>
      <c r="F385" s="59"/>
      <c r="G385" s="59"/>
      <c r="H385" s="178"/>
      <c r="I385" s="178"/>
      <c r="J385" s="59"/>
      <c r="K385" s="59"/>
      <c r="L385" s="59"/>
      <c r="M385" s="59"/>
      <c r="N385" s="59"/>
      <c r="O385" s="59"/>
      <c r="P385" s="59"/>
      <c r="Q385" s="59"/>
      <c r="R385" s="59"/>
      <c r="S385" s="59"/>
      <c r="T385" s="59"/>
      <c r="U385" s="59"/>
      <c r="V385" s="59"/>
      <c r="W385" s="59"/>
      <c r="X385" s="59"/>
      <c r="Y385" s="59"/>
    </row>
    <row r="386" ht="35.25" customHeight="1">
      <c r="A386" s="59"/>
      <c r="B386" s="59"/>
      <c r="C386" s="59"/>
      <c r="D386" s="59"/>
      <c r="E386" s="59"/>
      <c r="F386" s="59"/>
      <c r="G386" s="59"/>
      <c r="H386" s="178"/>
      <c r="I386" s="178"/>
      <c r="J386" s="59"/>
      <c r="K386" s="59"/>
      <c r="L386" s="59"/>
      <c r="M386" s="59"/>
      <c r="N386" s="59"/>
      <c r="O386" s="59"/>
      <c r="P386" s="59"/>
      <c r="Q386" s="59"/>
      <c r="R386" s="59"/>
      <c r="S386" s="59"/>
      <c r="T386" s="59"/>
      <c r="U386" s="59"/>
      <c r="V386" s="59"/>
      <c r="W386" s="59"/>
      <c r="X386" s="59"/>
      <c r="Y386" s="59"/>
    </row>
    <row r="387" ht="35.25" customHeight="1">
      <c r="A387" s="59"/>
      <c r="B387" s="59"/>
      <c r="C387" s="59"/>
      <c r="D387" s="59"/>
      <c r="E387" s="59"/>
      <c r="F387" s="59"/>
      <c r="G387" s="59"/>
      <c r="H387" s="178"/>
      <c r="I387" s="178"/>
      <c r="J387" s="59"/>
      <c r="K387" s="59"/>
      <c r="L387" s="59"/>
      <c r="M387" s="59"/>
      <c r="N387" s="59"/>
      <c r="O387" s="59"/>
      <c r="P387" s="59"/>
      <c r="Q387" s="59"/>
      <c r="R387" s="59"/>
      <c r="S387" s="59"/>
      <c r="T387" s="59"/>
      <c r="U387" s="59"/>
      <c r="V387" s="59"/>
      <c r="W387" s="59"/>
      <c r="X387" s="59"/>
      <c r="Y387" s="59"/>
    </row>
    <row r="388" ht="35.25" customHeight="1">
      <c r="A388" s="59"/>
      <c r="B388" s="59"/>
      <c r="C388" s="59"/>
      <c r="D388" s="59"/>
      <c r="E388" s="59"/>
      <c r="F388" s="59"/>
      <c r="G388" s="59"/>
      <c r="H388" s="178"/>
      <c r="I388" s="178"/>
      <c r="J388" s="59"/>
      <c r="K388" s="59"/>
      <c r="L388" s="59"/>
      <c r="M388" s="59"/>
      <c r="N388" s="59"/>
      <c r="O388" s="59"/>
      <c r="P388" s="59"/>
      <c r="Q388" s="59"/>
      <c r="R388" s="59"/>
      <c r="S388" s="59"/>
      <c r="T388" s="59"/>
      <c r="U388" s="59"/>
      <c r="V388" s="59"/>
      <c r="W388" s="59"/>
      <c r="X388" s="59"/>
      <c r="Y388" s="59"/>
    </row>
    <row r="389" ht="35.25" customHeight="1">
      <c r="A389" s="59"/>
      <c r="B389" s="59"/>
      <c r="C389" s="59"/>
      <c r="D389" s="59"/>
      <c r="E389" s="59"/>
      <c r="F389" s="59"/>
      <c r="G389" s="59"/>
      <c r="H389" s="178"/>
      <c r="I389" s="178"/>
      <c r="J389" s="59"/>
      <c r="K389" s="59"/>
      <c r="L389" s="59"/>
      <c r="M389" s="59"/>
      <c r="N389" s="59"/>
      <c r="O389" s="59"/>
      <c r="P389" s="59"/>
      <c r="Q389" s="59"/>
      <c r="R389" s="59"/>
      <c r="S389" s="59"/>
      <c r="T389" s="59"/>
      <c r="U389" s="59"/>
      <c r="V389" s="59"/>
      <c r="W389" s="59"/>
      <c r="X389" s="59"/>
      <c r="Y389" s="59"/>
    </row>
    <row r="390" ht="35.25" customHeight="1">
      <c r="A390" s="59"/>
      <c r="B390" s="59"/>
      <c r="C390" s="59"/>
      <c r="D390" s="59"/>
      <c r="E390" s="59"/>
      <c r="F390" s="59"/>
      <c r="G390" s="59"/>
      <c r="H390" s="178"/>
      <c r="I390" s="178"/>
      <c r="J390" s="59"/>
      <c r="K390" s="59"/>
      <c r="L390" s="59"/>
      <c r="M390" s="59"/>
      <c r="N390" s="59"/>
      <c r="O390" s="59"/>
      <c r="P390" s="59"/>
      <c r="Q390" s="59"/>
      <c r="R390" s="59"/>
      <c r="S390" s="59"/>
      <c r="T390" s="59"/>
      <c r="U390" s="59"/>
      <c r="V390" s="59"/>
      <c r="W390" s="59"/>
      <c r="X390" s="59"/>
      <c r="Y390" s="59"/>
    </row>
    <row r="391" ht="35.25" customHeight="1">
      <c r="A391" s="59"/>
      <c r="B391" s="59"/>
      <c r="C391" s="59"/>
      <c r="D391" s="59"/>
      <c r="E391" s="59"/>
      <c r="F391" s="59"/>
      <c r="G391" s="59"/>
      <c r="H391" s="178"/>
      <c r="I391" s="178"/>
      <c r="J391" s="59"/>
      <c r="K391" s="59"/>
      <c r="L391" s="59"/>
      <c r="M391" s="59"/>
      <c r="N391" s="59"/>
      <c r="O391" s="59"/>
      <c r="P391" s="59"/>
      <c r="Q391" s="59"/>
      <c r="R391" s="59"/>
      <c r="S391" s="59"/>
      <c r="T391" s="59"/>
      <c r="U391" s="59"/>
      <c r="V391" s="59"/>
      <c r="W391" s="59"/>
      <c r="X391" s="59"/>
      <c r="Y391" s="59"/>
    </row>
    <row r="392" ht="35.25" customHeight="1">
      <c r="A392" s="59"/>
      <c r="B392" s="59"/>
      <c r="C392" s="59"/>
      <c r="D392" s="59"/>
      <c r="E392" s="59"/>
      <c r="F392" s="59"/>
      <c r="G392" s="59"/>
      <c r="H392" s="178"/>
      <c r="I392" s="178"/>
      <c r="J392" s="59"/>
      <c r="K392" s="59"/>
      <c r="L392" s="59"/>
      <c r="M392" s="59"/>
      <c r="N392" s="59"/>
      <c r="O392" s="59"/>
      <c r="P392" s="59"/>
      <c r="Q392" s="59"/>
      <c r="R392" s="59"/>
      <c r="S392" s="59"/>
      <c r="T392" s="59"/>
      <c r="U392" s="59"/>
      <c r="V392" s="59"/>
      <c r="W392" s="59"/>
      <c r="X392" s="59"/>
      <c r="Y392" s="59"/>
    </row>
    <row r="393" ht="35.25" customHeight="1">
      <c r="A393" s="59"/>
      <c r="B393" s="59"/>
      <c r="C393" s="59"/>
      <c r="D393" s="59"/>
      <c r="E393" s="59"/>
      <c r="F393" s="59"/>
      <c r="G393" s="59"/>
      <c r="H393" s="178"/>
      <c r="I393" s="178"/>
      <c r="J393" s="59"/>
      <c r="K393" s="59"/>
      <c r="L393" s="59"/>
      <c r="M393" s="59"/>
      <c r="N393" s="59"/>
      <c r="O393" s="59"/>
      <c r="P393" s="59"/>
      <c r="Q393" s="59"/>
      <c r="R393" s="59"/>
      <c r="S393" s="59"/>
      <c r="T393" s="59"/>
      <c r="U393" s="59"/>
      <c r="V393" s="59"/>
      <c r="W393" s="59"/>
      <c r="X393" s="59"/>
      <c r="Y393" s="59"/>
    </row>
    <row r="394" ht="35.25" customHeight="1">
      <c r="A394" s="59"/>
      <c r="B394" s="59"/>
      <c r="C394" s="59"/>
      <c r="D394" s="59"/>
      <c r="E394" s="59"/>
      <c r="F394" s="59"/>
      <c r="G394" s="59"/>
      <c r="H394" s="178"/>
      <c r="I394" s="178"/>
      <c r="J394" s="59"/>
      <c r="K394" s="59"/>
      <c r="L394" s="59"/>
      <c r="M394" s="59"/>
      <c r="N394" s="59"/>
      <c r="O394" s="59"/>
      <c r="P394" s="59"/>
      <c r="Q394" s="59"/>
      <c r="R394" s="59"/>
      <c r="S394" s="59"/>
      <c r="T394" s="59"/>
      <c r="U394" s="59"/>
      <c r="V394" s="59"/>
      <c r="W394" s="59"/>
      <c r="X394" s="59"/>
      <c r="Y394" s="59"/>
    </row>
    <row r="395" ht="35.25" customHeight="1">
      <c r="A395" s="59"/>
      <c r="B395" s="59"/>
      <c r="C395" s="59"/>
      <c r="D395" s="59"/>
      <c r="E395" s="59"/>
      <c r="F395" s="59"/>
      <c r="G395" s="59"/>
      <c r="H395" s="178"/>
      <c r="I395" s="178"/>
      <c r="J395" s="59"/>
      <c r="K395" s="59"/>
      <c r="L395" s="59"/>
      <c r="M395" s="59"/>
      <c r="N395" s="59"/>
      <c r="O395" s="59"/>
      <c r="P395" s="59"/>
      <c r="Q395" s="59"/>
      <c r="R395" s="59"/>
      <c r="S395" s="59"/>
      <c r="T395" s="59"/>
      <c r="U395" s="59"/>
      <c r="V395" s="59"/>
      <c r="W395" s="59"/>
      <c r="X395" s="59"/>
      <c r="Y395" s="59"/>
    </row>
    <row r="396" ht="35.25" customHeight="1">
      <c r="A396" s="59"/>
      <c r="B396" s="59"/>
      <c r="C396" s="59"/>
      <c r="D396" s="59"/>
      <c r="E396" s="59"/>
      <c r="F396" s="59"/>
      <c r="G396" s="59"/>
      <c r="H396" s="178"/>
      <c r="I396" s="178"/>
      <c r="J396" s="59"/>
      <c r="K396" s="59"/>
      <c r="L396" s="59"/>
      <c r="M396" s="59"/>
      <c r="N396" s="59"/>
      <c r="O396" s="59"/>
      <c r="P396" s="59"/>
      <c r="Q396" s="59"/>
      <c r="R396" s="59"/>
      <c r="S396" s="59"/>
      <c r="T396" s="59"/>
      <c r="U396" s="59"/>
      <c r="V396" s="59"/>
      <c r="W396" s="59"/>
      <c r="X396" s="59"/>
      <c r="Y396" s="59"/>
    </row>
    <row r="397" ht="35.25" customHeight="1">
      <c r="A397" s="59"/>
      <c r="B397" s="59"/>
      <c r="C397" s="59"/>
      <c r="D397" s="59"/>
      <c r="E397" s="59"/>
      <c r="F397" s="59"/>
      <c r="G397" s="59"/>
      <c r="H397" s="178"/>
      <c r="I397" s="178"/>
      <c r="J397" s="59"/>
      <c r="K397" s="59"/>
      <c r="L397" s="59"/>
      <c r="M397" s="59"/>
      <c r="N397" s="59"/>
      <c r="O397" s="59"/>
      <c r="P397" s="59"/>
      <c r="Q397" s="59"/>
      <c r="R397" s="59"/>
      <c r="S397" s="59"/>
      <c r="T397" s="59"/>
      <c r="U397" s="59"/>
      <c r="V397" s="59"/>
      <c r="W397" s="59"/>
      <c r="X397" s="59"/>
      <c r="Y397" s="59"/>
    </row>
    <row r="398" ht="35.25" customHeight="1">
      <c r="A398" s="59"/>
      <c r="B398" s="59"/>
      <c r="C398" s="59"/>
      <c r="D398" s="59"/>
      <c r="E398" s="59"/>
      <c r="F398" s="59"/>
      <c r="G398" s="59"/>
      <c r="H398" s="178"/>
      <c r="I398" s="178"/>
      <c r="J398" s="59"/>
      <c r="K398" s="59"/>
      <c r="L398" s="59"/>
      <c r="M398" s="59"/>
      <c r="N398" s="59"/>
      <c r="O398" s="59"/>
      <c r="P398" s="59"/>
      <c r="Q398" s="59"/>
      <c r="R398" s="59"/>
      <c r="S398" s="59"/>
      <c r="T398" s="59"/>
      <c r="U398" s="59"/>
      <c r="V398" s="59"/>
      <c r="W398" s="59"/>
      <c r="X398" s="59"/>
      <c r="Y398" s="59"/>
    </row>
    <row r="399" ht="35.25" customHeight="1">
      <c r="A399" s="59"/>
      <c r="B399" s="59"/>
      <c r="C399" s="59"/>
      <c r="D399" s="59"/>
      <c r="E399" s="59"/>
      <c r="F399" s="59"/>
      <c r="G399" s="59"/>
      <c r="H399" s="178"/>
      <c r="I399" s="178"/>
      <c r="J399" s="59"/>
      <c r="K399" s="59"/>
      <c r="L399" s="59"/>
      <c r="M399" s="59"/>
      <c r="N399" s="59"/>
      <c r="O399" s="59"/>
      <c r="P399" s="59"/>
      <c r="Q399" s="59"/>
      <c r="R399" s="59"/>
      <c r="S399" s="59"/>
      <c r="T399" s="59"/>
      <c r="U399" s="59"/>
      <c r="V399" s="59"/>
      <c r="W399" s="59"/>
      <c r="X399" s="59"/>
      <c r="Y399" s="59"/>
    </row>
    <row r="400" ht="35.25" customHeight="1">
      <c r="A400" s="59"/>
      <c r="B400" s="59"/>
      <c r="C400" s="59"/>
      <c r="D400" s="59"/>
      <c r="E400" s="59"/>
      <c r="F400" s="59"/>
      <c r="G400" s="59"/>
      <c r="H400" s="178"/>
      <c r="I400" s="178"/>
      <c r="J400" s="59"/>
      <c r="K400" s="59"/>
      <c r="L400" s="59"/>
      <c r="M400" s="59"/>
      <c r="N400" s="59"/>
      <c r="O400" s="59"/>
      <c r="P400" s="59"/>
      <c r="Q400" s="59"/>
      <c r="R400" s="59"/>
      <c r="S400" s="59"/>
      <c r="T400" s="59"/>
      <c r="U400" s="59"/>
      <c r="V400" s="59"/>
      <c r="W400" s="59"/>
      <c r="X400" s="59"/>
      <c r="Y400" s="59"/>
    </row>
    <row r="401" ht="35.25" customHeight="1">
      <c r="A401" s="59"/>
      <c r="B401" s="59"/>
      <c r="C401" s="59"/>
      <c r="D401" s="59"/>
      <c r="E401" s="59"/>
      <c r="F401" s="59"/>
      <c r="G401" s="59"/>
      <c r="H401" s="178"/>
      <c r="I401" s="178"/>
      <c r="J401" s="59"/>
      <c r="K401" s="59"/>
      <c r="L401" s="59"/>
      <c r="M401" s="59"/>
      <c r="N401" s="59"/>
      <c r="O401" s="59"/>
      <c r="P401" s="59"/>
      <c r="Q401" s="59"/>
      <c r="R401" s="59"/>
      <c r="S401" s="59"/>
      <c r="T401" s="59"/>
      <c r="U401" s="59"/>
      <c r="V401" s="59"/>
      <c r="W401" s="59"/>
      <c r="X401" s="59"/>
      <c r="Y401" s="59"/>
    </row>
    <row r="402" ht="35.25" customHeight="1">
      <c r="A402" s="59"/>
      <c r="B402" s="59"/>
      <c r="C402" s="59"/>
      <c r="D402" s="59"/>
      <c r="E402" s="59"/>
      <c r="F402" s="59"/>
      <c r="G402" s="59"/>
      <c r="H402" s="178"/>
      <c r="I402" s="178"/>
      <c r="J402" s="59"/>
      <c r="K402" s="59"/>
      <c r="L402" s="59"/>
      <c r="M402" s="59"/>
      <c r="N402" s="59"/>
      <c r="O402" s="59"/>
      <c r="P402" s="59"/>
      <c r="Q402" s="59"/>
      <c r="R402" s="59"/>
      <c r="S402" s="59"/>
      <c r="T402" s="59"/>
      <c r="U402" s="59"/>
      <c r="V402" s="59"/>
      <c r="W402" s="59"/>
      <c r="X402" s="59"/>
      <c r="Y402" s="59"/>
    </row>
    <row r="403" ht="35.25" customHeight="1">
      <c r="A403" s="59"/>
      <c r="B403" s="59"/>
      <c r="C403" s="59"/>
      <c r="D403" s="59"/>
      <c r="E403" s="59"/>
      <c r="F403" s="59"/>
      <c r="G403" s="59"/>
      <c r="H403" s="178"/>
      <c r="I403" s="178"/>
      <c r="J403" s="59"/>
      <c r="K403" s="59"/>
      <c r="L403" s="59"/>
      <c r="M403" s="59"/>
      <c r="N403" s="59"/>
      <c r="O403" s="59"/>
      <c r="P403" s="59"/>
      <c r="Q403" s="59"/>
      <c r="R403" s="59"/>
      <c r="S403" s="59"/>
      <c r="T403" s="59"/>
      <c r="U403" s="59"/>
      <c r="V403" s="59"/>
      <c r="W403" s="59"/>
      <c r="X403" s="59"/>
      <c r="Y403" s="59"/>
    </row>
    <row r="404" ht="35.25" customHeight="1">
      <c r="A404" s="59"/>
      <c r="B404" s="59"/>
      <c r="C404" s="59"/>
      <c r="D404" s="59"/>
      <c r="E404" s="59"/>
      <c r="F404" s="59"/>
      <c r="G404" s="59"/>
      <c r="H404" s="178"/>
      <c r="I404" s="178"/>
      <c r="J404" s="59"/>
      <c r="K404" s="59"/>
      <c r="L404" s="59"/>
      <c r="M404" s="59"/>
      <c r="N404" s="59"/>
      <c r="O404" s="59"/>
      <c r="P404" s="59"/>
      <c r="Q404" s="59"/>
      <c r="R404" s="59"/>
      <c r="S404" s="59"/>
      <c r="T404" s="59"/>
      <c r="U404" s="59"/>
      <c r="V404" s="59"/>
      <c r="W404" s="59"/>
      <c r="X404" s="59"/>
      <c r="Y404" s="59"/>
    </row>
    <row r="405" ht="35.25" customHeight="1">
      <c r="A405" s="59"/>
      <c r="B405" s="59"/>
      <c r="C405" s="59"/>
      <c r="D405" s="59"/>
      <c r="E405" s="59"/>
      <c r="F405" s="59"/>
      <c r="G405" s="59"/>
      <c r="H405" s="178"/>
      <c r="I405" s="178"/>
      <c r="J405" s="59"/>
      <c r="K405" s="59"/>
      <c r="L405" s="59"/>
      <c r="M405" s="59"/>
      <c r="N405" s="59"/>
      <c r="O405" s="59"/>
      <c r="P405" s="59"/>
      <c r="Q405" s="59"/>
      <c r="R405" s="59"/>
      <c r="S405" s="59"/>
      <c r="T405" s="59"/>
      <c r="U405" s="59"/>
      <c r="V405" s="59"/>
      <c r="W405" s="59"/>
      <c r="X405" s="59"/>
      <c r="Y405" s="59"/>
    </row>
    <row r="406" ht="35.25" customHeight="1">
      <c r="A406" s="59"/>
      <c r="B406" s="59"/>
      <c r="C406" s="59"/>
      <c r="D406" s="59"/>
      <c r="E406" s="59"/>
      <c r="F406" s="59"/>
      <c r="G406" s="59"/>
      <c r="H406" s="178"/>
      <c r="I406" s="178"/>
      <c r="J406" s="59"/>
      <c r="K406" s="59"/>
      <c r="L406" s="59"/>
      <c r="M406" s="59"/>
      <c r="N406" s="59"/>
      <c r="O406" s="59"/>
      <c r="P406" s="59"/>
      <c r="Q406" s="59"/>
      <c r="R406" s="59"/>
      <c r="S406" s="59"/>
      <c r="T406" s="59"/>
      <c r="U406" s="59"/>
      <c r="V406" s="59"/>
      <c r="W406" s="59"/>
      <c r="X406" s="59"/>
      <c r="Y406" s="59"/>
    </row>
    <row r="407" ht="35.25" customHeight="1">
      <c r="A407" s="59"/>
      <c r="B407" s="59"/>
      <c r="C407" s="59"/>
      <c r="D407" s="59"/>
      <c r="E407" s="59"/>
      <c r="F407" s="59"/>
      <c r="G407" s="59"/>
      <c r="H407" s="178"/>
      <c r="I407" s="178"/>
      <c r="J407" s="59"/>
      <c r="K407" s="59"/>
      <c r="L407" s="59"/>
      <c r="M407" s="59"/>
      <c r="N407" s="59"/>
      <c r="O407" s="59"/>
      <c r="P407" s="59"/>
      <c r="Q407" s="59"/>
      <c r="R407" s="59"/>
      <c r="S407" s="59"/>
      <c r="T407" s="59"/>
      <c r="U407" s="59"/>
      <c r="V407" s="59"/>
      <c r="W407" s="59"/>
      <c r="X407" s="59"/>
      <c r="Y407" s="59"/>
    </row>
    <row r="408" ht="35.25" customHeight="1">
      <c r="A408" s="59"/>
      <c r="B408" s="59"/>
      <c r="C408" s="59"/>
      <c r="D408" s="59"/>
      <c r="E408" s="59"/>
      <c r="F408" s="59"/>
      <c r="G408" s="59"/>
      <c r="H408" s="178"/>
      <c r="I408" s="178"/>
      <c r="J408" s="59"/>
      <c r="K408" s="59"/>
      <c r="L408" s="59"/>
      <c r="M408" s="59"/>
      <c r="N408" s="59"/>
      <c r="O408" s="59"/>
      <c r="P408" s="59"/>
      <c r="Q408" s="59"/>
      <c r="R408" s="59"/>
      <c r="S408" s="59"/>
      <c r="T408" s="59"/>
      <c r="U408" s="59"/>
      <c r="V408" s="59"/>
      <c r="W408" s="59"/>
      <c r="X408" s="59"/>
      <c r="Y408" s="59"/>
    </row>
    <row r="409" ht="35.25" customHeight="1">
      <c r="A409" s="59"/>
      <c r="B409" s="59"/>
      <c r="C409" s="59"/>
      <c r="D409" s="59"/>
      <c r="E409" s="59"/>
      <c r="F409" s="59"/>
      <c r="G409" s="59"/>
      <c r="H409" s="178"/>
      <c r="I409" s="178"/>
      <c r="J409" s="59"/>
      <c r="K409" s="59"/>
      <c r="L409" s="59"/>
      <c r="M409" s="59"/>
      <c r="N409" s="59"/>
      <c r="O409" s="59"/>
      <c r="P409" s="59"/>
      <c r="Q409" s="59"/>
      <c r="R409" s="59"/>
      <c r="S409" s="59"/>
      <c r="T409" s="59"/>
      <c r="U409" s="59"/>
      <c r="V409" s="59"/>
      <c r="W409" s="59"/>
      <c r="X409" s="59"/>
      <c r="Y409" s="59"/>
    </row>
    <row r="410" ht="35.25" customHeight="1">
      <c r="A410" s="59"/>
      <c r="B410" s="59"/>
      <c r="C410" s="59"/>
      <c r="D410" s="59"/>
      <c r="E410" s="59"/>
      <c r="F410" s="59"/>
      <c r="G410" s="59"/>
      <c r="H410" s="178"/>
      <c r="I410" s="178"/>
      <c r="J410" s="59"/>
      <c r="K410" s="59"/>
      <c r="L410" s="59"/>
      <c r="M410" s="59"/>
      <c r="N410" s="59"/>
      <c r="O410" s="59"/>
      <c r="P410" s="59"/>
      <c r="Q410" s="59"/>
      <c r="R410" s="59"/>
      <c r="S410" s="59"/>
      <c r="T410" s="59"/>
      <c r="U410" s="59"/>
      <c r="V410" s="59"/>
      <c r="W410" s="59"/>
      <c r="X410" s="59"/>
      <c r="Y410" s="59"/>
    </row>
    <row r="411" ht="35.25" customHeight="1">
      <c r="A411" s="59"/>
      <c r="B411" s="59"/>
      <c r="C411" s="59"/>
      <c r="D411" s="59"/>
      <c r="E411" s="59"/>
      <c r="F411" s="59"/>
      <c r="G411" s="59"/>
      <c r="H411" s="178"/>
      <c r="I411" s="178"/>
      <c r="J411" s="59"/>
      <c r="K411" s="59"/>
      <c r="L411" s="59"/>
      <c r="M411" s="59"/>
      <c r="N411" s="59"/>
      <c r="O411" s="59"/>
      <c r="P411" s="59"/>
      <c r="Q411" s="59"/>
      <c r="R411" s="59"/>
      <c r="S411" s="59"/>
      <c r="T411" s="59"/>
      <c r="U411" s="59"/>
      <c r="V411" s="59"/>
      <c r="W411" s="59"/>
      <c r="X411" s="59"/>
      <c r="Y411" s="59"/>
    </row>
    <row r="412" ht="35.25" customHeight="1">
      <c r="A412" s="59"/>
      <c r="B412" s="59"/>
      <c r="C412" s="59"/>
      <c r="D412" s="59"/>
      <c r="E412" s="59"/>
      <c r="F412" s="59"/>
      <c r="G412" s="59"/>
      <c r="H412" s="178"/>
      <c r="I412" s="178"/>
      <c r="J412" s="59"/>
      <c r="K412" s="59"/>
      <c r="L412" s="59"/>
      <c r="M412" s="59"/>
      <c r="N412" s="59"/>
      <c r="O412" s="59"/>
      <c r="P412" s="59"/>
      <c r="Q412" s="59"/>
      <c r="R412" s="59"/>
      <c r="S412" s="59"/>
      <c r="T412" s="59"/>
      <c r="U412" s="59"/>
      <c r="V412" s="59"/>
      <c r="W412" s="59"/>
      <c r="X412" s="59"/>
      <c r="Y412" s="59"/>
    </row>
    <row r="413" ht="35.25" customHeight="1">
      <c r="A413" s="59"/>
      <c r="B413" s="59"/>
      <c r="C413" s="59"/>
      <c r="D413" s="59"/>
      <c r="E413" s="59"/>
      <c r="F413" s="59"/>
      <c r="G413" s="59"/>
      <c r="H413" s="178"/>
      <c r="I413" s="178"/>
      <c r="J413" s="59"/>
      <c r="K413" s="59"/>
      <c r="L413" s="59"/>
      <c r="M413" s="59"/>
      <c r="N413" s="59"/>
      <c r="O413" s="59"/>
      <c r="P413" s="59"/>
      <c r="Q413" s="59"/>
      <c r="R413" s="59"/>
      <c r="S413" s="59"/>
      <c r="T413" s="59"/>
      <c r="U413" s="59"/>
      <c r="V413" s="59"/>
      <c r="W413" s="59"/>
      <c r="X413" s="59"/>
      <c r="Y413" s="59"/>
    </row>
    <row r="414" ht="35.25" customHeight="1">
      <c r="A414" s="59"/>
      <c r="B414" s="59"/>
      <c r="C414" s="59"/>
      <c r="D414" s="59"/>
      <c r="E414" s="59"/>
      <c r="F414" s="59"/>
      <c r="G414" s="59"/>
      <c r="H414" s="178"/>
      <c r="I414" s="178"/>
      <c r="J414" s="59"/>
      <c r="K414" s="59"/>
      <c r="L414" s="59"/>
      <c r="M414" s="59"/>
      <c r="N414" s="59"/>
      <c r="O414" s="59"/>
      <c r="P414" s="59"/>
      <c r="Q414" s="59"/>
      <c r="R414" s="59"/>
      <c r="S414" s="59"/>
      <c r="T414" s="59"/>
      <c r="U414" s="59"/>
      <c r="V414" s="59"/>
      <c r="W414" s="59"/>
      <c r="X414" s="59"/>
      <c r="Y414" s="59"/>
    </row>
    <row r="415" ht="35.25" customHeight="1">
      <c r="A415" s="59"/>
      <c r="B415" s="59"/>
      <c r="C415" s="59"/>
      <c r="D415" s="59"/>
      <c r="E415" s="59"/>
      <c r="F415" s="59"/>
      <c r="G415" s="59"/>
      <c r="H415" s="178"/>
      <c r="I415" s="178"/>
      <c r="J415" s="59"/>
      <c r="K415" s="59"/>
      <c r="L415" s="59"/>
      <c r="M415" s="59"/>
      <c r="N415" s="59"/>
      <c r="O415" s="59"/>
      <c r="P415" s="59"/>
      <c r="Q415" s="59"/>
      <c r="R415" s="59"/>
      <c r="S415" s="59"/>
      <c r="T415" s="59"/>
      <c r="U415" s="59"/>
      <c r="V415" s="59"/>
      <c r="W415" s="59"/>
      <c r="X415" s="59"/>
      <c r="Y415" s="59"/>
    </row>
    <row r="416" ht="35.25" customHeight="1">
      <c r="A416" s="59"/>
      <c r="B416" s="59"/>
      <c r="C416" s="59"/>
      <c r="D416" s="59"/>
      <c r="E416" s="59"/>
      <c r="F416" s="59"/>
      <c r="G416" s="59"/>
      <c r="H416" s="178"/>
      <c r="I416" s="178"/>
      <c r="J416" s="59"/>
      <c r="K416" s="59"/>
      <c r="L416" s="59"/>
      <c r="M416" s="59"/>
      <c r="N416" s="59"/>
      <c r="O416" s="59"/>
      <c r="P416" s="59"/>
      <c r="Q416" s="59"/>
      <c r="R416" s="59"/>
      <c r="S416" s="59"/>
      <c r="T416" s="59"/>
      <c r="U416" s="59"/>
      <c r="V416" s="59"/>
      <c r="W416" s="59"/>
      <c r="X416" s="59"/>
      <c r="Y416" s="59"/>
    </row>
    <row r="417" ht="35.25" customHeight="1">
      <c r="A417" s="59"/>
      <c r="B417" s="59"/>
      <c r="C417" s="59"/>
      <c r="D417" s="59"/>
      <c r="E417" s="59"/>
      <c r="F417" s="59"/>
      <c r="G417" s="59"/>
      <c r="H417" s="178"/>
      <c r="I417" s="178"/>
      <c r="J417" s="59"/>
      <c r="K417" s="59"/>
      <c r="L417" s="59"/>
      <c r="M417" s="59"/>
      <c r="N417" s="59"/>
      <c r="O417" s="59"/>
      <c r="P417" s="59"/>
      <c r="Q417" s="59"/>
      <c r="R417" s="59"/>
      <c r="S417" s="59"/>
      <c r="T417" s="59"/>
      <c r="U417" s="59"/>
      <c r="V417" s="59"/>
      <c r="W417" s="59"/>
      <c r="X417" s="59"/>
      <c r="Y417" s="59"/>
    </row>
    <row r="418" ht="35.25" customHeight="1">
      <c r="A418" s="59"/>
      <c r="B418" s="59"/>
      <c r="C418" s="59"/>
      <c r="D418" s="59"/>
      <c r="E418" s="59"/>
      <c r="F418" s="59"/>
      <c r="G418" s="59"/>
      <c r="H418" s="178"/>
      <c r="I418" s="178"/>
      <c r="J418" s="59"/>
      <c r="K418" s="59"/>
      <c r="L418" s="59"/>
      <c r="M418" s="59"/>
      <c r="N418" s="59"/>
      <c r="O418" s="59"/>
      <c r="P418" s="59"/>
      <c r="Q418" s="59"/>
      <c r="R418" s="59"/>
      <c r="S418" s="59"/>
      <c r="T418" s="59"/>
      <c r="U418" s="59"/>
      <c r="V418" s="59"/>
      <c r="W418" s="59"/>
      <c r="X418" s="59"/>
      <c r="Y418" s="59"/>
    </row>
    <row r="419" ht="35.25" customHeight="1">
      <c r="A419" s="59"/>
      <c r="B419" s="59"/>
      <c r="C419" s="59"/>
      <c r="D419" s="59"/>
      <c r="E419" s="59"/>
      <c r="F419" s="59"/>
      <c r="G419" s="59"/>
      <c r="H419" s="178"/>
      <c r="I419" s="178"/>
      <c r="J419" s="59"/>
      <c r="K419" s="59"/>
      <c r="L419" s="59"/>
      <c r="M419" s="59"/>
      <c r="N419" s="59"/>
      <c r="O419" s="59"/>
      <c r="P419" s="59"/>
      <c r="Q419" s="59"/>
      <c r="R419" s="59"/>
      <c r="S419" s="59"/>
      <c r="T419" s="59"/>
      <c r="U419" s="59"/>
      <c r="V419" s="59"/>
      <c r="W419" s="59"/>
      <c r="X419" s="59"/>
      <c r="Y419" s="59"/>
    </row>
    <row r="420" ht="35.25" customHeight="1">
      <c r="A420" s="59"/>
      <c r="B420" s="59"/>
      <c r="C420" s="59"/>
      <c r="D420" s="59"/>
      <c r="E420" s="59"/>
      <c r="F420" s="59"/>
      <c r="G420" s="59"/>
      <c r="H420" s="178"/>
      <c r="I420" s="178"/>
      <c r="J420" s="59"/>
      <c r="K420" s="59"/>
      <c r="L420" s="59"/>
      <c r="M420" s="59"/>
      <c r="N420" s="59"/>
      <c r="O420" s="59"/>
      <c r="P420" s="59"/>
      <c r="Q420" s="59"/>
      <c r="R420" s="59"/>
      <c r="S420" s="59"/>
      <c r="T420" s="59"/>
      <c r="U420" s="59"/>
      <c r="V420" s="59"/>
      <c r="W420" s="59"/>
      <c r="X420" s="59"/>
      <c r="Y420" s="59"/>
    </row>
    <row r="421" ht="35.25" customHeight="1">
      <c r="A421" s="59"/>
      <c r="B421" s="59"/>
      <c r="C421" s="59"/>
      <c r="D421" s="59"/>
      <c r="E421" s="59"/>
      <c r="F421" s="59"/>
      <c r="G421" s="59"/>
      <c r="H421" s="178"/>
      <c r="I421" s="178"/>
      <c r="J421" s="59"/>
      <c r="K421" s="59"/>
      <c r="L421" s="59"/>
      <c r="M421" s="59"/>
      <c r="N421" s="59"/>
      <c r="O421" s="59"/>
      <c r="P421" s="59"/>
      <c r="Q421" s="59"/>
      <c r="R421" s="59"/>
      <c r="S421" s="59"/>
      <c r="T421" s="59"/>
      <c r="U421" s="59"/>
      <c r="V421" s="59"/>
      <c r="W421" s="59"/>
      <c r="X421" s="59"/>
      <c r="Y421" s="59"/>
    </row>
    <row r="422" ht="35.25" customHeight="1">
      <c r="A422" s="59"/>
      <c r="B422" s="59"/>
      <c r="C422" s="59"/>
      <c r="D422" s="59"/>
      <c r="E422" s="59"/>
      <c r="F422" s="59"/>
      <c r="G422" s="59"/>
      <c r="H422" s="178"/>
      <c r="I422" s="178"/>
      <c r="J422" s="59"/>
      <c r="K422" s="59"/>
      <c r="L422" s="59"/>
      <c r="M422" s="59"/>
      <c r="N422" s="59"/>
      <c r="O422" s="59"/>
      <c r="P422" s="59"/>
      <c r="Q422" s="59"/>
      <c r="R422" s="59"/>
      <c r="S422" s="59"/>
      <c r="T422" s="59"/>
      <c r="U422" s="59"/>
      <c r="V422" s="59"/>
      <c r="W422" s="59"/>
      <c r="X422" s="59"/>
      <c r="Y422" s="59"/>
    </row>
    <row r="423" ht="35.25" customHeight="1">
      <c r="A423" s="59"/>
      <c r="B423" s="59"/>
      <c r="C423" s="59"/>
      <c r="D423" s="59"/>
      <c r="E423" s="59"/>
      <c r="F423" s="59"/>
      <c r="G423" s="59"/>
      <c r="H423" s="178"/>
      <c r="I423" s="178"/>
      <c r="J423" s="59"/>
      <c r="K423" s="59"/>
      <c r="L423" s="59"/>
      <c r="M423" s="59"/>
      <c r="N423" s="59"/>
      <c r="O423" s="59"/>
      <c r="P423" s="59"/>
      <c r="Q423" s="59"/>
      <c r="R423" s="59"/>
      <c r="S423" s="59"/>
      <c r="T423" s="59"/>
      <c r="U423" s="59"/>
      <c r="V423" s="59"/>
      <c r="W423" s="59"/>
      <c r="X423" s="59"/>
      <c r="Y423" s="59"/>
    </row>
    <row r="424" ht="35.25" customHeight="1">
      <c r="A424" s="59"/>
      <c r="B424" s="59"/>
      <c r="C424" s="59"/>
      <c r="D424" s="59"/>
      <c r="E424" s="59"/>
      <c r="F424" s="59"/>
      <c r="G424" s="59"/>
      <c r="H424" s="178"/>
      <c r="I424" s="178"/>
      <c r="J424" s="59"/>
      <c r="K424" s="59"/>
      <c r="L424" s="59"/>
      <c r="M424" s="59"/>
      <c r="N424" s="59"/>
      <c r="O424" s="59"/>
      <c r="P424" s="59"/>
      <c r="Q424" s="59"/>
      <c r="R424" s="59"/>
      <c r="S424" s="59"/>
      <c r="T424" s="59"/>
      <c r="U424" s="59"/>
      <c r="V424" s="59"/>
      <c r="W424" s="59"/>
      <c r="X424" s="59"/>
      <c r="Y424" s="59"/>
    </row>
    <row r="425" ht="35.25" customHeight="1">
      <c r="A425" s="59"/>
      <c r="B425" s="59"/>
      <c r="C425" s="59"/>
      <c r="D425" s="59"/>
      <c r="E425" s="59"/>
      <c r="F425" s="59"/>
      <c r="G425" s="59"/>
      <c r="H425" s="178"/>
      <c r="I425" s="178"/>
      <c r="J425" s="59"/>
      <c r="K425" s="59"/>
      <c r="L425" s="59"/>
      <c r="M425" s="59"/>
      <c r="N425" s="59"/>
      <c r="O425" s="59"/>
      <c r="P425" s="59"/>
      <c r="Q425" s="59"/>
      <c r="R425" s="59"/>
      <c r="S425" s="59"/>
      <c r="T425" s="59"/>
      <c r="U425" s="59"/>
      <c r="V425" s="59"/>
      <c r="W425" s="59"/>
      <c r="X425" s="59"/>
      <c r="Y425" s="59"/>
    </row>
    <row r="426" ht="35.25" customHeight="1">
      <c r="A426" s="59"/>
      <c r="B426" s="59"/>
      <c r="C426" s="59"/>
      <c r="D426" s="59"/>
      <c r="E426" s="59"/>
      <c r="F426" s="59"/>
      <c r="G426" s="59"/>
      <c r="H426" s="178"/>
      <c r="I426" s="178"/>
      <c r="J426" s="59"/>
      <c r="K426" s="59"/>
      <c r="L426" s="59"/>
      <c r="M426" s="59"/>
      <c r="N426" s="59"/>
      <c r="O426" s="59"/>
      <c r="P426" s="59"/>
      <c r="Q426" s="59"/>
      <c r="R426" s="59"/>
      <c r="S426" s="59"/>
      <c r="T426" s="59"/>
      <c r="U426" s="59"/>
      <c r="V426" s="59"/>
      <c r="W426" s="59"/>
      <c r="X426" s="59"/>
      <c r="Y426" s="59"/>
    </row>
    <row r="427" ht="35.25" customHeight="1">
      <c r="A427" s="59"/>
      <c r="B427" s="59"/>
      <c r="C427" s="59"/>
      <c r="D427" s="59"/>
      <c r="E427" s="59"/>
      <c r="F427" s="59"/>
      <c r="G427" s="59"/>
      <c r="H427" s="178"/>
      <c r="I427" s="178"/>
      <c r="J427" s="59"/>
      <c r="K427" s="59"/>
      <c r="L427" s="59"/>
      <c r="M427" s="59"/>
      <c r="N427" s="59"/>
      <c r="O427" s="59"/>
      <c r="P427" s="59"/>
      <c r="Q427" s="59"/>
      <c r="R427" s="59"/>
      <c r="S427" s="59"/>
      <c r="T427" s="59"/>
      <c r="U427" s="59"/>
      <c r="V427" s="59"/>
      <c r="W427" s="59"/>
      <c r="X427" s="59"/>
      <c r="Y427" s="59"/>
    </row>
    <row r="428" ht="35.25" customHeight="1">
      <c r="A428" s="59"/>
      <c r="B428" s="59"/>
      <c r="C428" s="59"/>
      <c r="D428" s="59"/>
      <c r="E428" s="59"/>
      <c r="F428" s="59"/>
      <c r="G428" s="59"/>
      <c r="H428" s="178"/>
      <c r="I428" s="178"/>
      <c r="J428" s="59"/>
      <c r="K428" s="59"/>
      <c r="L428" s="59"/>
      <c r="M428" s="59"/>
      <c r="N428" s="59"/>
      <c r="O428" s="59"/>
      <c r="P428" s="59"/>
      <c r="Q428" s="59"/>
      <c r="R428" s="59"/>
      <c r="S428" s="59"/>
      <c r="T428" s="59"/>
      <c r="U428" s="59"/>
      <c r="V428" s="59"/>
      <c r="W428" s="59"/>
      <c r="X428" s="59"/>
      <c r="Y428" s="59"/>
    </row>
    <row r="429" ht="35.25" customHeight="1">
      <c r="A429" s="59"/>
      <c r="B429" s="59"/>
      <c r="C429" s="59"/>
      <c r="D429" s="59"/>
      <c r="E429" s="59"/>
      <c r="F429" s="59"/>
      <c r="G429" s="59"/>
      <c r="H429" s="178"/>
      <c r="I429" s="178"/>
      <c r="J429" s="59"/>
      <c r="K429" s="59"/>
      <c r="L429" s="59"/>
      <c r="M429" s="59"/>
      <c r="N429" s="59"/>
      <c r="O429" s="59"/>
      <c r="P429" s="59"/>
      <c r="Q429" s="59"/>
      <c r="R429" s="59"/>
      <c r="S429" s="59"/>
      <c r="T429" s="59"/>
      <c r="U429" s="59"/>
      <c r="V429" s="59"/>
      <c r="W429" s="59"/>
      <c r="X429" s="59"/>
      <c r="Y429" s="59"/>
    </row>
    <row r="430" ht="35.25" customHeight="1">
      <c r="A430" s="59"/>
      <c r="B430" s="59"/>
      <c r="C430" s="59"/>
      <c r="D430" s="59"/>
      <c r="E430" s="59"/>
      <c r="F430" s="59"/>
      <c r="G430" s="59"/>
      <c r="H430" s="178"/>
      <c r="I430" s="178"/>
      <c r="J430" s="59"/>
      <c r="K430" s="59"/>
      <c r="L430" s="59"/>
      <c r="M430" s="59"/>
      <c r="N430" s="59"/>
      <c r="O430" s="59"/>
      <c r="P430" s="59"/>
      <c r="Q430" s="59"/>
      <c r="R430" s="59"/>
      <c r="S430" s="59"/>
      <c r="T430" s="59"/>
      <c r="U430" s="59"/>
      <c r="V430" s="59"/>
      <c r="W430" s="59"/>
      <c r="X430" s="59"/>
      <c r="Y430" s="59"/>
    </row>
    <row r="431" ht="35.25" customHeight="1">
      <c r="A431" s="59"/>
      <c r="B431" s="59"/>
      <c r="C431" s="59"/>
      <c r="D431" s="59"/>
      <c r="E431" s="59"/>
      <c r="F431" s="59"/>
      <c r="G431" s="59"/>
      <c r="H431" s="178"/>
      <c r="I431" s="178"/>
      <c r="J431" s="59"/>
      <c r="K431" s="59"/>
      <c r="L431" s="59"/>
      <c r="M431" s="59"/>
      <c r="N431" s="59"/>
      <c r="O431" s="59"/>
      <c r="P431" s="59"/>
      <c r="Q431" s="59"/>
      <c r="R431" s="59"/>
      <c r="S431" s="59"/>
      <c r="T431" s="59"/>
      <c r="U431" s="59"/>
      <c r="V431" s="59"/>
      <c r="W431" s="59"/>
      <c r="X431" s="59"/>
      <c r="Y431" s="59"/>
    </row>
    <row r="432" ht="35.25" customHeight="1">
      <c r="A432" s="59"/>
      <c r="B432" s="59"/>
      <c r="C432" s="59"/>
      <c r="D432" s="59"/>
      <c r="E432" s="59"/>
      <c r="F432" s="59"/>
      <c r="G432" s="59"/>
      <c r="H432" s="178"/>
      <c r="I432" s="178"/>
      <c r="J432" s="59"/>
      <c r="K432" s="59"/>
      <c r="L432" s="59"/>
      <c r="M432" s="59"/>
      <c r="N432" s="59"/>
      <c r="O432" s="59"/>
      <c r="P432" s="59"/>
      <c r="Q432" s="59"/>
      <c r="R432" s="59"/>
      <c r="S432" s="59"/>
      <c r="T432" s="59"/>
      <c r="U432" s="59"/>
      <c r="V432" s="59"/>
      <c r="W432" s="59"/>
      <c r="X432" s="59"/>
      <c r="Y432" s="59"/>
    </row>
    <row r="433" ht="35.25" customHeight="1">
      <c r="A433" s="59"/>
      <c r="B433" s="59"/>
      <c r="C433" s="59"/>
      <c r="D433" s="59"/>
      <c r="E433" s="59"/>
      <c r="F433" s="59"/>
      <c r="G433" s="59"/>
      <c r="H433" s="178"/>
      <c r="I433" s="178"/>
      <c r="J433" s="59"/>
      <c r="K433" s="59"/>
      <c r="L433" s="59"/>
      <c r="M433" s="59"/>
      <c r="N433" s="59"/>
      <c r="O433" s="59"/>
      <c r="P433" s="59"/>
      <c r="Q433" s="59"/>
      <c r="R433" s="59"/>
      <c r="S433" s="59"/>
      <c r="T433" s="59"/>
      <c r="U433" s="59"/>
      <c r="V433" s="59"/>
      <c r="W433" s="59"/>
      <c r="X433" s="59"/>
      <c r="Y433" s="59"/>
    </row>
    <row r="434" ht="35.25" customHeight="1">
      <c r="A434" s="59"/>
      <c r="B434" s="59"/>
      <c r="C434" s="59"/>
      <c r="D434" s="59"/>
      <c r="E434" s="59"/>
      <c r="F434" s="59"/>
      <c r="G434" s="59"/>
      <c r="H434" s="178"/>
      <c r="I434" s="178"/>
      <c r="J434" s="59"/>
      <c r="K434" s="59"/>
      <c r="L434" s="59"/>
      <c r="M434" s="59"/>
      <c r="N434" s="59"/>
      <c r="O434" s="59"/>
      <c r="P434" s="59"/>
      <c r="Q434" s="59"/>
      <c r="R434" s="59"/>
      <c r="S434" s="59"/>
      <c r="T434" s="59"/>
      <c r="U434" s="59"/>
      <c r="V434" s="59"/>
      <c r="W434" s="59"/>
      <c r="X434" s="59"/>
      <c r="Y434" s="59"/>
    </row>
    <row r="435" ht="35.25" customHeight="1">
      <c r="A435" s="59"/>
      <c r="B435" s="59"/>
      <c r="C435" s="59"/>
      <c r="D435" s="59"/>
      <c r="E435" s="59"/>
      <c r="F435" s="59"/>
      <c r="G435" s="59"/>
      <c r="H435" s="178"/>
      <c r="I435" s="178"/>
      <c r="J435" s="59"/>
      <c r="K435" s="59"/>
      <c r="L435" s="59"/>
      <c r="M435" s="59"/>
      <c r="N435" s="59"/>
      <c r="O435" s="59"/>
      <c r="P435" s="59"/>
      <c r="Q435" s="59"/>
      <c r="R435" s="59"/>
      <c r="S435" s="59"/>
      <c r="T435" s="59"/>
      <c r="U435" s="59"/>
      <c r="V435" s="59"/>
      <c r="W435" s="59"/>
      <c r="X435" s="59"/>
      <c r="Y435" s="59"/>
    </row>
    <row r="436" ht="35.25" customHeight="1">
      <c r="A436" s="59"/>
      <c r="B436" s="59"/>
      <c r="C436" s="59"/>
      <c r="D436" s="59"/>
      <c r="E436" s="59"/>
      <c r="F436" s="59"/>
      <c r="G436" s="59"/>
      <c r="H436" s="178"/>
      <c r="I436" s="178"/>
      <c r="J436" s="59"/>
      <c r="K436" s="59"/>
      <c r="L436" s="59"/>
      <c r="M436" s="59"/>
      <c r="N436" s="59"/>
      <c r="O436" s="59"/>
      <c r="P436" s="59"/>
      <c r="Q436" s="59"/>
      <c r="R436" s="59"/>
      <c r="S436" s="59"/>
      <c r="T436" s="59"/>
      <c r="U436" s="59"/>
      <c r="V436" s="59"/>
      <c r="W436" s="59"/>
      <c r="X436" s="59"/>
      <c r="Y436" s="59"/>
    </row>
    <row r="437" ht="35.25" customHeight="1">
      <c r="A437" s="59"/>
      <c r="B437" s="59"/>
      <c r="C437" s="59"/>
      <c r="D437" s="59"/>
      <c r="E437" s="59"/>
      <c r="F437" s="59"/>
      <c r="G437" s="59"/>
      <c r="H437" s="178"/>
      <c r="I437" s="178"/>
      <c r="J437" s="59"/>
      <c r="K437" s="59"/>
      <c r="L437" s="59"/>
      <c r="M437" s="59"/>
      <c r="N437" s="59"/>
      <c r="O437" s="59"/>
      <c r="P437" s="59"/>
      <c r="Q437" s="59"/>
      <c r="R437" s="59"/>
      <c r="S437" s="59"/>
      <c r="T437" s="59"/>
      <c r="U437" s="59"/>
      <c r="V437" s="59"/>
      <c r="W437" s="59"/>
      <c r="X437" s="59"/>
      <c r="Y437" s="59"/>
    </row>
    <row r="438" ht="35.25" customHeight="1">
      <c r="A438" s="59"/>
      <c r="B438" s="59"/>
      <c r="C438" s="59"/>
      <c r="D438" s="59"/>
      <c r="E438" s="59"/>
      <c r="F438" s="59"/>
      <c r="G438" s="59"/>
      <c r="H438" s="178"/>
      <c r="I438" s="178"/>
      <c r="J438" s="59"/>
      <c r="K438" s="59"/>
      <c r="L438" s="59"/>
      <c r="M438" s="59"/>
      <c r="N438" s="59"/>
      <c r="O438" s="59"/>
      <c r="P438" s="59"/>
      <c r="Q438" s="59"/>
      <c r="R438" s="59"/>
      <c r="S438" s="59"/>
      <c r="T438" s="59"/>
      <c r="U438" s="59"/>
      <c r="V438" s="59"/>
      <c r="W438" s="59"/>
      <c r="X438" s="59"/>
      <c r="Y438" s="59"/>
    </row>
    <row r="439" ht="35.25" customHeight="1">
      <c r="A439" s="59"/>
      <c r="B439" s="59"/>
      <c r="C439" s="59"/>
      <c r="D439" s="59"/>
      <c r="E439" s="59"/>
      <c r="F439" s="59"/>
      <c r="G439" s="59"/>
      <c r="H439" s="178"/>
      <c r="I439" s="178"/>
      <c r="J439" s="59"/>
      <c r="K439" s="59"/>
      <c r="L439" s="59"/>
      <c r="M439" s="59"/>
      <c r="N439" s="59"/>
      <c r="O439" s="59"/>
      <c r="P439" s="59"/>
      <c r="Q439" s="59"/>
      <c r="R439" s="59"/>
      <c r="S439" s="59"/>
      <c r="T439" s="59"/>
      <c r="U439" s="59"/>
      <c r="V439" s="59"/>
      <c r="W439" s="59"/>
      <c r="X439" s="59"/>
      <c r="Y439" s="59"/>
    </row>
    <row r="440" ht="35.25" customHeight="1">
      <c r="A440" s="59"/>
      <c r="B440" s="59"/>
      <c r="C440" s="59"/>
      <c r="D440" s="59"/>
      <c r="E440" s="59"/>
      <c r="F440" s="59"/>
      <c r="G440" s="59"/>
      <c r="H440" s="178"/>
      <c r="I440" s="178"/>
      <c r="J440" s="59"/>
      <c r="K440" s="59"/>
      <c r="L440" s="59"/>
      <c r="M440" s="59"/>
      <c r="N440" s="59"/>
      <c r="O440" s="59"/>
      <c r="P440" s="59"/>
      <c r="Q440" s="59"/>
      <c r="R440" s="59"/>
      <c r="S440" s="59"/>
      <c r="T440" s="59"/>
      <c r="U440" s="59"/>
      <c r="V440" s="59"/>
      <c r="W440" s="59"/>
      <c r="X440" s="59"/>
      <c r="Y440" s="59"/>
    </row>
    <row r="441" ht="35.25" customHeight="1">
      <c r="A441" s="59"/>
      <c r="B441" s="59"/>
      <c r="C441" s="59"/>
      <c r="D441" s="59"/>
      <c r="E441" s="59"/>
      <c r="F441" s="59"/>
      <c r="G441" s="59"/>
      <c r="H441" s="178"/>
      <c r="I441" s="178"/>
      <c r="J441" s="59"/>
      <c r="K441" s="59"/>
      <c r="L441" s="59"/>
      <c r="M441" s="59"/>
      <c r="N441" s="59"/>
      <c r="O441" s="59"/>
      <c r="P441" s="59"/>
      <c r="Q441" s="59"/>
      <c r="R441" s="59"/>
      <c r="S441" s="59"/>
      <c r="T441" s="59"/>
      <c r="U441" s="59"/>
      <c r="V441" s="59"/>
      <c r="W441" s="59"/>
      <c r="X441" s="59"/>
      <c r="Y441" s="59"/>
    </row>
    <row r="442" ht="35.25" customHeight="1">
      <c r="A442" s="59"/>
      <c r="B442" s="59"/>
      <c r="C442" s="59"/>
      <c r="D442" s="59"/>
      <c r="E442" s="59"/>
      <c r="F442" s="59"/>
      <c r="G442" s="59"/>
      <c r="H442" s="178"/>
      <c r="I442" s="178"/>
      <c r="J442" s="59"/>
      <c r="K442" s="59"/>
      <c r="L442" s="59"/>
      <c r="M442" s="59"/>
      <c r="N442" s="59"/>
      <c r="O442" s="59"/>
      <c r="P442" s="59"/>
      <c r="Q442" s="59"/>
      <c r="R442" s="59"/>
      <c r="S442" s="59"/>
      <c r="T442" s="59"/>
      <c r="U442" s="59"/>
      <c r="V442" s="59"/>
      <c r="W442" s="59"/>
      <c r="X442" s="59"/>
      <c r="Y442" s="59"/>
    </row>
    <row r="443" ht="35.25" customHeight="1">
      <c r="A443" s="59"/>
      <c r="B443" s="59"/>
      <c r="C443" s="59"/>
      <c r="D443" s="59"/>
      <c r="E443" s="59"/>
      <c r="F443" s="59"/>
      <c r="G443" s="59"/>
      <c r="H443" s="178"/>
      <c r="I443" s="178"/>
      <c r="J443" s="59"/>
      <c r="K443" s="59"/>
      <c r="L443" s="59"/>
      <c r="M443" s="59"/>
      <c r="N443" s="59"/>
      <c r="O443" s="59"/>
      <c r="P443" s="59"/>
      <c r="Q443" s="59"/>
      <c r="R443" s="59"/>
      <c r="S443" s="59"/>
      <c r="T443" s="59"/>
      <c r="U443" s="59"/>
      <c r="V443" s="59"/>
      <c r="W443" s="59"/>
      <c r="X443" s="59"/>
      <c r="Y443" s="59"/>
    </row>
    <row r="444" ht="35.25" customHeight="1">
      <c r="A444" s="59"/>
      <c r="B444" s="59"/>
      <c r="C444" s="59"/>
      <c r="D444" s="59"/>
      <c r="E444" s="59"/>
      <c r="F444" s="59"/>
      <c r="G444" s="59"/>
      <c r="H444" s="178"/>
      <c r="I444" s="178"/>
      <c r="J444" s="59"/>
      <c r="K444" s="59"/>
      <c r="L444" s="59"/>
      <c r="M444" s="59"/>
      <c r="N444" s="59"/>
      <c r="O444" s="59"/>
      <c r="P444" s="59"/>
      <c r="Q444" s="59"/>
      <c r="R444" s="59"/>
      <c r="S444" s="59"/>
      <c r="T444" s="59"/>
      <c r="U444" s="59"/>
      <c r="V444" s="59"/>
      <c r="W444" s="59"/>
      <c r="X444" s="59"/>
      <c r="Y444" s="59"/>
    </row>
    <row r="445" ht="35.25" customHeight="1">
      <c r="A445" s="59"/>
      <c r="B445" s="59"/>
      <c r="C445" s="59"/>
      <c r="D445" s="59"/>
      <c r="E445" s="59"/>
      <c r="F445" s="59"/>
      <c r="G445" s="59"/>
      <c r="H445" s="178"/>
      <c r="I445" s="178"/>
      <c r="J445" s="59"/>
      <c r="K445" s="59"/>
      <c r="L445" s="59"/>
      <c r="M445" s="59"/>
      <c r="N445" s="59"/>
      <c r="O445" s="59"/>
      <c r="P445" s="59"/>
      <c r="Q445" s="59"/>
      <c r="R445" s="59"/>
      <c r="S445" s="59"/>
      <c r="T445" s="59"/>
      <c r="U445" s="59"/>
      <c r="V445" s="59"/>
      <c r="W445" s="59"/>
      <c r="X445" s="59"/>
      <c r="Y445" s="59"/>
    </row>
    <row r="446" ht="35.25" customHeight="1">
      <c r="A446" s="59"/>
      <c r="B446" s="59"/>
      <c r="C446" s="59"/>
      <c r="D446" s="59"/>
      <c r="E446" s="59"/>
      <c r="F446" s="59"/>
      <c r="G446" s="59"/>
      <c r="H446" s="178"/>
      <c r="I446" s="178"/>
      <c r="J446" s="59"/>
      <c r="K446" s="59"/>
      <c r="L446" s="59"/>
      <c r="M446" s="59"/>
      <c r="N446" s="59"/>
      <c r="O446" s="59"/>
      <c r="P446" s="59"/>
      <c r="Q446" s="59"/>
      <c r="R446" s="59"/>
      <c r="S446" s="59"/>
      <c r="T446" s="59"/>
      <c r="U446" s="59"/>
      <c r="V446" s="59"/>
      <c r="W446" s="59"/>
      <c r="X446" s="59"/>
      <c r="Y446" s="59"/>
    </row>
    <row r="447" ht="35.25" customHeight="1">
      <c r="A447" s="59"/>
      <c r="B447" s="59"/>
      <c r="C447" s="59"/>
      <c r="D447" s="59"/>
      <c r="E447" s="59"/>
      <c r="F447" s="59"/>
      <c r="G447" s="59"/>
      <c r="H447" s="178"/>
      <c r="I447" s="178"/>
      <c r="J447" s="59"/>
      <c r="K447" s="59"/>
      <c r="L447" s="59"/>
      <c r="M447" s="59"/>
      <c r="N447" s="59"/>
      <c r="O447" s="59"/>
      <c r="P447" s="59"/>
      <c r="Q447" s="59"/>
      <c r="R447" s="59"/>
      <c r="S447" s="59"/>
      <c r="T447" s="59"/>
      <c r="U447" s="59"/>
      <c r="V447" s="59"/>
      <c r="W447" s="59"/>
      <c r="X447" s="59"/>
      <c r="Y447" s="59"/>
    </row>
    <row r="448" ht="35.25" customHeight="1">
      <c r="A448" s="59"/>
      <c r="B448" s="59"/>
      <c r="C448" s="59"/>
      <c r="D448" s="59"/>
      <c r="E448" s="59"/>
      <c r="F448" s="59"/>
      <c r="G448" s="59"/>
      <c r="H448" s="178"/>
      <c r="I448" s="178"/>
      <c r="J448" s="59"/>
      <c r="K448" s="59"/>
      <c r="L448" s="59"/>
      <c r="M448" s="59"/>
      <c r="N448" s="59"/>
      <c r="O448" s="59"/>
      <c r="P448" s="59"/>
      <c r="Q448" s="59"/>
      <c r="R448" s="59"/>
      <c r="S448" s="59"/>
      <c r="T448" s="59"/>
      <c r="U448" s="59"/>
      <c r="V448" s="59"/>
      <c r="W448" s="59"/>
      <c r="X448" s="59"/>
      <c r="Y448" s="59"/>
    </row>
    <row r="449" ht="35.25" customHeight="1">
      <c r="A449" s="59"/>
      <c r="B449" s="59"/>
      <c r="C449" s="59"/>
      <c r="D449" s="59"/>
      <c r="E449" s="59"/>
      <c r="F449" s="59"/>
      <c r="G449" s="59"/>
      <c r="H449" s="178"/>
      <c r="I449" s="178"/>
      <c r="J449" s="59"/>
      <c r="K449" s="59"/>
      <c r="L449" s="59"/>
      <c r="M449" s="59"/>
      <c r="N449" s="59"/>
      <c r="O449" s="59"/>
      <c r="P449" s="59"/>
      <c r="Q449" s="59"/>
      <c r="R449" s="59"/>
      <c r="S449" s="59"/>
      <c r="T449" s="59"/>
      <c r="U449" s="59"/>
      <c r="V449" s="59"/>
      <c r="W449" s="59"/>
      <c r="X449" s="59"/>
      <c r="Y449" s="59"/>
    </row>
    <row r="450" ht="35.25" customHeight="1">
      <c r="A450" s="59"/>
      <c r="B450" s="59"/>
      <c r="C450" s="59"/>
      <c r="D450" s="59"/>
      <c r="E450" s="59"/>
      <c r="F450" s="59"/>
      <c r="G450" s="59"/>
      <c r="H450" s="178"/>
      <c r="I450" s="178"/>
      <c r="J450" s="59"/>
      <c r="K450" s="59"/>
      <c r="L450" s="59"/>
      <c r="M450" s="59"/>
      <c r="N450" s="59"/>
      <c r="O450" s="59"/>
      <c r="P450" s="59"/>
      <c r="Q450" s="59"/>
      <c r="R450" s="59"/>
      <c r="S450" s="59"/>
      <c r="T450" s="59"/>
      <c r="U450" s="59"/>
      <c r="V450" s="59"/>
      <c r="W450" s="59"/>
      <c r="X450" s="59"/>
      <c r="Y450" s="59"/>
    </row>
    <row r="451" ht="35.25" customHeight="1">
      <c r="A451" s="59"/>
      <c r="B451" s="59"/>
      <c r="C451" s="59"/>
      <c r="D451" s="59"/>
      <c r="E451" s="59"/>
      <c r="F451" s="59"/>
      <c r="G451" s="59"/>
      <c r="H451" s="178"/>
      <c r="I451" s="178"/>
      <c r="J451" s="59"/>
      <c r="K451" s="59"/>
      <c r="L451" s="59"/>
      <c r="M451" s="59"/>
      <c r="N451" s="59"/>
      <c r="O451" s="59"/>
      <c r="P451" s="59"/>
      <c r="Q451" s="59"/>
      <c r="R451" s="59"/>
      <c r="S451" s="59"/>
      <c r="T451" s="59"/>
      <c r="U451" s="59"/>
      <c r="V451" s="59"/>
      <c r="W451" s="59"/>
      <c r="X451" s="59"/>
      <c r="Y451" s="59"/>
    </row>
    <row r="452" ht="35.25" customHeight="1">
      <c r="A452" s="59"/>
      <c r="B452" s="59"/>
      <c r="C452" s="59"/>
      <c r="D452" s="59"/>
      <c r="E452" s="59"/>
      <c r="F452" s="59"/>
      <c r="G452" s="59"/>
      <c r="H452" s="178"/>
      <c r="I452" s="178"/>
      <c r="J452" s="59"/>
      <c r="K452" s="59"/>
      <c r="L452" s="59"/>
      <c r="M452" s="59"/>
      <c r="N452" s="59"/>
      <c r="O452" s="59"/>
      <c r="P452" s="59"/>
      <c r="Q452" s="59"/>
      <c r="R452" s="59"/>
      <c r="S452" s="59"/>
      <c r="T452" s="59"/>
      <c r="U452" s="59"/>
      <c r="V452" s="59"/>
      <c r="W452" s="59"/>
      <c r="X452" s="59"/>
      <c r="Y452" s="59"/>
    </row>
    <row r="453" ht="35.25" customHeight="1">
      <c r="A453" s="59"/>
      <c r="B453" s="59"/>
      <c r="C453" s="59"/>
      <c r="D453" s="59"/>
      <c r="E453" s="59"/>
      <c r="F453" s="59"/>
      <c r="G453" s="59"/>
      <c r="H453" s="178"/>
      <c r="I453" s="178"/>
      <c r="J453" s="59"/>
      <c r="K453" s="59"/>
      <c r="L453" s="59"/>
      <c r="M453" s="59"/>
      <c r="N453" s="59"/>
      <c r="O453" s="59"/>
      <c r="P453" s="59"/>
      <c r="Q453" s="59"/>
      <c r="R453" s="59"/>
      <c r="S453" s="59"/>
      <c r="T453" s="59"/>
      <c r="U453" s="59"/>
      <c r="V453" s="59"/>
      <c r="W453" s="59"/>
      <c r="X453" s="59"/>
      <c r="Y453" s="59"/>
    </row>
    <row r="454" ht="35.25" customHeight="1">
      <c r="A454" s="59"/>
      <c r="B454" s="59"/>
      <c r="C454" s="59"/>
      <c r="D454" s="59"/>
      <c r="E454" s="59"/>
      <c r="F454" s="59"/>
      <c r="G454" s="59"/>
      <c r="H454" s="178"/>
      <c r="I454" s="178"/>
      <c r="J454" s="59"/>
      <c r="K454" s="59"/>
      <c r="L454" s="59"/>
      <c r="M454" s="59"/>
      <c r="N454" s="59"/>
      <c r="O454" s="59"/>
      <c r="P454" s="59"/>
      <c r="Q454" s="59"/>
      <c r="R454" s="59"/>
      <c r="S454" s="59"/>
      <c r="T454" s="59"/>
      <c r="U454" s="59"/>
      <c r="V454" s="59"/>
      <c r="W454" s="59"/>
      <c r="X454" s="59"/>
      <c r="Y454" s="59"/>
    </row>
    <row r="455" ht="35.25" customHeight="1">
      <c r="A455" s="59"/>
      <c r="B455" s="59"/>
      <c r="C455" s="59"/>
      <c r="D455" s="59"/>
      <c r="E455" s="59"/>
      <c r="F455" s="59"/>
      <c r="G455" s="59"/>
      <c r="H455" s="178"/>
      <c r="I455" s="178"/>
      <c r="J455" s="59"/>
      <c r="K455" s="59"/>
      <c r="L455" s="59"/>
      <c r="M455" s="59"/>
      <c r="N455" s="59"/>
      <c r="O455" s="59"/>
      <c r="P455" s="59"/>
      <c r="Q455" s="59"/>
      <c r="R455" s="59"/>
      <c r="S455" s="59"/>
      <c r="T455" s="59"/>
      <c r="U455" s="59"/>
      <c r="V455" s="59"/>
      <c r="W455" s="59"/>
      <c r="X455" s="59"/>
      <c r="Y455" s="59"/>
    </row>
    <row r="456" ht="35.25" customHeight="1">
      <c r="A456" s="59"/>
      <c r="B456" s="59"/>
      <c r="C456" s="59"/>
      <c r="D456" s="59"/>
      <c r="E456" s="59"/>
      <c r="F456" s="59"/>
      <c r="G456" s="59"/>
      <c r="H456" s="178"/>
      <c r="I456" s="178"/>
      <c r="J456" s="59"/>
      <c r="K456" s="59"/>
      <c r="L456" s="59"/>
      <c r="M456" s="59"/>
      <c r="N456" s="59"/>
      <c r="O456" s="59"/>
      <c r="P456" s="59"/>
      <c r="Q456" s="59"/>
      <c r="R456" s="59"/>
      <c r="S456" s="59"/>
      <c r="T456" s="59"/>
      <c r="U456" s="59"/>
      <c r="V456" s="59"/>
      <c r="W456" s="59"/>
      <c r="X456" s="59"/>
      <c r="Y456" s="59"/>
    </row>
    <row r="457" ht="35.25" customHeight="1">
      <c r="A457" s="59"/>
      <c r="B457" s="59"/>
      <c r="C457" s="59"/>
      <c r="D457" s="59"/>
      <c r="E457" s="59"/>
      <c r="F457" s="59"/>
      <c r="G457" s="59"/>
      <c r="H457" s="178"/>
      <c r="I457" s="178"/>
      <c r="J457" s="59"/>
      <c r="K457" s="59"/>
      <c r="L457" s="59"/>
      <c r="M457" s="59"/>
      <c r="N457" s="59"/>
      <c r="O457" s="59"/>
      <c r="P457" s="59"/>
      <c r="Q457" s="59"/>
      <c r="R457" s="59"/>
      <c r="S457" s="59"/>
      <c r="T457" s="59"/>
      <c r="U457" s="59"/>
      <c r="V457" s="59"/>
      <c r="W457" s="59"/>
      <c r="X457" s="59"/>
      <c r="Y457" s="59"/>
    </row>
    <row r="458" ht="35.25" customHeight="1">
      <c r="A458" s="59"/>
      <c r="B458" s="59"/>
      <c r="C458" s="59"/>
      <c r="D458" s="59"/>
      <c r="E458" s="59"/>
      <c r="F458" s="59"/>
      <c r="G458" s="59"/>
      <c r="H458" s="178"/>
      <c r="I458" s="178"/>
      <c r="J458" s="59"/>
      <c r="K458" s="59"/>
      <c r="L458" s="59"/>
      <c r="M458" s="59"/>
      <c r="N458" s="59"/>
      <c r="O458" s="59"/>
      <c r="P458" s="59"/>
      <c r="Q458" s="59"/>
      <c r="R458" s="59"/>
      <c r="S458" s="59"/>
      <c r="T458" s="59"/>
      <c r="U458" s="59"/>
      <c r="V458" s="59"/>
      <c r="W458" s="59"/>
      <c r="X458" s="59"/>
      <c r="Y458" s="59"/>
    </row>
    <row r="459" ht="35.25" customHeight="1">
      <c r="A459" s="59"/>
      <c r="B459" s="59"/>
      <c r="C459" s="59"/>
      <c r="D459" s="59"/>
      <c r="E459" s="59"/>
      <c r="F459" s="59"/>
      <c r="G459" s="59"/>
      <c r="H459" s="178"/>
      <c r="I459" s="178"/>
      <c r="J459" s="59"/>
      <c r="K459" s="59"/>
      <c r="L459" s="59"/>
      <c r="M459" s="59"/>
      <c r="N459" s="59"/>
      <c r="O459" s="59"/>
      <c r="P459" s="59"/>
      <c r="Q459" s="59"/>
      <c r="R459" s="59"/>
      <c r="S459" s="59"/>
      <c r="T459" s="59"/>
      <c r="U459" s="59"/>
      <c r="V459" s="59"/>
      <c r="W459" s="59"/>
      <c r="X459" s="59"/>
      <c r="Y459" s="59"/>
    </row>
    <row r="460" ht="35.25" customHeight="1">
      <c r="A460" s="59"/>
      <c r="B460" s="59"/>
      <c r="C460" s="59"/>
      <c r="D460" s="59"/>
      <c r="E460" s="59"/>
      <c r="F460" s="59"/>
      <c r="G460" s="59"/>
      <c r="H460" s="178"/>
      <c r="I460" s="178"/>
      <c r="J460" s="59"/>
      <c r="K460" s="59"/>
      <c r="L460" s="59"/>
      <c r="M460" s="59"/>
      <c r="N460" s="59"/>
      <c r="O460" s="59"/>
      <c r="P460" s="59"/>
      <c r="Q460" s="59"/>
      <c r="R460" s="59"/>
      <c r="S460" s="59"/>
      <c r="T460" s="59"/>
      <c r="U460" s="59"/>
      <c r="V460" s="59"/>
      <c r="W460" s="59"/>
      <c r="X460" s="59"/>
      <c r="Y460" s="59"/>
    </row>
    <row r="461" ht="35.25" customHeight="1">
      <c r="A461" s="59"/>
      <c r="B461" s="59"/>
      <c r="C461" s="59"/>
      <c r="D461" s="59"/>
      <c r="E461" s="59"/>
      <c r="F461" s="59"/>
      <c r="G461" s="59"/>
      <c r="H461" s="178"/>
      <c r="I461" s="178"/>
      <c r="J461" s="59"/>
      <c r="K461" s="59"/>
      <c r="L461" s="59"/>
      <c r="M461" s="59"/>
      <c r="N461" s="59"/>
      <c r="O461" s="59"/>
      <c r="P461" s="59"/>
      <c r="Q461" s="59"/>
      <c r="R461" s="59"/>
      <c r="S461" s="59"/>
      <c r="T461" s="59"/>
      <c r="U461" s="59"/>
      <c r="V461" s="59"/>
      <c r="W461" s="59"/>
      <c r="X461" s="59"/>
      <c r="Y461" s="59"/>
    </row>
    <row r="462" ht="35.25" customHeight="1">
      <c r="A462" s="59"/>
      <c r="B462" s="59"/>
      <c r="C462" s="59"/>
      <c r="D462" s="59"/>
      <c r="E462" s="59"/>
      <c r="F462" s="59"/>
      <c r="G462" s="59"/>
      <c r="H462" s="178"/>
      <c r="I462" s="178"/>
      <c r="J462" s="59"/>
      <c r="K462" s="59"/>
      <c r="L462" s="59"/>
      <c r="M462" s="59"/>
      <c r="N462" s="59"/>
      <c r="O462" s="59"/>
      <c r="P462" s="59"/>
      <c r="Q462" s="59"/>
      <c r="R462" s="59"/>
      <c r="S462" s="59"/>
      <c r="T462" s="59"/>
      <c r="U462" s="59"/>
      <c r="V462" s="59"/>
      <c r="W462" s="59"/>
      <c r="X462" s="59"/>
      <c r="Y462" s="59"/>
    </row>
    <row r="463" ht="35.25" customHeight="1">
      <c r="A463" s="59"/>
      <c r="B463" s="59"/>
      <c r="C463" s="59"/>
      <c r="D463" s="59"/>
      <c r="E463" s="59"/>
      <c r="F463" s="59"/>
      <c r="G463" s="59"/>
      <c r="H463" s="178"/>
      <c r="I463" s="178"/>
      <c r="J463" s="59"/>
      <c r="K463" s="59"/>
      <c r="L463" s="59"/>
      <c r="M463" s="59"/>
      <c r="N463" s="59"/>
      <c r="O463" s="59"/>
      <c r="P463" s="59"/>
      <c r="Q463" s="59"/>
      <c r="R463" s="59"/>
      <c r="S463" s="59"/>
      <c r="T463" s="59"/>
      <c r="U463" s="59"/>
      <c r="V463" s="59"/>
      <c r="W463" s="59"/>
      <c r="X463" s="59"/>
      <c r="Y463" s="59"/>
    </row>
    <row r="464" ht="35.25" customHeight="1">
      <c r="A464" s="59"/>
      <c r="B464" s="59"/>
      <c r="C464" s="59"/>
      <c r="D464" s="59"/>
      <c r="E464" s="59"/>
      <c r="F464" s="59"/>
      <c r="G464" s="59"/>
      <c r="H464" s="178"/>
      <c r="I464" s="178"/>
      <c r="J464" s="59"/>
      <c r="K464" s="59"/>
      <c r="L464" s="59"/>
      <c r="M464" s="59"/>
      <c r="N464" s="59"/>
      <c r="O464" s="59"/>
      <c r="P464" s="59"/>
      <c r="Q464" s="59"/>
      <c r="R464" s="59"/>
      <c r="S464" s="59"/>
      <c r="T464" s="59"/>
      <c r="U464" s="59"/>
      <c r="V464" s="59"/>
      <c r="W464" s="59"/>
      <c r="X464" s="59"/>
      <c r="Y464" s="59"/>
    </row>
    <row r="465" ht="35.25" customHeight="1">
      <c r="A465" s="59"/>
      <c r="B465" s="59"/>
      <c r="C465" s="59"/>
      <c r="D465" s="59"/>
      <c r="E465" s="59"/>
      <c r="F465" s="59"/>
      <c r="G465" s="59"/>
      <c r="H465" s="178"/>
      <c r="I465" s="178"/>
      <c r="J465" s="59"/>
      <c r="K465" s="59"/>
      <c r="L465" s="59"/>
      <c r="M465" s="59"/>
      <c r="N465" s="59"/>
      <c r="O465" s="59"/>
      <c r="P465" s="59"/>
      <c r="Q465" s="59"/>
      <c r="R465" s="59"/>
      <c r="S465" s="59"/>
      <c r="T465" s="59"/>
      <c r="U465" s="59"/>
      <c r="V465" s="59"/>
      <c r="W465" s="59"/>
      <c r="X465" s="59"/>
      <c r="Y465" s="59"/>
    </row>
    <row r="466" ht="35.25" customHeight="1">
      <c r="A466" s="59"/>
      <c r="B466" s="59"/>
      <c r="C466" s="59"/>
      <c r="D466" s="59"/>
      <c r="E466" s="59"/>
      <c r="F466" s="59"/>
      <c r="G466" s="59"/>
      <c r="H466" s="178"/>
      <c r="I466" s="178"/>
      <c r="J466" s="59"/>
      <c r="K466" s="59"/>
      <c r="L466" s="59"/>
      <c r="M466" s="59"/>
      <c r="N466" s="59"/>
      <c r="O466" s="59"/>
      <c r="P466" s="59"/>
      <c r="Q466" s="59"/>
      <c r="R466" s="59"/>
      <c r="S466" s="59"/>
      <c r="T466" s="59"/>
      <c r="U466" s="59"/>
      <c r="V466" s="59"/>
      <c r="W466" s="59"/>
      <c r="X466" s="59"/>
      <c r="Y466" s="59"/>
    </row>
    <row r="467" ht="35.25" customHeight="1">
      <c r="A467" s="59"/>
      <c r="B467" s="59"/>
      <c r="C467" s="59"/>
      <c r="D467" s="59"/>
      <c r="E467" s="59"/>
      <c r="F467" s="59"/>
      <c r="G467" s="59"/>
      <c r="H467" s="178"/>
      <c r="I467" s="178"/>
      <c r="J467" s="59"/>
      <c r="K467" s="59"/>
      <c r="L467" s="59"/>
      <c r="M467" s="59"/>
      <c r="N467" s="59"/>
      <c r="O467" s="59"/>
      <c r="P467" s="59"/>
      <c r="Q467" s="59"/>
      <c r="R467" s="59"/>
      <c r="S467" s="59"/>
      <c r="T467" s="59"/>
      <c r="U467" s="59"/>
      <c r="V467" s="59"/>
      <c r="W467" s="59"/>
      <c r="X467" s="59"/>
      <c r="Y467" s="59"/>
    </row>
    <row r="468" ht="35.25" customHeight="1">
      <c r="A468" s="59"/>
      <c r="B468" s="59"/>
      <c r="C468" s="59"/>
      <c r="D468" s="59"/>
      <c r="E468" s="59"/>
      <c r="F468" s="59"/>
      <c r="G468" s="59"/>
      <c r="H468" s="178"/>
      <c r="I468" s="178"/>
      <c r="J468" s="59"/>
      <c r="K468" s="59"/>
      <c r="L468" s="59"/>
      <c r="M468" s="59"/>
      <c r="N468" s="59"/>
      <c r="O468" s="59"/>
      <c r="P468" s="59"/>
      <c r="Q468" s="59"/>
      <c r="R468" s="59"/>
      <c r="S468" s="59"/>
      <c r="T468" s="59"/>
      <c r="U468" s="59"/>
      <c r="V468" s="59"/>
      <c r="W468" s="59"/>
      <c r="X468" s="59"/>
      <c r="Y468" s="59"/>
    </row>
    <row r="469" ht="35.25" customHeight="1">
      <c r="A469" s="59"/>
      <c r="B469" s="59"/>
      <c r="C469" s="59"/>
      <c r="D469" s="59"/>
      <c r="E469" s="59"/>
      <c r="F469" s="59"/>
      <c r="G469" s="59"/>
      <c r="H469" s="178"/>
      <c r="I469" s="178"/>
      <c r="J469" s="59"/>
      <c r="K469" s="59"/>
      <c r="L469" s="59"/>
      <c r="M469" s="59"/>
      <c r="N469" s="59"/>
      <c r="O469" s="59"/>
      <c r="P469" s="59"/>
      <c r="Q469" s="59"/>
      <c r="R469" s="59"/>
      <c r="S469" s="59"/>
      <c r="T469" s="59"/>
      <c r="U469" s="59"/>
      <c r="V469" s="59"/>
      <c r="W469" s="59"/>
      <c r="X469" s="59"/>
      <c r="Y469" s="59"/>
    </row>
    <row r="470" ht="35.25" customHeight="1">
      <c r="A470" s="59"/>
      <c r="B470" s="59"/>
      <c r="C470" s="59"/>
      <c r="D470" s="59"/>
      <c r="E470" s="59"/>
      <c r="F470" s="59"/>
      <c r="G470" s="59"/>
      <c r="H470" s="178"/>
      <c r="I470" s="178"/>
      <c r="J470" s="59"/>
      <c r="K470" s="59"/>
      <c r="L470" s="59"/>
      <c r="M470" s="59"/>
      <c r="N470" s="59"/>
      <c r="O470" s="59"/>
      <c r="P470" s="59"/>
      <c r="Q470" s="59"/>
      <c r="R470" s="59"/>
      <c r="S470" s="59"/>
      <c r="T470" s="59"/>
      <c r="U470" s="59"/>
      <c r="V470" s="59"/>
      <c r="W470" s="59"/>
      <c r="X470" s="59"/>
      <c r="Y470" s="59"/>
    </row>
    <row r="471" ht="35.25" customHeight="1">
      <c r="A471" s="59"/>
      <c r="B471" s="59"/>
      <c r="C471" s="59"/>
      <c r="D471" s="59"/>
      <c r="E471" s="59"/>
      <c r="F471" s="59"/>
      <c r="G471" s="59"/>
      <c r="H471" s="178"/>
      <c r="I471" s="178"/>
      <c r="J471" s="59"/>
      <c r="K471" s="59"/>
      <c r="L471" s="59"/>
      <c r="M471" s="59"/>
      <c r="N471" s="59"/>
      <c r="O471" s="59"/>
      <c r="P471" s="59"/>
      <c r="Q471" s="59"/>
      <c r="R471" s="59"/>
      <c r="S471" s="59"/>
      <c r="T471" s="59"/>
      <c r="U471" s="59"/>
      <c r="V471" s="59"/>
      <c r="W471" s="59"/>
      <c r="X471" s="59"/>
      <c r="Y471" s="59"/>
    </row>
    <row r="472" ht="35.25" customHeight="1">
      <c r="A472" s="59"/>
      <c r="B472" s="59"/>
      <c r="C472" s="59"/>
      <c r="D472" s="59"/>
      <c r="E472" s="59"/>
      <c r="F472" s="59"/>
      <c r="G472" s="59"/>
      <c r="H472" s="178"/>
      <c r="I472" s="178"/>
      <c r="J472" s="59"/>
      <c r="K472" s="59"/>
      <c r="L472" s="59"/>
      <c r="M472" s="59"/>
      <c r="N472" s="59"/>
      <c r="O472" s="59"/>
      <c r="P472" s="59"/>
      <c r="Q472" s="59"/>
      <c r="R472" s="59"/>
      <c r="S472" s="59"/>
      <c r="T472" s="59"/>
      <c r="U472" s="59"/>
      <c r="V472" s="59"/>
      <c r="W472" s="59"/>
      <c r="X472" s="59"/>
      <c r="Y472" s="59"/>
    </row>
    <row r="473" ht="35.25" customHeight="1">
      <c r="A473" s="59"/>
      <c r="B473" s="59"/>
      <c r="C473" s="59"/>
      <c r="D473" s="59"/>
      <c r="E473" s="59"/>
      <c r="F473" s="59"/>
      <c r="G473" s="59"/>
      <c r="H473" s="178"/>
      <c r="I473" s="178"/>
      <c r="J473" s="59"/>
      <c r="K473" s="59"/>
      <c r="L473" s="59"/>
      <c r="M473" s="59"/>
      <c r="N473" s="59"/>
      <c r="O473" s="59"/>
      <c r="P473" s="59"/>
      <c r="Q473" s="59"/>
      <c r="R473" s="59"/>
      <c r="S473" s="59"/>
      <c r="T473" s="59"/>
      <c r="U473" s="59"/>
      <c r="V473" s="59"/>
      <c r="W473" s="59"/>
      <c r="X473" s="59"/>
      <c r="Y473" s="59"/>
    </row>
    <row r="474" ht="35.25" customHeight="1">
      <c r="A474" s="59"/>
      <c r="B474" s="59"/>
      <c r="C474" s="59"/>
      <c r="D474" s="59"/>
      <c r="E474" s="59"/>
      <c r="F474" s="59"/>
      <c r="G474" s="59"/>
      <c r="H474" s="178"/>
      <c r="I474" s="178"/>
      <c r="J474" s="59"/>
      <c r="K474" s="59"/>
      <c r="L474" s="59"/>
      <c r="M474" s="59"/>
      <c r="N474" s="59"/>
      <c r="O474" s="59"/>
      <c r="P474" s="59"/>
      <c r="Q474" s="59"/>
      <c r="R474" s="59"/>
      <c r="S474" s="59"/>
      <c r="T474" s="59"/>
      <c r="U474" s="59"/>
      <c r="V474" s="59"/>
      <c r="W474" s="59"/>
      <c r="X474" s="59"/>
      <c r="Y474" s="59"/>
    </row>
    <row r="475" ht="35.25" customHeight="1">
      <c r="A475" s="59"/>
      <c r="B475" s="59"/>
      <c r="C475" s="59"/>
      <c r="D475" s="59"/>
      <c r="E475" s="59"/>
      <c r="F475" s="59"/>
      <c r="G475" s="59"/>
      <c r="H475" s="178"/>
      <c r="I475" s="178"/>
      <c r="J475" s="59"/>
      <c r="K475" s="59"/>
      <c r="L475" s="59"/>
      <c r="M475" s="59"/>
      <c r="N475" s="59"/>
      <c r="O475" s="59"/>
      <c r="P475" s="59"/>
      <c r="Q475" s="59"/>
      <c r="R475" s="59"/>
      <c r="S475" s="59"/>
      <c r="T475" s="59"/>
      <c r="U475" s="59"/>
      <c r="V475" s="59"/>
      <c r="W475" s="59"/>
      <c r="X475" s="59"/>
      <c r="Y475" s="59"/>
    </row>
    <row r="476" ht="35.25" customHeight="1">
      <c r="A476" s="59"/>
      <c r="B476" s="59"/>
      <c r="C476" s="59"/>
      <c r="D476" s="59"/>
      <c r="E476" s="59"/>
      <c r="F476" s="59"/>
      <c r="G476" s="59"/>
      <c r="H476" s="178"/>
      <c r="I476" s="178"/>
      <c r="J476" s="59"/>
      <c r="K476" s="59"/>
      <c r="L476" s="59"/>
      <c r="M476" s="59"/>
      <c r="N476" s="59"/>
      <c r="O476" s="59"/>
      <c r="P476" s="59"/>
      <c r="Q476" s="59"/>
      <c r="R476" s="59"/>
      <c r="S476" s="59"/>
      <c r="T476" s="59"/>
      <c r="U476" s="59"/>
      <c r="V476" s="59"/>
      <c r="W476" s="59"/>
      <c r="X476" s="59"/>
      <c r="Y476" s="59"/>
    </row>
    <row r="477" ht="35.25" customHeight="1">
      <c r="A477" s="59"/>
      <c r="B477" s="59"/>
      <c r="C477" s="59"/>
      <c r="D477" s="59"/>
      <c r="E477" s="59"/>
      <c r="F477" s="59"/>
      <c r="G477" s="59"/>
      <c r="H477" s="178"/>
      <c r="I477" s="178"/>
      <c r="J477" s="59"/>
      <c r="K477" s="59"/>
      <c r="L477" s="59"/>
      <c r="M477" s="59"/>
      <c r="N477" s="59"/>
      <c r="O477" s="59"/>
      <c r="P477" s="59"/>
      <c r="Q477" s="59"/>
      <c r="R477" s="59"/>
      <c r="S477" s="59"/>
      <c r="T477" s="59"/>
      <c r="U477" s="59"/>
      <c r="V477" s="59"/>
      <c r="W477" s="59"/>
      <c r="X477" s="59"/>
      <c r="Y477" s="59"/>
    </row>
    <row r="478" ht="35.25" customHeight="1">
      <c r="A478" s="59"/>
      <c r="B478" s="59"/>
      <c r="C478" s="59"/>
      <c r="D478" s="59"/>
      <c r="E478" s="59"/>
      <c r="F478" s="59"/>
      <c r="G478" s="59"/>
      <c r="H478" s="178"/>
      <c r="I478" s="178"/>
      <c r="J478" s="59"/>
      <c r="K478" s="59"/>
      <c r="L478" s="59"/>
      <c r="M478" s="59"/>
      <c r="N478" s="59"/>
      <c r="O478" s="59"/>
      <c r="P478" s="59"/>
      <c r="Q478" s="59"/>
      <c r="R478" s="59"/>
      <c r="S478" s="59"/>
      <c r="T478" s="59"/>
      <c r="U478" s="59"/>
      <c r="V478" s="59"/>
      <c r="W478" s="59"/>
      <c r="X478" s="59"/>
      <c r="Y478" s="59"/>
    </row>
    <row r="479" ht="35.25" customHeight="1">
      <c r="A479" s="59"/>
      <c r="B479" s="59"/>
      <c r="C479" s="59"/>
      <c r="D479" s="59"/>
      <c r="E479" s="59"/>
      <c r="F479" s="59"/>
      <c r="G479" s="59"/>
      <c r="H479" s="178"/>
      <c r="I479" s="178"/>
      <c r="J479" s="59"/>
      <c r="K479" s="59"/>
      <c r="L479" s="59"/>
      <c r="M479" s="59"/>
      <c r="N479" s="59"/>
      <c r="O479" s="59"/>
      <c r="P479" s="59"/>
      <c r="Q479" s="59"/>
      <c r="R479" s="59"/>
      <c r="S479" s="59"/>
      <c r="T479" s="59"/>
      <c r="U479" s="59"/>
      <c r="V479" s="59"/>
      <c r="W479" s="59"/>
      <c r="X479" s="59"/>
      <c r="Y479" s="59"/>
    </row>
    <row r="480" ht="35.25" customHeight="1">
      <c r="A480" s="59"/>
      <c r="B480" s="59"/>
      <c r="C480" s="59"/>
      <c r="D480" s="59"/>
      <c r="E480" s="59"/>
      <c r="F480" s="59"/>
      <c r="G480" s="59"/>
      <c r="H480" s="178"/>
      <c r="I480" s="178"/>
      <c r="J480" s="59"/>
      <c r="K480" s="59"/>
      <c r="L480" s="59"/>
      <c r="M480" s="59"/>
      <c r="N480" s="59"/>
      <c r="O480" s="59"/>
      <c r="P480" s="59"/>
      <c r="Q480" s="59"/>
      <c r="R480" s="59"/>
      <c r="S480" s="59"/>
      <c r="T480" s="59"/>
      <c r="U480" s="59"/>
      <c r="V480" s="59"/>
      <c r="W480" s="59"/>
      <c r="X480" s="59"/>
      <c r="Y480" s="59"/>
    </row>
    <row r="481" ht="35.25" customHeight="1">
      <c r="A481" s="59"/>
      <c r="B481" s="59"/>
      <c r="C481" s="59"/>
      <c r="D481" s="59"/>
      <c r="E481" s="59"/>
      <c r="F481" s="59"/>
      <c r="G481" s="59"/>
      <c r="H481" s="178"/>
      <c r="I481" s="178"/>
      <c r="J481" s="59"/>
      <c r="K481" s="59"/>
      <c r="L481" s="59"/>
      <c r="M481" s="59"/>
      <c r="N481" s="59"/>
      <c r="O481" s="59"/>
      <c r="P481" s="59"/>
      <c r="Q481" s="59"/>
      <c r="R481" s="59"/>
      <c r="S481" s="59"/>
      <c r="T481" s="59"/>
      <c r="U481" s="59"/>
      <c r="V481" s="59"/>
      <c r="W481" s="59"/>
      <c r="X481" s="59"/>
      <c r="Y481" s="59"/>
    </row>
    <row r="482" ht="35.25" customHeight="1">
      <c r="A482" s="59"/>
      <c r="B482" s="59"/>
      <c r="C482" s="59"/>
      <c r="D482" s="59"/>
      <c r="E482" s="59"/>
      <c r="F482" s="59"/>
      <c r="G482" s="59"/>
      <c r="H482" s="178"/>
      <c r="I482" s="178"/>
      <c r="J482" s="59"/>
      <c r="K482" s="59"/>
      <c r="L482" s="59"/>
      <c r="M482" s="59"/>
      <c r="N482" s="59"/>
      <c r="O482" s="59"/>
      <c r="P482" s="59"/>
      <c r="Q482" s="59"/>
      <c r="R482" s="59"/>
      <c r="S482" s="59"/>
      <c r="T482" s="59"/>
      <c r="U482" s="59"/>
      <c r="V482" s="59"/>
      <c r="W482" s="59"/>
      <c r="X482" s="59"/>
      <c r="Y482" s="59"/>
    </row>
    <row r="483" ht="35.25" customHeight="1">
      <c r="A483" s="59"/>
      <c r="B483" s="59"/>
      <c r="C483" s="59"/>
      <c r="D483" s="59"/>
      <c r="E483" s="59"/>
      <c r="F483" s="59"/>
      <c r="G483" s="59"/>
      <c r="H483" s="178"/>
      <c r="I483" s="178"/>
      <c r="J483" s="59"/>
      <c r="K483" s="59"/>
      <c r="L483" s="59"/>
      <c r="M483" s="59"/>
      <c r="N483" s="59"/>
      <c r="O483" s="59"/>
      <c r="P483" s="59"/>
      <c r="Q483" s="59"/>
      <c r="R483" s="59"/>
      <c r="S483" s="59"/>
      <c r="T483" s="59"/>
      <c r="U483" s="59"/>
      <c r="V483" s="59"/>
      <c r="W483" s="59"/>
      <c r="X483" s="59"/>
      <c r="Y483" s="59"/>
    </row>
    <row r="484" ht="35.25" customHeight="1">
      <c r="A484" s="59"/>
      <c r="B484" s="59"/>
      <c r="C484" s="59"/>
      <c r="D484" s="59"/>
      <c r="E484" s="59"/>
      <c r="F484" s="59"/>
      <c r="G484" s="59"/>
      <c r="H484" s="178"/>
      <c r="I484" s="178"/>
      <c r="J484" s="59"/>
      <c r="K484" s="59"/>
      <c r="L484" s="59"/>
      <c r="M484" s="59"/>
      <c r="N484" s="59"/>
      <c r="O484" s="59"/>
      <c r="P484" s="59"/>
      <c r="Q484" s="59"/>
      <c r="R484" s="59"/>
      <c r="S484" s="59"/>
      <c r="T484" s="59"/>
      <c r="U484" s="59"/>
      <c r="V484" s="59"/>
      <c r="W484" s="59"/>
      <c r="X484" s="59"/>
      <c r="Y484" s="59"/>
    </row>
    <row r="485" ht="35.25" customHeight="1">
      <c r="A485" s="59"/>
      <c r="B485" s="59"/>
      <c r="C485" s="59"/>
      <c r="D485" s="59"/>
      <c r="E485" s="59"/>
      <c r="F485" s="59"/>
      <c r="G485" s="59"/>
      <c r="H485" s="178"/>
      <c r="I485" s="178"/>
      <c r="J485" s="59"/>
      <c r="K485" s="59"/>
      <c r="L485" s="59"/>
      <c r="M485" s="59"/>
      <c r="N485" s="59"/>
      <c r="O485" s="59"/>
      <c r="P485" s="59"/>
      <c r="Q485" s="59"/>
      <c r="R485" s="59"/>
      <c r="S485" s="59"/>
      <c r="T485" s="59"/>
      <c r="U485" s="59"/>
      <c r="V485" s="59"/>
      <c r="W485" s="59"/>
      <c r="X485" s="59"/>
      <c r="Y485" s="59"/>
    </row>
    <row r="486" ht="35.25" customHeight="1">
      <c r="A486" s="59"/>
      <c r="B486" s="59"/>
      <c r="C486" s="59"/>
      <c r="D486" s="59"/>
      <c r="E486" s="59"/>
      <c r="F486" s="59"/>
      <c r="G486" s="59"/>
      <c r="H486" s="178"/>
      <c r="I486" s="178"/>
      <c r="J486" s="59"/>
      <c r="K486" s="59"/>
      <c r="L486" s="59"/>
      <c r="M486" s="59"/>
      <c r="N486" s="59"/>
      <c r="O486" s="59"/>
      <c r="P486" s="59"/>
      <c r="Q486" s="59"/>
      <c r="R486" s="59"/>
      <c r="S486" s="59"/>
      <c r="T486" s="59"/>
      <c r="U486" s="59"/>
      <c r="V486" s="59"/>
      <c r="W486" s="59"/>
      <c r="X486" s="59"/>
      <c r="Y486" s="59"/>
    </row>
    <row r="487" ht="35.25" customHeight="1">
      <c r="A487" s="59"/>
      <c r="B487" s="59"/>
      <c r="C487" s="59"/>
      <c r="D487" s="59"/>
      <c r="E487" s="59"/>
      <c r="F487" s="59"/>
      <c r="G487" s="59"/>
      <c r="H487" s="178"/>
      <c r="I487" s="178"/>
      <c r="J487" s="59"/>
      <c r="K487" s="59"/>
      <c r="L487" s="59"/>
      <c r="M487" s="59"/>
      <c r="N487" s="59"/>
      <c r="O487" s="59"/>
      <c r="P487" s="59"/>
      <c r="Q487" s="59"/>
      <c r="R487" s="59"/>
      <c r="S487" s="59"/>
      <c r="T487" s="59"/>
      <c r="U487" s="59"/>
      <c r="V487" s="59"/>
      <c r="W487" s="59"/>
      <c r="X487" s="59"/>
      <c r="Y487" s="59"/>
    </row>
    <row r="488" ht="35.25" customHeight="1">
      <c r="A488" s="59"/>
      <c r="B488" s="59"/>
      <c r="C488" s="59"/>
      <c r="D488" s="59"/>
      <c r="E488" s="59"/>
      <c r="F488" s="59"/>
      <c r="G488" s="59"/>
      <c r="H488" s="178"/>
      <c r="I488" s="178"/>
      <c r="J488" s="59"/>
      <c r="K488" s="59"/>
      <c r="L488" s="59"/>
      <c r="M488" s="59"/>
      <c r="N488" s="59"/>
      <c r="O488" s="59"/>
      <c r="P488" s="59"/>
      <c r="Q488" s="59"/>
      <c r="R488" s="59"/>
      <c r="S488" s="59"/>
      <c r="T488" s="59"/>
      <c r="U488" s="59"/>
      <c r="V488" s="59"/>
      <c r="W488" s="59"/>
      <c r="X488" s="59"/>
      <c r="Y488" s="59"/>
    </row>
    <row r="489" ht="35.25" customHeight="1">
      <c r="A489" s="59"/>
      <c r="B489" s="59"/>
      <c r="C489" s="59"/>
      <c r="D489" s="59"/>
      <c r="E489" s="59"/>
      <c r="F489" s="59"/>
      <c r="G489" s="59"/>
      <c r="H489" s="178"/>
      <c r="I489" s="178"/>
      <c r="J489" s="59"/>
      <c r="K489" s="59"/>
      <c r="L489" s="59"/>
      <c r="M489" s="59"/>
      <c r="N489" s="59"/>
      <c r="O489" s="59"/>
      <c r="P489" s="59"/>
      <c r="Q489" s="59"/>
      <c r="R489" s="59"/>
      <c r="S489" s="59"/>
      <c r="T489" s="59"/>
      <c r="U489" s="59"/>
      <c r="V489" s="59"/>
      <c r="W489" s="59"/>
      <c r="X489" s="59"/>
      <c r="Y489" s="59"/>
    </row>
    <row r="490" ht="35.25" customHeight="1">
      <c r="A490" s="59"/>
      <c r="B490" s="59"/>
      <c r="C490" s="59"/>
      <c r="D490" s="59"/>
      <c r="E490" s="59"/>
      <c r="F490" s="59"/>
      <c r="G490" s="59"/>
      <c r="H490" s="178"/>
      <c r="I490" s="178"/>
      <c r="J490" s="59"/>
      <c r="K490" s="59"/>
      <c r="L490" s="59"/>
      <c r="M490" s="59"/>
      <c r="N490" s="59"/>
      <c r="O490" s="59"/>
      <c r="P490" s="59"/>
      <c r="Q490" s="59"/>
      <c r="R490" s="59"/>
      <c r="S490" s="59"/>
      <c r="T490" s="59"/>
      <c r="U490" s="59"/>
      <c r="V490" s="59"/>
      <c r="W490" s="59"/>
      <c r="X490" s="59"/>
      <c r="Y490" s="59"/>
    </row>
    <row r="491" ht="35.25" customHeight="1">
      <c r="A491" s="59"/>
      <c r="B491" s="59"/>
      <c r="C491" s="59"/>
      <c r="D491" s="59"/>
      <c r="E491" s="59"/>
      <c r="F491" s="59"/>
      <c r="G491" s="59"/>
      <c r="H491" s="178"/>
      <c r="I491" s="178"/>
      <c r="J491" s="59"/>
      <c r="K491" s="59"/>
      <c r="L491" s="59"/>
      <c r="M491" s="59"/>
      <c r="N491" s="59"/>
      <c r="O491" s="59"/>
      <c r="P491" s="59"/>
      <c r="Q491" s="59"/>
      <c r="R491" s="59"/>
      <c r="S491" s="59"/>
      <c r="T491" s="59"/>
      <c r="U491" s="59"/>
      <c r="V491" s="59"/>
      <c r="W491" s="59"/>
      <c r="X491" s="59"/>
      <c r="Y491" s="59"/>
    </row>
    <row r="492" ht="35.25" customHeight="1">
      <c r="A492" s="59"/>
      <c r="B492" s="59"/>
      <c r="C492" s="59"/>
      <c r="D492" s="59"/>
      <c r="E492" s="59"/>
      <c r="F492" s="59"/>
      <c r="G492" s="59"/>
      <c r="H492" s="178"/>
      <c r="I492" s="178"/>
      <c r="J492" s="59"/>
      <c r="K492" s="59"/>
      <c r="L492" s="59"/>
      <c r="M492" s="59"/>
      <c r="N492" s="59"/>
      <c r="O492" s="59"/>
      <c r="P492" s="59"/>
      <c r="Q492" s="59"/>
      <c r="R492" s="59"/>
      <c r="S492" s="59"/>
      <c r="T492" s="59"/>
      <c r="U492" s="59"/>
      <c r="V492" s="59"/>
      <c r="W492" s="59"/>
      <c r="X492" s="59"/>
      <c r="Y492" s="59"/>
    </row>
    <row r="493" ht="35.25" customHeight="1">
      <c r="A493" s="59"/>
      <c r="B493" s="59"/>
      <c r="C493" s="59"/>
      <c r="D493" s="59"/>
      <c r="E493" s="59"/>
      <c r="F493" s="59"/>
      <c r="G493" s="59"/>
      <c r="H493" s="178"/>
      <c r="I493" s="178"/>
      <c r="J493" s="59"/>
      <c r="K493" s="59"/>
      <c r="L493" s="59"/>
      <c r="M493" s="59"/>
      <c r="N493" s="59"/>
      <c r="O493" s="59"/>
      <c r="P493" s="59"/>
      <c r="Q493" s="59"/>
      <c r="R493" s="59"/>
      <c r="S493" s="59"/>
      <c r="T493" s="59"/>
      <c r="U493" s="59"/>
      <c r="V493" s="59"/>
      <c r="W493" s="59"/>
      <c r="X493" s="59"/>
      <c r="Y493" s="59"/>
    </row>
    <row r="494" ht="35.25" customHeight="1">
      <c r="A494" s="59"/>
      <c r="B494" s="59"/>
      <c r="C494" s="59"/>
      <c r="D494" s="59"/>
      <c r="E494" s="59"/>
      <c r="F494" s="59"/>
      <c r="G494" s="59"/>
      <c r="H494" s="178"/>
      <c r="I494" s="178"/>
      <c r="J494" s="59"/>
      <c r="K494" s="59"/>
      <c r="L494" s="59"/>
      <c r="M494" s="59"/>
      <c r="N494" s="59"/>
      <c r="O494" s="59"/>
      <c r="P494" s="59"/>
      <c r="Q494" s="59"/>
      <c r="R494" s="59"/>
      <c r="S494" s="59"/>
      <c r="T494" s="59"/>
      <c r="U494" s="59"/>
      <c r="V494" s="59"/>
      <c r="W494" s="59"/>
      <c r="X494" s="59"/>
      <c r="Y494" s="59"/>
    </row>
    <row r="495" ht="35.25" customHeight="1">
      <c r="A495" s="59"/>
      <c r="B495" s="59"/>
      <c r="C495" s="59"/>
      <c r="D495" s="59"/>
      <c r="E495" s="59"/>
      <c r="F495" s="59"/>
      <c r="G495" s="59"/>
      <c r="H495" s="178"/>
      <c r="I495" s="178"/>
      <c r="J495" s="59"/>
      <c r="K495" s="59"/>
      <c r="L495" s="59"/>
      <c r="M495" s="59"/>
      <c r="N495" s="59"/>
      <c r="O495" s="59"/>
      <c r="P495" s="59"/>
      <c r="Q495" s="59"/>
      <c r="R495" s="59"/>
      <c r="S495" s="59"/>
      <c r="T495" s="59"/>
      <c r="U495" s="59"/>
      <c r="V495" s="59"/>
      <c r="W495" s="59"/>
      <c r="X495" s="59"/>
      <c r="Y495" s="59"/>
    </row>
    <row r="496" ht="35.25" customHeight="1">
      <c r="A496" s="59"/>
      <c r="B496" s="59"/>
      <c r="C496" s="59"/>
      <c r="D496" s="59"/>
      <c r="E496" s="59"/>
      <c r="F496" s="59"/>
      <c r="G496" s="59"/>
      <c r="H496" s="178"/>
      <c r="I496" s="178"/>
      <c r="J496" s="59"/>
      <c r="K496" s="59"/>
      <c r="L496" s="59"/>
      <c r="M496" s="59"/>
      <c r="N496" s="59"/>
      <c r="O496" s="59"/>
      <c r="P496" s="59"/>
      <c r="Q496" s="59"/>
      <c r="R496" s="59"/>
      <c r="S496" s="59"/>
      <c r="T496" s="59"/>
      <c r="U496" s="59"/>
      <c r="V496" s="59"/>
      <c r="W496" s="59"/>
      <c r="X496" s="59"/>
      <c r="Y496" s="59"/>
    </row>
    <row r="497" ht="35.25" customHeight="1">
      <c r="A497" s="59"/>
      <c r="B497" s="59"/>
      <c r="C497" s="59"/>
      <c r="D497" s="59"/>
      <c r="E497" s="59"/>
      <c r="F497" s="59"/>
      <c r="G497" s="59"/>
      <c r="H497" s="178"/>
      <c r="I497" s="178"/>
      <c r="J497" s="59"/>
      <c r="K497" s="59"/>
      <c r="L497" s="59"/>
      <c r="M497" s="59"/>
      <c r="N497" s="59"/>
      <c r="O497" s="59"/>
      <c r="P497" s="59"/>
      <c r="Q497" s="59"/>
      <c r="R497" s="59"/>
      <c r="S497" s="59"/>
      <c r="T497" s="59"/>
      <c r="U497" s="59"/>
      <c r="V497" s="59"/>
      <c r="W497" s="59"/>
      <c r="X497" s="59"/>
      <c r="Y497" s="59"/>
    </row>
    <row r="498" ht="35.25" customHeight="1">
      <c r="A498" s="59"/>
      <c r="B498" s="59"/>
      <c r="C498" s="59"/>
      <c r="D498" s="59"/>
      <c r="E498" s="59"/>
      <c r="F498" s="59"/>
      <c r="G498" s="59"/>
      <c r="H498" s="178"/>
      <c r="I498" s="178"/>
      <c r="J498" s="59"/>
      <c r="K498" s="59"/>
      <c r="L498" s="59"/>
      <c r="M498" s="59"/>
      <c r="N498" s="59"/>
      <c r="O498" s="59"/>
      <c r="P498" s="59"/>
      <c r="Q498" s="59"/>
      <c r="R498" s="59"/>
      <c r="S498" s="59"/>
      <c r="T498" s="59"/>
      <c r="U498" s="59"/>
      <c r="V498" s="59"/>
      <c r="W498" s="59"/>
      <c r="X498" s="59"/>
      <c r="Y498" s="59"/>
    </row>
    <row r="499" ht="35.25" customHeight="1">
      <c r="A499" s="59"/>
      <c r="B499" s="59"/>
      <c r="C499" s="59"/>
      <c r="D499" s="59"/>
      <c r="E499" s="59"/>
      <c r="F499" s="59"/>
      <c r="G499" s="59"/>
      <c r="H499" s="178"/>
      <c r="I499" s="178"/>
      <c r="J499" s="59"/>
      <c r="K499" s="59"/>
      <c r="L499" s="59"/>
      <c r="M499" s="59"/>
      <c r="N499" s="59"/>
      <c r="O499" s="59"/>
      <c r="P499" s="59"/>
      <c r="Q499" s="59"/>
      <c r="R499" s="59"/>
      <c r="S499" s="59"/>
      <c r="T499" s="59"/>
      <c r="U499" s="59"/>
      <c r="V499" s="59"/>
      <c r="W499" s="59"/>
      <c r="X499" s="59"/>
      <c r="Y499" s="59"/>
    </row>
    <row r="500" ht="35.25" customHeight="1">
      <c r="A500" s="59"/>
      <c r="B500" s="59"/>
      <c r="C500" s="59"/>
      <c r="D500" s="59"/>
      <c r="E500" s="59"/>
      <c r="F500" s="59"/>
      <c r="G500" s="59"/>
      <c r="H500" s="178"/>
      <c r="I500" s="178"/>
      <c r="J500" s="59"/>
      <c r="K500" s="59"/>
      <c r="L500" s="59"/>
      <c r="M500" s="59"/>
      <c r="N500" s="59"/>
      <c r="O500" s="59"/>
      <c r="P500" s="59"/>
      <c r="Q500" s="59"/>
      <c r="R500" s="59"/>
      <c r="S500" s="59"/>
      <c r="T500" s="59"/>
      <c r="U500" s="59"/>
      <c r="V500" s="59"/>
      <c r="W500" s="59"/>
      <c r="X500" s="59"/>
      <c r="Y500" s="59"/>
    </row>
    <row r="501" ht="35.25" customHeight="1">
      <c r="A501" s="59"/>
      <c r="B501" s="59"/>
      <c r="C501" s="59"/>
      <c r="D501" s="59"/>
      <c r="E501" s="59"/>
      <c r="F501" s="59"/>
      <c r="G501" s="59"/>
      <c r="H501" s="178"/>
      <c r="I501" s="178"/>
      <c r="J501" s="59"/>
      <c r="K501" s="59"/>
      <c r="L501" s="59"/>
      <c r="M501" s="59"/>
      <c r="N501" s="59"/>
      <c r="O501" s="59"/>
      <c r="P501" s="59"/>
      <c r="Q501" s="59"/>
      <c r="R501" s="59"/>
      <c r="S501" s="59"/>
      <c r="T501" s="59"/>
      <c r="U501" s="59"/>
      <c r="V501" s="59"/>
      <c r="W501" s="59"/>
      <c r="X501" s="59"/>
      <c r="Y501" s="59"/>
    </row>
    <row r="502" ht="35.25" customHeight="1">
      <c r="A502" s="59"/>
      <c r="B502" s="59"/>
      <c r="C502" s="59"/>
      <c r="D502" s="59"/>
      <c r="E502" s="59"/>
      <c r="F502" s="59"/>
      <c r="G502" s="59"/>
      <c r="H502" s="178"/>
      <c r="I502" s="178"/>
      <c r="J502" s="59"/>
      <c r="K502" s="59"/>
      <c r="L502" s="59"/>
      <c r="M502" s="59"/>
      <c r="N502" s="59"/>
      <c r="O502" s="59"/>
      <c r="P502" s="59"/>
      <c r="Q502" s="59"/>
      <c r="R502" s="59"/>
      <c r="S502" s="59"/>
      <c r="T502" s="59"/>
      <c r="U502" s="59"/>
      <c r="V502" s="59"/>
      <c r="W502" s="59"/>
      <c r="X502" s="59"/>
      <c r="Y502" s="59"/>
    </row>
    <row r="503" ht="35.25" customHeight="1">
      <c r="A503" s="59"/>
      <c r="B503" s="59"/>
      <c r="C503" s="59"/>
      <c r="D503" s="59"/>
      <c r="E503" s="59"/>
      <c r="F503" s="59"/>
      <c r="G503" s="59"/>
      <c r="H503" s="178"/>
      <c r="I503" s="178"/>
      <c r="J503" s="59"/>
      <c r="K503" s="59"/>
      <c r="L503" s="59"/>
      <c r="M503" s="59"/>
      <c r="N503" s="59"/>
      <c r="O503" s="59"/>
      <c r="P503" s="59"/>
      <c r="Q503" s="59"/>
      <c r="R503" s="59"/>
      <c r="S503" s="59"/>
      <c r="T503" s="59"/>
      <c r="U503" s="59"/>
      <c r="V503" s="59"/>
      <c r="W503" s="59"/>
      <c r="X503" s="59"/>
      <c r="Y503" s="59"/>
    </row>
    <row r="504" ht="35.25" customHeight="1">
      <c r="A504" s="59"/>
      <c r="B504" s="59"/>
      <c r="C504" s="59"/>
      <c r="D504" s="59"/>
      <c r="E504" s="59"/>
      <c r="F504" s="59"/>
      <c r="G504" s="59"/>
      <c r="H504" s="178"/>
      <c r="I504" s="178"/>
      <c r="J504" s="59"/>
      <c r="K504" s="59"/>
      <c r="L504" s="59"/>
      <c r="M504" s="59"/>
      <c r="N504" s="59"/>
      <c r="O504" s="59"/>
      <c r="P504" s="59"/>
      <c r="Q504" s="59"/>
      <c r="R504" s="59"/>
      <c r="S504" s="59"/>
      <c r="T504" s="59"/>
      <c r="U504" s="59"/>
      <c r="V504" s="59"/>
      <c r="W504" s="59"/>
      <c r="X504" s="59"/>
      <c r="Y504" s="59"/>
    </row>
    <row r="505" ht="35.25" customHeight="1">
      <c r="A505" s="59"/>
      <c r="B505" s="59"/>
      <c r="C505" s="59"/>
      <c r="D505" s="59"/>
      <c r="E505" s="59"/>
      <c r="F505" s="59"/>
      <c r="G505" s="59"/>
      <c r="H505" s="178"/>
      <c r="I505" s="178"/>
      <c r="J505" s="59"/>
      <c r="K505" s="59"/>
      <c r="L505" s="59"/>
      <c r="M505" s="59"/>
      <c r="N505" s="59"/>
      <c r="O505" s="59"/>
      <c r="P505" s="59"/>
      <c r="Q505" s="59"/>
      <c r="R505" s="59"/>
      <c r="S505" s="59"/>
      <c r="T505" s="59"/>
      <c r="U505" s="59"/>
      <c r="V505" s="59"/>
      <c r="W505" s="59"/>
      <c r="X505" s="59"/>
      <c r="Y505" s="59"/>
    </row>
    <row r="506" ht="35.25" customHeight="1">
      <c r="A506" s="59"/>
      <c r="B506" s="59"/>
      <c r="C506" s="59"/>
      <c r="D506" s="59"/>
      <c r="E506" s="59"/>
      <c r="F506" s="59"/>
      <c r="G506" s="59"/>
      <c r="H506" s="178"/>
      <c r="I506" s="178"/>
      <c r="J506" s="59"/>
      <c r="K506" s="59"/>
      <c r="L506" s="59"/>
      <c r="M506" s="59"/>
      <c r="N506" s="59"/>
      <c r="O506" s="59"/>
      <c r="P506" s="59"/>
      <c r="Q506" s="59"/>
      <c r="R506" s="59"/>
      <c r="S506" s="59"/>
      <c r="T506" s="59"/>
      <c r="U506" s="59"/>
      <c r="V506" s="59"/>
      <c r="W506" s="59"/>
      <c r="X506" s="59"/>
      <c r="Y506" s="59"/>
    </row>
    <row r="507" ht="35.25" customHeight="1">
      <c r="A507" s="59"/>
      <c r="B507" s="59"/>
      <c r="C507" s="59"/>
      <c r="D507" s="59"/>
      <c r="E507" s="59"/>
      <c r="F507" s="59"/>
      <c r="G507" s="59"/>
      <c r="H507" s="178"/>
      <c r="I507" s="178"/>
      <c r="J507" s="59"/>
      <c r="K507" s="59"/>
      <c r="L507" s="59"/>
      <c r="M507" s="59"/>
      <c r="N507" s="59"/>
      <c r="O507" s="59"/>
      <c r="P507" s="59"/>
      <c r="Q507" s="59"/>
      <c r="R507" s="59"/>
      <c r="S507" s="59"/>
      <c r="T507" s="59"/>
      <c r="U507" s="59"/>
      <c r="V507" s="59"/>
      <c r="W507" s="59"/>
      <c r="X507" s="59"/>
      <c r="Y507" s="59"/>
    </row>
    <row r="508" ht="35.25" customHeight="1">
      <c r="A508" s="59"/>
      <c r="B508" s="59"/>
      <c r="C508" s="59"/>
      <c r="D508" s="59"/>
      <c r="E508" s="59"/>
      <c r="F508" s="59"/>
      <c r="G508" s="59"/>
      <c r="H508" s="178"/>
      <c r="I508" s="178"/>
      <c r="J508" s="59"/>
      <c r="K508" s="59"/>
      <c r="L508" s="59"/>
      <c r="M508" s="59"/>
      <c r="N508" s="59"/>
      <c r="O508" s="59"/>
      <c r="P508" s="59"/>
      <c r="Q508" s="59"/>
      <c r="R508" s="59"/>
      <c r="S508" s="59"/>
      <c r="T508" s="59"/>
      <c r="U508" s="59"/>
      <c r="V508" s="59"/>
      <c r="W508" s="59"/>
      <c r="X508" s="59"/>
      <c r="Y508" s="59"/>
    </row>
    <row r="509" ht="35.25" customHeight="1">
      <c r="A509" s="59"/>
      <c r="B509" s="59"/>
      <c r="C509" s="59"/>
      <c r="D509" s="59"/>
      <c r="E509" s="59"/>
      <c r="F509" s="59"/>
      <c r="G509" s="59"/>
      <c r="H509" s="178"/>
      <c r="I509" s="178"/>
      <c r="J509" s="59"/>
      <c r="K509" s="59"/>
      <c r="L509" s="59"/>
      <c r="M509" s="59"/>
      <c r="N509" s="59"/>
      <c r="O509" s="59"/>
      <c r="P509" s="59"/>
      <c r="Q509" s="59"/>
      <c r="R509" s="59"/>
      <c r="S509" s="59"/>
      <c r="T509" s="59"/>
      <c r="U509" s="59"/>
      <c r="V509" s="59"/>
      <c r="W509" s="59"/>
      <c r="X509" s="59"/>
      <c r="Y509" s="59"/>
    </row>
    <row r="510" ht="35.25" customHeight="1">
      <c r="A510" s="59"/>
      <c r="B510" s="59"/>
      <c r="C510" s="59"/>
      <c r="D510" s="59"/>
      <c r="E510" s="59"/>
      <c r="F510" s="59"/>
      <c r="G510" s="59"/>
      <c r="H510" s="178"/>
      <c r="I510" s="178"/>
      <c r="J510" s="59"/>
      <c r="K510" s="59"/>
      <c r="L510" s="59"/>
      <c r="M510" s="59"/>
      <c r="N510" s="59"/>
      <c r="O510" s="59"/>
      <c r="P510" s="59"/>
      <c r="Q510" s="59"/>
      <c r="R510" s="59"/>
      <c r="S510" s="59"/>
      <c r="T510" s="59"/>
      <c r="U510" s="59"/>
      <c r="V510" s="59"/>
      <c r="W510" s="59"/>
      <c r="X510" s="59"/>
      <c r="Y510" s="59"/>
    </row>
    <row r="511" ht="35.25" customHeight="1">
      <c r="A511" s="59"/>
      <c r="B511" s="59"/>
      <c r="C511" s="59"/>
      <c r="D511" s="59"/>
      <c r="E511" s="59"/>
      <c r="F511" s="59"/>
      <c r="G511" s="59"/>
      <c r="H511" s="178"/>
      <c r="I511" s="178"/>
      <c r="J511" s="59"/>
      <c r="K511" s="59"/>
      <c r="L511" s="59"/>
      <c r="M511" s="59"/>
      <c r="N511" s="59"/>
      <c r="O511" s="59"/>
      <c r="P511" s="59"/>
      <c r="Q511" s="59"/>
      <c r="R511" s="59"/>
      <c r="S511" s="59"/>
      <c r="T511" s="59"/>
      <c r="U511" s="59"/>
      <c r="V511" s="59"/>
      <c r="W511" s="59"/>
      <c r="X511" s="59"/>
      <c r="Y511" s="59"/>
    </row>
    <row r="512" ht="35.25" customHeight="1">
      <c r="A512" s="59"/>
      <c r="B512" s="59"/>
      <c r="C512" s="59"/>
      <c r="D512" s="59"/>
      <c r="E512" s="59"/>
      <c r="F512" s="59"/>
      <c r="G512" s="59"/>
      <c r="H512" s="178"/>
      <c r="I512" s="178"/>
      <c r="J512" s="59"/>
      <c r="K512" s="59"/>
      <c r="L512" s="59"/>
      <c r="M512" s="59"/>
      <c r="N512" s="59"/>
      <c r="O512" s="59"/>
      <c r="P512" s="59"/>
      <c r="Q512" s="59"/>
      <c r="R512" s="59"/>
      <c r="S512" s="59"/>
      <c r="T512" s="59"/>
      <c r="U512" s="59"/>
      <c r="V512" s="59"/>
      <c r="W512" s="59"/>
      <c r="X512" s="59"/>
      <c r="Y512" s="59"/>
    </row>
    <row r="513" ht="35.25" customHeight="1">
      <c r="A513" s="59"/>
      <c r="B513" s="59"/>
      <c r="C513" s="59"/>
      <c r="D513" s="59"/>
      <c r="E513" s="59"/>
      <c r="F513" s="59"/>
      <c r="G513" s="59"/>
      <c r="H513" s="178"/>
      <c r="I513" s="178"/>
      <c r="J513" s="59"/>
      <c r="K513" s="59"/>
      <c r="L513" s="59"/>
      <c r="M513" s="59"/>
      <c r="N513" s="59"/>
      <c r="O513" s="59"/>
      <c r="P513" s="59"/>
      <c r="Q513" s="59"/>
      <c r="R513" s="59"/>
      <c r="S513" s="59"/>
      <c r="T513" s="59"/>
      <c r="U513" s="59"/>
      <c r="V513" s="59"/>
      <c r="W513" s="59"/>
      <c r="X513" s="59"/>
      <c r="Y513" s="59"/>
    </row>
    <row r="514" ht="35.25" customHeight="1">
      <c r="A514" s="59"/>
      <c r="B514" s="59"/>
      <c r="C514" s="59"/>
      <c r="D514" s="59"/>
      <c r="E514" s="59"/>
      <c r="F514" s="59"/>
      <c r="G514" s="59"/>
      <c r="H514" s="178"/>
      <c r="I514" s="178"/>
      <c r="J514" s="59"/>
      <c r="K514" s="59"/>
      <c r="L514" s="59"/>
      <c r="M514" s="59"/>
      <c r="N514" s="59"/>
      <c r="O514" s="59"/>
      <c r="P514" s="59"/>
      <c r="Q514" s="59"/>
      <c r="R514" s="59"/>
      <c r="S514" s="59"/>
      <c r="T514" s="59"/>
      <c r="U514" s="59"/>
      <c r="V514" s="59"/>
      <c r="W514" s="59"/>
      <c r="X514" s="59"/>
      <c r="Y514" s="59"/>
    </row>
    <row r="515" ht="35.25" customHeight="1">
      <c r="A515" s="59"/>
      <c r="B515" s="59"/>
      <c r="C515" s="59"/>
      <c r="D515" s="59"/>
      <c r="E515" s="59"/>
      <c r="F515" s="59"/>
      <c r="G515" s="59"/>
      <c r="H515" s="178"/>
      <c r="I515" s="178"/>
      <c r="J515" s="59"/>
      <c r="K515" s="59"/>
      <c r="L515" s="59"/>
      <c r="M515" s="59"/>
      <c r="N515" s="59"/>
      <c r="O515" s="59"/>
      <c r="P515" s="59"/>
      <c r="Q515" s="59"/>
      <c r="R515" s="59"/>
      <c r="S515" s="59"/>
      <c r="T515" s="59"/>
      <c r="U515" s="59"/>
      <c r="V515" s="59"/>
      <c r="W515" s="59"/>
      <c r="X515" s="59"/>
      <c r="Y515" s="59"/>
    </row>
    <row r="516" ht="35.25" customHeight="1">
      <c r="A516" s="59"/>
      <c r="B516" s="59"/>
      <c r="C516" s="59"/>
      <c r="D516" s="59"/>
      <c r="E516" s="59"/>
      <c r="F516" s="59"/>
      <c r="G516" s="59"/>
      <c r="H516" s="178"/>
      <c r="I516" s="178"/>
      <c r="J516" s="59"/>
      <c r="K516" s="59"/>
      <c r="L516" s="59"/>
      <c r="M516" s="59"/>
      <c r="N516" s="59"/>
      <c r="O516" s="59"/>
      <c r="P516" s="59"/>
      <c r="Q516" s="59"/>
      <c r="R516" s="59"/>
      <c r="S516" s="59"/>
      <c r="T516" s="59"/>
      <c r="U516" s="59"/>
      <c r="V516" s="59"/>
      <c r="W516" s="59"/>
      <c r="X516" s="59"/>
      <c r="Y516" s="59"/>
    </row>
    <row r="517" ht="35.25" customHeight="1">
      <c r="A517" s="59"/>
      <c r="B517" s="59"/>
      <c r="C517" s="59"/>
      <c r="D517" s="59"/>
      <c r="E517" s="59"/>
      <c r="F517" s="59"/>
      <c r="G517" s="59"/>
      <c r="H517" s="178"/>
      <c r="I517" s="178"/>
      <c r="J517" s="59"/>
      <c r="K517" s="59"/>
      <c r="L517" s="59"/>
      <c r="M517" s="59"/>
      <c r="N517" s="59"/>
      <c r="O517" s="59"/>
      <c r="P517" s="59"/>
      <c r="Q517" s="59"/>
      <c r="R517" s="59"/>
      <c r="S517" s="59"/>
      <c r="T517" s="59"/>
      <c r="U517" s="59"/>
      <c r="V517" s="59"/>
      <c r="W517" s="59"/>
      <c r="X517" s="59"/>
      <c r="Y517" s="59"/>
    </row>
    <row r="518" ht="35.25" customHeight="1">
      <c r="A518" s="59"/>
      <c r="B518" s="59"/>
      <c r="C518" s="59"/>
      <c r="D518" s="59"/>
      <c r="E518" s="59"/>
      <c r="F518" s="59"/>
      <c r="G518" s="59"/>
      <c r="H518" s="178"/>
      <c r="I518" s="178"/>
      <c r="J518" s="59"/>
      <c r="K518" s="59"/>
      <c r="L518" s="59"/>
      <c r="M518" s="59"/>
      <c r="N518" s="59"/>
      <c r="O518" s="59"/>
      <c r="P518" s="59"/>
      <c r="Q518" s="59"/>
      <c r="R518" s="59"/>
      <c r="S518" s="59"/>
      <c r="T518" s="59"/>
      <c r="U518" s="59"/>
      <c r="V518" s="59"/>
      <c r="W518" s="59"/>
      <c r="X518" s="59"/>
      <c r="Y518" s="59"/>
    </row>
    <row r="519" ht="35.25" customHeight="1">
      <c r="A519" s="59"/>
      <c r="B519" s="59"/>
      <c r="C519" s="59"/>
      <c r="D519" s="59"/>
      <c r="E519" s="59"/>
      <c r="F519" s="59"/>
      <c r="G519" s="59"/>
      <c r="H519" s="178"/>
      <c r="I519" s="178"/>
      <c r="J519" s="59"/>
      <c r="K519" s="59"/>
      <c r="L519" s="59"/>
      <c r="M519" s="59"/>
      <c r="N519" s="59"/>
      <c r="O519" s="59"/>
      <c r="P519" s="59"/>
      <c r="Q519" s="59"/>
      <c r="R519" s="59"/>
      <c r="S519" s="59"/>
      <c r="T519" s="59"/>
      <c r="U519" s="59"/>
      <c r="V519" s="59"/>
      <c r="W519" s="59"/>
      <c r="X519" s="59"/>
      <c r="Y519" s="59"/>
    </row>
    <row r="520" ht="35.25" customHeight="1">
      <c r="A520" s="59"/>
      <c r="B520" s="59"/>
      <c r="C520" s="59"/>
      <c r="D520" s="59"/>
      <c r="E520" s="59"/>
      <c r="F520" s="59"/>
      <c r="G520" s="59"/>
      <c r="H520" s="178"/>
      <c r="I520" s="178"/>
      <c r="J520" s="59"/>
      <c r="K520" s="59"/>
      <c r="L520" s="59"/>
      <c r="M520" s="59"/>
      <c r="N520" s="59"/>
      <c r="O520" s="59"/>
      <c r="P520" s="59"/>
      <c r="Q520" s="59"/>
      <c r="R520" s="59"/>
      <c r="S520" s="59"/>
      <c r="T520" s="59"/>
      <c r="U520" s="59"/>
      <c r="V520" s="59"/>
      <c r="W520" s="59"/>
      <c r="X520" s="59"/>
      <c r="Y520" s="59"/>
    </row>
    <row r="521" ht="35.25" customHeight="1">
      <c r="A521" s="59"/>
      <c r="B521" s="59"/>
      <c r="C521" s="59"/>
      <c r="D521" s="59"/>
      <c r="E521" s="59"/>
      <c r="F521" s="59"/>
      <c r="G521" s="59"/>
      <c r="H521" s="178"/>
      <c r="I521" s="178"/>
      <c r="J521" s="59"/>
      <c r="K521" s="59"/>
      <c r="L521" s="59"/>
      <c r="M521" s="59"/>
      <c r="N521" s="59"/>
      <c r="O521" s="59"/>
      <c r="P521" s="59"/>
      <c r="Q521" s="59"/>
      <c r="R521" s="59"/>
      <c r="S521" s="59"/>
      <c r="T521" s="59"/>
      <c r="U521" s="59"/>
      <c r="V521" s="59"/>
      <c r="W521" s="59"/>
      <c r="X521" s="59"/>
      <c r="Y521" s="59"/>
    </row>
    <row r="522" ht="35.25" customHeight="1">
      <c r="A522" s="59"/>
      <c r="B522" s="59"/>
      <c r="C522" s="59"/>
      <c r="D522" s="59"/>
      <c r="E522" s="59"/>
      <c r="F522" s="59"/>
      <c r="G522" s="59"/>
      <c r="H522" s="178"/>
      <c r="I522" s="178"/>
      <c r="J522" s="59"/>
      <c r="K522" s="59"/>
      <c r="L522" s="59"/>
      <c r="M522" s="59"/>
      <c r="N522" s="59"/>
      <c r="O522" s="59"/>
      <c r="P522" s="59"/>
      <c r="Q522" s="59"/>
      <c r="R522" s="59"/>
      <c r="S522" s="59"/>
      <c r="T522" s="59"/>
      <c r="U522" s="59"/>
      <c r="V522" s="59"/>
      <c r="W522" s="59"/>
      <c r="X522" s="59"/>
      <c r="Y522" s="59"/>
    </row>
    <row r="523" ht="35.25" customHeight="1">
      <c r="A523" s="59"/>
      <c r="B523" s="59"/>
      <c r="C523" s="59"/>
      <c r="D523" s="59"/>
      <c r="E523" s="59"/>
      <c r="F523" s="59"/>
      <c r="G523" s="59"/>
      <c r="H523" s="178"/>
      <c r="I523" s="178"/>
      <c r="J523" s="59"/>
      <c r="K523" s="59"/>
      <c r="L523" s="59"/>
      <c r="M523" s="59"/>
      <c r="N523" s="59"/>
      <c r="O523" s="59"/>
      <c r="P523" s="59"/>
      <c r="Q523" s="59"/>
      <c r="R523" s="59"/>
      <c r="S523" s="59"/>
      <c r="T523" s="59"/>
      <c r="U523" s="59"/>
      <c r="V523" s="59"/>
      <c r="W523" s="59"/>
      <c r="X523" s="59"/>
      <c r="Y523" s="59"/>
    </row>
    <row r="524" ht="35.25" customHeight="1">
      <c r="A524" s="59"/>
      <c r="B524" s="59"/>
      <c r="C524" s="59"/>
      <c r="D524" s="59"/>
      <c r="E524" s="59"/>
      <c r="F524" s="59"/>
      <c r="G524" s="59"/>
      <c r="H524" s="178"/>
      <c r="I524" s="178"/>
      <c r="J524" s="59"/>
      <c r="K524" s="59"/>
      <c r="L524" s="59"/>
      <c r="M524" s="59"/>
      <c r="N524" s="59"/>
      <c r="O524" s="59"/>
      <c r="P524" s="59"/>
      <c r="Q524" s="59"/>
      <c r="R524" s="59"/>
      <c r="S524" s="59"/>
      <c r="T524" s="59"/>
      <c r="U524" s="59"/>
      <c r="V524" s="59"/>
      <c r="W524" s="59"/>
      <c r="X524" s="59"/>
      <c r="Y524" s="59"/>
    </row>
    <row r="525" ht="35.25" customHeight="1">
      <c r="A525" s="59"/>
      <c r="B525" s="59"/>
      <c r="C525" s="59"/>
      <c r="D525" s="59"/>
      <c r="E525" s="59"/>
      <c r="F525" s="59"/>
      <c r="G525" s="59"/>
      <c r="H525" s="178"/>
      <c r="I525" s="178"/>
      <c r="J525" s="59"/>
      <c r="K525" s="59"/>
      <c r="L525" s="59"/>
      <c r="M525" s="59"/>
      <c r="N525" s="59"/>
      <c r="O525" s="59"/>
      <c r="P525" s="59"/>
      <c r="Q525" s="59"/>
      <c r="R525" s="59"/>
      <c r="S525" s="59"/>
      <c r="T525" s="59"/>
      <c r="U525" s="59"/>
      <c r="V525" s="59"/>
      <c r="W525" s="59"/>
      <c r="X525" s="59"/>
      <c r="Y525" s="59"/>
    </row>
    <row r="526" ht="35.25" customHeight="1">
      <c r="A526" s="59"/>
      <c r="B526" s="59"/>
      <c r="C526" s="59"/>
      <c r="D526" s="59"/>
      <c r="E526" s="59"/>
      <c r="F526" s="59"/>
      <c r="G526" s="59"/>
      <c r="H526" s="178"/>
      <c r="I526" s="178"/>
      <c r="J526" s="59"/>
      <c r="K526" s="59"/>
      <c r="L526" s="59"/>
      <c r="M526" s="59"/>
      <c r="N526" s="59"/>
      <c r="O526" s="59"/>
      <c r="P526" s="59"/>
      <c r="Q526" s="59"/>
      <c r="R526" s="59"/>
      <c r="S526" s="59"/>
      <c r="T526" s="59"/>
      <c r="U526" s="59"/>
      <c r="V526" s="59"/>
      <c r="W526" s="59"/>
      <c r="X526" s="59"/>
      <c r="Y526" s="59"/>
    </row>
    <row r="527" ht="35.25" customHeight="1">
      <c r="A527" s="59"/>
      <c r="B527" s="59"/>
      <c r="C527" s="59"/>
      <c r="D527" s="59"/>
      <c r="E527" s="59"/>
      <c r="F527" s="59"/>
      <c r="G527" s="59"/>
      <c r="H527" s="178"/>
      <c r="I527" s="178"/>
      <c r="J527" s="59"/>
      <c r="K527" s="59"/>
      <c r="L527" s="59"/>
      <c r="M527" s="59"/>
      <c r="N527" s="59"/>
      <c r="O527" s="59"/>
      <c r="P527" s="59"/>
      <c r="Q527" s="59"/>
      <c r="R527" s="59"/>
      <c r="S527" s="59"/>
      <c r="T527" s="59"/>
      <c r="U527" s="59"/>
      <c r="V527" s="59"/>
      <c r="W527" s="59"/>
      <c r="X527" s="59"/>
      <c r="Y527" s="59"/>
    </row>
    <row r="528" ht="35.25" customHeight="1">
      <c r="A528" s="59"/>
      <c r="B528" s="59"/>
      <c r="C528" s="59"/>
      <c r="D528" s="59"/>
      <c r="E528" s="59"/>
      <c r="F528" s="59"/>
      <c r="G528" s="59"/>
      <c r="H528" s="178"/>
      <c r="I528" s="178"/>
      <c r="J528" s="59"/>
      <c r="K528" s="59"/>
      <c r="L528" s="59"/>
      <c r="M528" s="59"/>
      <c r="N528" s="59"/>
      <c r="O528" s="59"/>
      <c r="P528" s="59"/>
      <c r="Q528" s="59"/>
      <c r="R528" s="59"/>
      <c r="S528" s="59"/>
      <c r="T528" s="59"/>
      <c r="U528" s="59"/>
      <c r="V528" s="59"/>
      <c r="W528" s="59"/>
      <c r="X528" s="59"/>
      <c r="Y528" s="59"/>
    </row>
    <row r="529" ht="35.25" customHeight="1">
      <c r="A529" s="59"/>
      <c r="B529" s="59"/>
      <c r="C529" s="59"/>
      <c r="D529" s="59"/>
      <c r="E529" s="59"/>
      <c r="F529" s="59"/>
      <c r="G529" s="59"/>
      <c r="H529" s="178"/>
      <c r="I529" s="178"/>
      <c r="J529" s="59"/>
      <c r="K529" s="59"/>
      <c r="L529" s="59"/>
      <c r="M529" s="59"/>
      <c r="N529" s="59"/>
      <c r="O529" s="59"/>
      <c r="P529" s="59"/>
      <c r="Q529" s="59"/>
      <c r="R529" s="59"/>
      <c r="S529" s="59"/>
      <c r="T529" s="59"/>
      <c r="U529" s="59"/>
      <c r="V529" s="59"/>
      <c r="W529" s="59"/>
      <c r="X529" s="59"/>
      <c r="Y529" s="59"/>
    </row>
    <row r="530" ht="35.25" customHeight="1">
      <c r="A530" s="59"/>
      <c r="B530" s="59"/>
      <c r="C530" s="59"/>
      <c r="D530" s="59"/>
      <c r="E530" s="59"/>
      <c r="F530" s="59"/>
      <c r="G530" s="59"/>
      <c r="H530" s="178"/>
      <c r="I530" s="178"/>
      <c r="J530" s="59"/>
      <c r="K530" s="59"/>
      <c r="L530" s="59"/>
      <c r="M530" s="59"/>
      <c r="N530" s="59"/>
      <c r="O530" s="59"/>
      <c r="P530" s="59"/>
      <c r="Q530" s="59"/>
      <c r="R530" s="59"/>
      <c r="S530" s="59"/>
      <c r="T530" s="59"/>
      <c r="U530" s="59"/>
      <c r="V530" s="59"/>
      <c r="W530" s="59"/>
      <c r="X530" s="59"/>
      <c r="Y530" s="59"/>
    </row>
    <row r="531" ht="35.25" customHeight="1">
      <c r="A531" s="59"/>
      <c r="B531" s="59"/>
      <c r="C531" s="59"/>
      <c r="D531" s="59"/>
      <c r="E531" s="59"/>
      <c r="F531" s="59"/>
      <c r="G531" s="59"/>
      <c r="H531" s="178"/>
      <c r="I531" s="178"/>
      <c r="J531" s="59"/>
      <c r="K531" s="59"/>
      <c r="L531" s="59"/>
      <c r="M531" s="59"/>
      <c r="N531" s="59"/>
      <c r="O531" s="59"/>
      <c r="P531" s="59"/>
      <c r="Q531" s="59"/>
      <c r="R531" s="59"/>
      <c r="S531" s="59"/>
      <c r="T531" s="59"/>
      <c r="U531" s="59"/>
      <c r="V531" s="59"/>
      <c r="W531" s="59"/>
      <c r="X531" s="59"/>
      <c r="Y531" s="59"/>
    </row>
    <row r="532" ht="35.25" customHeight="1">
      <c r="A532" s="59"/>
      <c r="B532" s="59"/>
      <c r="C532" s="59"/>
      <c r="D532" s="59"/>
      <c r="E532" s="59"/>
      <c r="F532" s="59"/>
      <c r="G532" s="59"/>
      <c r="H532" s="178"/>
      <c r="I532" s="178"/>
      <c r="J532" s="59"/>
      <c r="K532" s="59"/>
      <c r="L532" s="59"/>
      <c r="M532" s="59"/>
      <c r="N532" s="59"/>
      <c r="O532" s="59"/>
      <c r="P532" s="59"/>
      <c r="Q532" s="59"/>
      <c r="R532" s="59"/>
      <c r="S532" s="59"/>
      <c r="T532" s="59"/>
      <c r="U532" s="59"/>
      <c r="V532" s="59"/>
      <c r="W532" s="59"/>
      <c r="X532" s="59"/>
      <c r="Y532" s="59"/>
    </row>
    <row r="533" ht="35.25" customHeight="1">
      <c r="A533" s="59"/>
      <c r="B533" s="59"/>
      <c r="C533" s="59"/>
      <c r="D533" s="59"/>
      <c r="E533" s="59"/>
      <c r="F533" s="59"/>
      <c r="G533" s="59"/>
      <c r="H533" s="178"/>
      <c r="I533" s="178"/>
      <c r="J533" s="59"/>
      <c r="K533" s="59"/>
      <c r="L533" s="59"/>
      <c r="M533" s="59"/>
      <c r="N533" s="59"/>
      <c r="O533" s="59"/>
      <c r="P533" s="59"/>
      <c r="Q533" s="59"/>
      <c r="R533" s="59"/>
      <c r="S533" s="59"/>
      <c r="T533" s="59"/>
      <c r="U533" s="59"/>
      <c r="V533" s="59"/>
      <c r="W533" s="59"/>
      <c r="X533" s="59"/>
      <c r="Y533" s="59"/>
    </row>
    <row r="534" ht="35.25" customHeight="1">
      <c r="A534" s="59"/>
      <c r="B534" s="59"/>
      <c r="C534" s="59"/>
      <c r="D534" s="59"/>
      <c r="E534" s="59"/>
      <c r="F534" s="59"/>
      <c r="G534" s="59"/>
      <c r="H534" s="178"/>
      <c r="I534" s="178"/>
      <c r="J534" s="59"/>
      <c r="K534" s="59"/>
      <c r="L534" s="59"/>
      <c r="M534" s="59"/>
      <c r="N534" s="59"/>
      <c r="O534" s="59"/>
      <c r="P534" s="59"/>
      <c r="Q534" s="59"/>
      <c r="R534" s="59"/>
      <c r="S534" s="59"/>
      <c r="T534" s="59"/>
      <c r="U534" s="59"/>
      <c r="V534" s="59"/>
      <c r="W534" s="59"/>
      <c r="X534" s="59"/>
      <c r="Y534" s="59"/>
    </row>
    <row r="535" ht="35.25" customHeight="1">
      <c r="A535" s="59"/>
      <c r="B535" s="59"/>
      <c r="C535" s="59"/>
      <c r="D535" s="59"/>
      <c r="E535" s="59"/>
      <c r="F535" s="59"/>
      <c r="G535" s="59"/>
      <c r="H535" s="178"/>
      <c r="I535" s="178"/>
      <c r="J535" s="59"/>
      <c r="K535" s="59"/>
      <c r="L535" s="59"/>
      <c r="M535" s="59"/>
      <c r="N535" s="59"/>
      <c r="O535" s="59"/>
      <c r="P535" s="59"/>
      <c r="Q535" s="59"/>
      <c r="R535" s="59"/>
      <c r="S535" s="59"/>
      <c r="T535" s="59"/>
      <c r="U535" s="59"/>
      <c r="V535" s="59"/>
      <c r="W535" s="59"/>
      <c r="X535" s="59"/>
      <c r="Y535" s="59"/>
    </row>
    <row r="536" ht="35.25" customHeight="1">
      <c r="A536" s="59"/>
      <c r="B536" s="59"/>
      <c r="C536" s="59"/>
      <c r="D536" s="59"/>
      <c r="E536" s="59"/>
      <c r="F536" s="59"/>
      <c r="G536" s="59"/>
      <c r="H536" s="178"/>
      <c r="I536" s="178"/>
      <c r="J536" s="59"/>
      <c r="K536" s="59"/>
      <c r="L536" s="59"/>
      <c r="M536" s="59"/>
      <c r="N536" s="59"/>
      <c r="O536" s="59"/>
      <c r="P536" s="59"/>
      <c r="Q536" s="59"/>
      <c r="R536" s="59"/>
      <c r="S536" s="59"/>
      <c r="T536" s="59"/>
      <c r="U536" s="59"/>
      <c r="V536" s="59"/>
      <c r="W536" s="59"/>
      <c r="X536" s="59"/>
      <c r="Y536" s="59"/>
    </row>
    <row r="537" ht="35.25" customHeight="1">
      <c r="A537" s="59"/>
      <c r="B537" s="59"/>
      <c r="C537" s="59"/>
      <c r="D537" s="59"/>
      <c r="E537" s="59"/>
      <c r="F537" s="59"/>
      <c r="G537" s="59"/>
      <c r="H537" s="178"/>
      <c r="I537" s="178"/>
      <c r="J537" s="59"/>
      <c r="K537" s="59"/>
      <c r="L537" s="59"/>
      <c r="M537" s="59"/>
      <c r="N537" s="59"/>
      <c r="O537" s="59"/>
      <c r="P537" s="59"/>
      <c r="Q537" s="59"/>
      <c r="R537" s="59"/>
      <c r="S537" s="59"/>
      <c r="T537" s="59"/>
      <c r="U537" s="59"/>
      <c r="V537" s="59"/>
      <c r="W537" s="59"/>
      <c r="X537" s="59"/>
      <c r="Y537" s="59"/>
    </row>
    <row r="538" ht="35.25" customHeight="1">
      <c r="A538" s="59"/>
      <c r="B538" s="59"/>
      <c r="C538" s="59"/>
      <c r="D538" s="59"/>
      <c r="E538" s="59"/>
      <c r="F538" s="59"/>
      <c r="G538" s="59"/>
      <c r="H538" s="178"/>
      <c r="I538" s="178"/>
      <c r="J538" s="59"/>
      <c r="K538" s="59"/>
      <c r="L538" s="59"/>
      <c r="M538" s="59"/>
      <c r="N538" s="59"/>
      <c r="O538" s="59"/>
      <c r="P538" s="59"/>
      <c r="Q538" s="59"/>
      <c r="R538" s="59"/>
      <c r="S538" s="59"/>
      <c r="T538" s="59"/>
      <c r="U538" s="59"/>
      <c r="V538" s="59"/>
      <c r="W538" s="59"/>
      <c r="X538" s="59"/>
      <c r="Y538" s="59"/>
    </row>
    <row r="539" ht="35.25" customHeight="1">
      <c r="A539" s="59"/>
      <c r="B539" s="59"/>
      <c r="C539" s="59"/>
      <c r="D539" s="59"/>
      <c r="E539" s="59"/>
      <c r="F539" s="59"/>
      <c r="G539" s="59"/>
      <c r="H539" s="178"/>
      <c r="I539" s="178"/>
      <c r="J539" s="59"/>
      <c r="K539" s="59"/>
      <c r="L539" s="59"/>
      <c r="M539" s="59"/>
      <c r="N539" s="59"/>
      <c r="O539" s="59"/>
      <c r="P539" s="59"/>
      <c r="Q539" s="59"/>
      <c r="R539" s="59"/>
      <c r="S539" s="59"/>
      <c r="T539" s="59"/>
      <c r="U539" s="59"/>
      <c r="V539" s="59"/>
      <c r="W539" s="59"/>
      <c r="X539" s="59"/>
      <c r="Y539" s="59"/>
    </row>
    <row r="540" ht="35.25" customHeight="1">
      <c r="A540" s="59"/>
      <c r="B540" s="59"/>
      <c r="C540" s="59"/>
      <c r="D540" s="59"/>
      <c r="E540" s="59"/>
      <c r="F540" s="59"/>
      <c r="G540" s="59"/>
      <c r="H540" s="178"/>
      <c r="I540" s="178"/>
      <c r="J540" s="59"/>
      <c r="K540" s="59"/>
      <c r="L540" s="59"/>
      <c r="M540" s="59"/>
      <c r="N540" s="59"/>
      <c r="O540" s="59"/>
      <c r="P540" s="59"/>
      <c r="Q540" s="59"/>
      <c r="R540" s="59"/>
      <c r="S540" s="59"/>
      <c r="T540" s="59"/>
      <c r="U540" s="59"/>
      <c r="V540" s="59"/>
      <c r="W540" s="59"/>
      <c r="X540" s="59"/>
      <c r="Y540" s="59"/>
    </row>
    <row r="541" ht="35.25" customHeight="1">
      <c r="A541" s="59"/>
      <c r="B541" s="59"/>
      <c r="C541" s="59"/>
      <c r="D541" s="59"/>
      <c r="E541" s="59"/>
      <c r="F541" s="59"/>
      <c r="G541" s="59"/>
      <c r="H541" s="178"/>
      <c r="I541" s="178"/>
      <c r="J541" s="59"/>
      <c r="K541" s="59"/>
      <c r="L541" s="59"/>
      <c r="M541" s="59"/>
      <c r="N541" s="59"/>
      <c r="O541" s="59"/>
      <c r="P541" s="59"/>
      <c r="Q541" s="59"/>
      <c r="R541" s="59"/>
      <c r="S541" s="59"/>
      <c r="T541" s="59"/>
      <c r="U541" s="59"/>
      <c r="V541" s="59"/>
      <c r="W541" s="59"/>
      <c r="X541" s="59"/>
      <c r="Y541" s="59"/>
    </row>
    <row r="542" ht="35.25" customHeight="1">
      <c r="A542" s="59"/>
      <c r="B542" s="59"/>
      <c r="C542" s="59"/>
      <c r="D542" s="59"/>
      <c r="E542" s="59"/>
      <c r="F542" s="59"/>
      <c r="G542" s="59"/>
      <c r="H542" s="178"/>
      <c r="I542" s="178"/>
      <c r="J542" s="59"/>
      <c r="K542" s="59"/>
      <c r="L542" s="59"/>
      <c r="M542" s="59"/>
      <c r="N542" s="59"/>
      <c r="O542" s="59"/>
      <c r="P542" s="59"/>
      <c r="Q542" s="59"/>
      <c r="R542" s="59"/>
      <c r="S542" s="59"/>
      <c r="T542" s="59"/>
      <c r="U542" s="59"/>
      <c r="V542" s="59"/>
      <c r="W542" s="59"/>
      <c r="X542" s="59"/>
      <c r="Y542" s="59"/>
    </row>
    <row r="543" ht="35.25" customHeight="1">
      <c r="A543" s="59"/>
      <c r="B543" s="59"/>
      <c r="C543" s="59"/>
      <c r="D543" s="59"/>
      <c r="E543" s="59"/>
      <c r="F543" s="59"/>
      <c r="G543" s="59"/>
      <c r="H543" s="178"/>
      <c r="I543" s="178"/>
      <c r="J543" s="59"/>
      <c r="K543" s="59"/>
      <c r="L543" s="59"/>
      <c r="M543" s="59"/>
      <c r="N543" s="59"/>
      <c r="O543" s="59"/>
      <c r="P543" s="59"/>
      <c r="Q543" s="59"/>
      <c r="R543" s="59"/>
      <c r="S543" s="59"/>
      <c r="T543" s="59"/>
      <c r="U543" s="59"/>
      <c r="V543" s="59"/>
      <c r="W543" s="59"/>
      <c r="X543" s="59"/>
      <c r="Y543" s="59"/>
    </row>
    <row r="544" ht="35.25" customHeight="1">
      <c r="A544" s="59"/>
      <c r="B544" s="59"/>
      <c r="C544" s="59"/>
      <c r="D544" s="59"/>
      <c r="E544" s="59"/>
      <c r="F544" s="59"/>
      <c r="G544" s="59"/>
      <c r="H544" s="178"/>
      <c r="I544" s="178"/>
      <c r="J544" s="59"/>
      <c r="K544" s="59"/>
      <c r="L544" s="59"/>
      <c r="M544" s="59"/>
      <c r="N544" s="59"/>
      <c r="O544" s="59"/>
      <c r="P544" s="59"/>
      <c r="Q544" s="59"/>
      <c r="R544" s="59"/>
      <c r="S544" s="59"/>
      <c r="T544" s="59"/>
      <c r="U544" s="59"/>
      <c r="V544" s="59"/>
      <c r="W544" s="59"/>
      <c r="X544" s="59"/>
      <c r="Y544" s="59"/>
    </row>
    <row r="545" ht="35.25" customHeight="1">
      <c r="A545" s="59"/>
      <c r="B545" s="59"/>
      <c r="C545" s="59"/>
      <c r="D545" s="59"/>
      <c r="E545" s="59"/>
      <c r="F545" s="59"/>
      <c r="G545" s="59"/>
      <c r="H545" s="178"/>
      <c r="I545" s="178"/>
      <c r="J545" s="59"/>
      <c r="K545" s="59"/>
      <c r="L545" s="59"/>
      <c r="M545" s="59"/>
      <c r="N545" s="59"/>
      <c r="O545" s="59"/>
      <c r="P545" s="59"/>
      <c r="Q545" s="59"/>
      <c r="R545" s="59"/>
      <c r="S545" s="59"/>
      <c r="T545" s="59"/>
      <c r="U545" s="59"/>
      <c r="V545" s="59"/>
      <c r="W545" s="59"/>
      <c r="X545" s="59"/>
      <c r="Y545" s="59"/>
    </row>
    <row r="546" ht="35.25" customHeight="1">
      <c r="A546" s="59"/>
      <c r="B546" s="59"/>
      <c r="C546" s="59"/>
      <c r="D546" s="59"/>
      <c r="E546" s="59"/>
      <c r="F546" s="59"/>
      <c r="G546" s="59"/>
      <c r="H546" s="178"/>
      <c r="I546" s="178"/>
      <c r="J546" s="59"/>
      <c r="K546" s="59"/>
      <c r="L546" s="59"/>
      <c r="M546" s="59"/>
      <c r="N546" s="59"/>
      <c r="O546" s="59"/>
      <c r="P546" s="59"/>
      <c r="Q546" s="59"/>
      <c r="R546" s="59"/>
      <c r="S546" s="59"/>
      <c r="T546" s="59"/>
      <c r="U546" s="59"/>
      <c r="V546" s="59"/>
      <c r="W546" s="59"/>
      <c r="X546" s="59"/>
      <c r="Y546" s="59"/>
    </row>
    <row r="547" ht="35.25" customHeight="1">
      <c r="A547" s="59"/>
      <c r="B547" s="59"/>
      <c r="C547" s="59"/>
      <c r="D547" s="59"/>
      <c r="E547" s="59"/>
      <c r="F547" s="59"/>
      <c r="G547" s="59"/>
      <c r="H547" s="178"/>
      <c r="I547" s="178"/>
      <c r="J547" s="59"/>
      <c r="K547" s="59"/>
      <c r="L547" s="59"/>
      <c r="M547" s="59"/>
      <c r="N547" s="59"/>
      <c r="O547" s="59"/>
      <c r="P547" s="59"/>
      <c r="Q547" s="59"/>
      <c r="R547" s="59"/>
      <c r="S547" s="59"/>
      <c r="T547" s="59"/>
      <c r="U547" s="59"/>
      <c r="V547" s="59"/>
      <c r="W547" s="59"/>
      <c r="X547" s="59"/>
      <c r="Y547" s="59"/>
    </row>
    <row r="548" ht="35.25" customHeight="1">
      <c r="A548" s="59"/>
      <c r="B548" s="59"/>
      <c r="C548" s="59"/>
      <c r="D548" s="59"/>
      <c r="E548" s="59"/>
      <c r="F548" s="59"/>
      <c r="G548" s="59"/>
      <c r="H548" s="178"/>
      <c r="I548" s="178"/>
      <c r="J548" s="59"/>
      <c r="K548" s="59"/>
      <c r="L548" s="59"/>
      <c r="M548" s="59"/>
      <c r="N548" s="59"/>
      <c r="O548" s="59"/>
      <c r="P548" s="59"/>
      <c r="Q548" s="59"/>
      <c r="R548" s="59"/>
      <c r="S548" s="59"/>
      <c r="T548" s="59"/>
      <c r="U548" s="59"/>
      <c r="V548" s="59"/>
      <c r="W548" s="59"/>
      <c r="X548" s="59"/>
      <c r="Y548" s="59"/>
    </row>
    <row r="549" ht="35.25" customHeight="1">
      <c r="A549" s="59"/>
      <c r="B549" s="59"/>
      <c r="C549" s="59"/>
      <c r="D549" s="59"/>
      <c r="E549" s="59"/>
      <c r="F549" s="59"/>
      <c r="G549" s="59"/>
      <c r="H549" s="178"/>
      <c r="I549" s="178"/>
      <c r="J549" s="59"/>
      <c r="K549" s="59"/>
      <c r="L549" s="59"/>
      <c r="M549" s="59"/>
      <c r="N549" s="59"/>
      <c r="O549" s="59"/>
      <c r="P549" s="59"/>
      <c r="Q549" s="59"/>
      <c r="R549" s="59"/>
      <c r="S549" s="59"/>
      <c r="T549" s="59"/>
      <c r="U549" s="59"/>
      <c r="V549" s="59"/>
      <c r="W549" s="59"/>
      <c r="X549" s="59"/>
      <c r="Y549" s="59"/>
    </row>
    <row r="550" ht="35.25" customHeight="1">
      <c r="A550" s="59"/>
      <c r="B550" s="59"/>
      <c r="C550" s="59"/>
      <c r="D550" s="59"/>
      <c r="E550" s="59"/>
      <c r="F550" s="59"/>
      <c r="G550" s="59"/>
      <c r="H550" s="178"/>
      <c r="I550" s="178"/>
      <c r="J550" s="59"/>
      <c r="K550" s="59"/>
      <c r="L550" s="59"/>
      <c r="M550" s="59"/>
      <c r="N550" s="59"/>
      <c r="O550" s="59"/>
      <c r="P550" s="59"/>
      <c r="Q550" s="59"/>
      <c r="R550" s="59"/>
      <c r="S550" s="59"/>
      <c r="T550" s="59"/>
      <c r="U550" s="59"/>
      <c r="V550" s="59"/>
      <c r="W550" s="59"/>
      <c r="X550" s="59"/>
      <c r="Y550" s="59"/>
    </row>
    <row r="551" ht="35.25" customHeight="1">
      <c r="A551" s="59"/>
      <c r="B551" s="59"/>
      <c r="C551" s="59"/>
      <c r="D551" s="59"/>
      <c r="E551" s="59"/>
      <c r="F551" s="59"/>
      <c r="G551" s="59"/>
      <c r="H551" s="178"/>
      <c r="I551" s="178"/>
      <c r="J551" s="59"/>
      <c r="K551" s="59"/>
      <c r="L551" s="59"/>
      <c r="M551" s="59"/>
      <c r="N551" s="59"/>
      <c r="O551" s="59"/>
      <c r="P551" s="59"/>
      <c r="Q551" s="59"/>
      <c r="R551" s="59"/>
      <c r="S551" s="59"/>
      <c r="T551" s="59"/>
      <c r="U551" s="59"/>
      <c r="V551" s="59"/>
      <c r="W551" s="59"/>
      <c r="X551" s="59"/>
      <c r="Y551" s="59"/>
    </row>
    <row r="552" ht="35.25" customHeight="1">
      <c r="A552" s="59"/>
      <c r="B552" s="59"/>
      <c r="C552" s="59"/>
      <c r="D552" s="59"/>
      <c r="E552" s="59"/>
      <c r="F552" s="59"/>
      <c r="G552" s="59"/>
      <c r="H552" s="178"/>
      <c r="I552" s="178"/>
      <c r="J552" s="59"/>
      <c r="K552" s="59"/>
      <c r="L552" s="59"/>
      <c r="M552" s="59"/>
      <c r="N552" s="59"/>
      <c r="O552" s="59"/>
      <c r="P552" s="59"/>
      <c r="Q552" s="59"/>
      <c r="R552" s="59"/>
      <c r="S552" s="59"/>
      <c r="T552" s="59"/>
      <c r="U552" s="59"/>
      <c r="V552" s="59"/>
      <c r="W552" s="59"/>
      <c r="X552" s="59"/>
      <c r="Y552" s="59"/>
    </row>
    <row r="553" ht="35.25" customHeight="1">
      <c r="A553" s="59"/>
      <c r="B553" s="59"/>
      <c r="C553" s="59"/>
      <c r="D553" s="59"/>
      <c r="E553" s="59"/>
      <c r="F553" s="59"/>
      <c r="G553" s="59"/>
      <c r="H553" s="178"/>
      <c r="I553" s="178"/>
      <c r="J553" s="59"/>
      <c r="K553" s="59"/>
      <c r="L553" s="59"/>
      <c r="M553" s="59"/>
      <c r="N553" s="59"/>
      <c r="O553" s="59"/>
      <c r="P553" s="59"/>
      <c r="Q553" s="59"/>
      <c r="R553" s="59"/>
      <c r="S553" s="59"/>
      <c r="T553" s="59"/>
      <c r="U553" s="59"/>
      <c r="V553" s="59"/>
      <c r="W553" s="59"/>
      <c r="X553" s="59"/>
      <c r="Y553" s="59"/>
    </row>
    <row r="554" ht="35.25" customHeight="1">
      <c r="A554" s="59"/>
      <c r="B554" s="59"/>
      <c r="C554" s="59"/>
      <c r="D554" s="59"/>
      <c r="E554" s="59"/>
      <c r="F554" s="59"/>
      <c r="G554" s="59"/>
      <c r="H554" s="178"/>
      <c r="I554" s="178"/>
      <c r="J554" s="59"/>
      <c r="K554" s="59"/>
      <c r="L554" s="59"/>
      <c r="M554" s="59"/>
      <c r="N554" s="59"/>
      <c r="O554" s="59"/>
      <c r="P554" s="59"/>
      <c r="Q554" s="59"/>
      <c r="R554" s="59"/>
      <c r="S554" s="59"/>
      <c r="T554" s="59"/>
      <c r="U554" s="59"/>
      <c r="V554" s="59"/>
      <c r="W554" s="59"/>
      <c r="X554" s="59"/>
      <c r="Y554" s="59"/>
    </row>
    <row r="555" ht="35.25" customHeight="1">
      <c r="A555" s="59"/>
      <c r="B555" s="59"/>
      <c r="C555" s="59"/>
      <c r="D555" s="59"/>
      <c r="E555" s="59"/>
      <c r="F555" s="59"/>
      <c r="G555" s="59"/>
      <c r="H555" s="178"/>
      <c r="I555" s="178"/>
      <c r="J555" s="59"/>
      <c r="K555" s="59"/>
      <c r="L555" s="59"/>
      <c r="M555" s="59"/>
      <c r="N555" s="59"/>
      <c r="O555" s="59"/>
      <c r="P555" s="59"/>
      <c r="Q555" s="59"/>
      <c r="R555" s="59"/>
      <c r="S555" s="59"/>
      <c r="T555" s="59"/>
      <c r="U555" s="59"/>
      <c r="V555" s="59"/>
      <c r="W555" s="59"/>
      <c r="X555" s="59"/>
      <c r="Y555" s="59"/>
    </row>
    <row r="556" ht="35.25" customHeight="1">
      <c r="A556" s="59"/>
      <c r="B556" s="59"/>
      <c r="C556" s="59"/>
      <c r="D556" s="59"/>
      <c r="E556" s="59"/>
      <c r="F556" s="59"/>
      <c r="G556" s="59"/>
      <c r="H556" s="178"/>
      <c r="I556" s="178"/>
      <c r="J556" s="59"/>
      <c r="K556" s="59"/>
      <c r="L556" s="59"/>
      <c r="M556" s="59"/>
      <c r="N556" s="59"/>
      <c r="O556" s="59"/>
      <c r="P556" s="59"/>
      <c r="Q556" s="59"/>
      <c r="R556" s="59"/>
      <c r="S556" s="59"/>
      <c r="T556" s="59"/>
      <c r="U556" s="59"/>
      <c r="V556" s="59"/>
      <c r="W556" s="59"/>
      <c r="X556" s="59"/>
      <c r="Y556" s="59"/>
    </row>
    <row r="557" ht="35.25" customHeight="1">
      <c r="A557" s="59"/>
      <c r="B557" s="59"/>
      <c r="C557" s="59"/>
      <c r="D557" s="59"/>
      <c r="E557" s="59"/>
      <c r="F557" s="59"/>
      <c r="G557" s="59"/>
      <c r="H557" s="178"/>
      <c r="I557" s="178"/>
      <c r="J557" s="59"/>
      <c r="K557" s="59"/>
      <c r="L557" s="59"/>
      <c r="M557" s="59"/>
      <c r="N557" s="59"/>
      <c r="O557" s="59"/>
      <c r="P557" s="59"/>
      <c r="Q557" s="59"/>
      <c r="R557" s="59"/>
      <c r="S557" s="59"/>
      <c r="T557" s="59"/>
      <c r="U557" s="59"/>
      <c r="V557" s="59"/>
      <c r="W557" s="59"/>
      <c r="X557" s="59"/>
      <c r="Y557" s="59"/>
    </row>
    <row r="558" ht="35.25" customHeight="1">
      <c r="A558" s="59"/>
      <c r="B558" s="59"/>
      <c r="C558" s="59"/>
      <c r="D558" s="59"/>
      <c r="E558" s="59"/>
      <c r="F558" s="59"/>
      <c r="G558" s="59"/>
      <c r="H558" s="178"/>
      <c r="I558" s="178"/>
      <c r="J558" s="59"/>
      <c r="K558" s="59"/>
      <c r="L558" s="59"/>
      <c r="M558" s="59"/>
      <c r="N558" s="59"/>
      <c r="O558" s="59"/>
      <c r="P558" s="59"/>
      <c r="Q558" s="59"/>
      <c r="R558" s="59"/>
      <c r="S558" s="59"/>
      <c r="T558" s="59"/>
      <c r="U558" s="59"/>
      <c r="V558" s="59"/>
      <c r="W558" s="59"/>
      <c r="X558" s="59"/>
      <c r="Y558" s="59"/>
    </row>
    <row r="559" ht="35.25" customHeight="1">
      <c r="A559" s="59"/>
      <c r="B559" s="59"/>
      <c r="C559" s="59"/>
      <c r="D559" s="59"/>
      <c r="E559" s="59"/>
      <c r="F559" s="59"/>
      <c r="G559" s="59"/>
      <c r="H559" s="178"/>
      <c r="I559" s="178"/>
      <c r="J559" s="59"/>
      <c r="K559" s="59"/>
      <c r="L559" s="59"/>
      <c r="M559" s="59"/>
      <c r="N559" s="59"/>
      <c r="O559" s="59"/>
      <c r="P559" s="59"/>
      <c r="Q559" s="59"/>
      <c r="R559" s="59"/>
      <c r="S559" s="59"/>
      <c r="T559" s="59"/>
      <c r="U559" s="59"/>
      <c r="V559" s="59"/>
      <c r="W559" s="59"/>
      <c r="X559" s="59"/>
      <c r="Y559" s="59"/>
    </row>
    <row r="560" ht="35.25" customHeight="1">
      <c r="A560" s="59"/>
      <c r="B560" s="59"/>
      <c r="C560" s="59"/>
      <c r="D560" s="59"/>
      <c r="E560" s="59"/>
      <c r="F560" s="59"/>
      <c r="G560" s="59"/>
      <c r="H560" s="178"/>
      <c r="I560" s="178"/>
      <c r="J560" s="59"/>
      <c r="K560" s="59"/>
      <c r="L560" s="59"/>
      <c r="M560" s="59"/>
      <c r="N560" s="59"/>
      <c r="O560" s="59"/>
      <c r="P560" s="59"/>
      <c r="Q560" s="59"/>
      <c r="R560" s="59"/>
      <c r="S560" s="59"/>
      <c r="T560" s="59"/>
      <c r="U560" s="59"/>
      <c r="V560" s="59"/>
      <c r="W560" s="59"/>
      <c r="X560" s="59"/>
      <c r="Y560" s="59"/>
    </row>
    <row r="561" ht="35.25" customHeight="1">
      <c r="A561" s="59"/>
      <c r="B561" s="59"/>
      <c r="C561" s="59"/>
      <c r="D561" s="59"/>
      <c r="E561" s="59"/>
      <c r="F561" s="59"/>
      <c r="G561" s="59"/>
      <c r="H561" s="178"/>
      <c r="I561" s="178"/>
      <c r="J561" s="59"/>
      <c r="K561" s="59"/>
      <c r="L561" s="59"/>
      <c r="M561" s="59"/>
      <c r="N561" s="59"/>
      <c r="O561" s="59"/>
      <c r="P561" s="59"/>
      <c r="Q561" s="59"/>
      <c r="R561" s="59"/>
      <c r="S561" s="59"/>
      <c r="T561" s="59"/>
      <c r="U561" s="59"/>
      <c r="V561" s="59"/>
      <c r="W561" s="59"/>
      <c r="X561" s="59"/>
      <c r="Y561" s="59"/>
    </row>
    <row r="562" ht="35.25" customHeight="1">
      <c r="A562" s="59"/>
      <c r="B562" s="59"/>
      <c r="C562" s="59"/>
      <c r="D562" s="59"/>
      <c r="E562" s="59"/>
      <c r="F562" s="59"/>
      <c r="G562" s="59"/>
      <c r="H562" s="178"/>
      <c r="I562" s="178"/>
      <c r="J562" s="59"/>
      <c r="K562" s="59"/>
      <c r="L562" s="59"/>
      <c r="M562" s="59"/>
      <c r="N562" s="59"/>
      <c r="O562" s="59"/>
      <c r="P562" s="59"/>
      <c r="Q562" s="59"/>
      <c r="R562" s="59"/>
      <c r="S562" s="59"/>
      <c r="T562" s="59"/>
      <c r="U562" s="59"/>
      <c r="V562" s="59"/>
      <c r="W562" s="59"/>
      <c r="X562" s="59"/>
      <c r="Y562" s="59"/>
    </row>
    <row r="563" ht="35.25" customHeight="1">
      <c r="A563" s="59"/>
      <c r="B563" s="59"/>
      <c r="C563" s="59"/>
      <c r="D563" s="59"/>
      <c r="E563" s="59"/>
      <c r="F563" s="59"/>
      <c r="G563" s="59"/>
      <c r="H563" s="178"/>
      <c r="I563" s="178"/>
      <c r="J563" s="59"/>
      <c r="K563" s="59"/>
      <c r="L563" s="59"/>
      <c r="M563" s="59"/>
      <c r="N563" s="59"/>
      <c r="O563" s="59"/>
      <c r="P563" s="59"/>
      <c r="Q563" s="59"/>
      <c r="R563" s="59"/>
      <c r="S563" s="59"/>
      <c r="T563" s="59"/>
      <c r="U563" s="59"/>
      <c r="V563" s="59"/>
      <c r="W563" s="59"/>
      <c r="X563" s="59"/>
      <c r="Y563" s="59"/>
    </row>
    <row r="564" ht="35.25" customHeight="1">
      <c r="A564" s="59"/>
      <c r="B564" s="59"/>
      <c r="C564" s="59"/>
      <c r="D564" s="59"/>
      <c r="E564" s="59"/>
      <c r="F564" s="59"/>
      <c r="G564" s="59"/>
      <c r="H564" s="178"/>
      <c r="I564" s="178"/>
      <c r="J564" s="59"/>
      <c r="K564" s="59"/>
      <c r="L564" s="59"/>
      <c r="M564" s="59"/>
      <c r="N564" s="59"/>
      <c r="O564" s="59"/>
      <c r="P564" s="59"/>
      <c r="Q564" s="59"/>
      <c r="R564" s="59"/>
      <c r="S564" s="59"/>
      <c r="T564" s="59"/>
      <c r="U564" s="59"/>
      <c r="V564" s="59"/>
      <c r="W564" s="59"/>
      <c r="X564" s="59"/>
      <c r="Y564" s="59"/>
    </row>
    <row r="565" ht="35.25" customHeight="1">
      <c r="A565" s="59"/>
      <c r="B565" s="59"/>
      <c r="C565" s="59"/>
      <c r="D565" s="59"/>
      <c r="E565" s="59"/>
      <c r="F565" s="59"/>
      <c r="G565" s="59"/>
      <c r="H565" s="178"/>
      <c r="I565" s="178"/>
      <c r="J565" s="59"/>
      <c r="K565" s="59"/>
      <c r="L565" s="59"/>
      <c r="M565" s="59"/>
      <c r="N565" s="59"/>
      <c r="O565" s="59"/>
      <c r="P565" s="59"/>
      <c r="Q565" s="59"/>
      <c r="R565" s="59"/>
      <c r="S565" s="59"/>
      <c r="T565" s="59"/>
      <c r="U565" s="59"/>
      <c r="V565" s="59"/>
      <c r="W565" s="59"/>
      <c r="X565" s="59"/>
      <c r="Y565" s="59"/>
    </row>
    <row r="566" ht="35.25" customHeight="1">
      <c r="A566" s="59"/>
      <c r="B566" s="59"/>
      <c r="C566" s="59"/>
      <c r="D566" s="59"/>
      <c r="E566" s="59"/>
      <c r="F566" s="59"/>
      <c r="G566" s="59"/>
      <c r="H566" s="178"/>
      <c r="I566" s="178"/>
      <c r="J566" s="59"/>
      <c r="K566" s="59"/>
      <c r="L566" s="59"/>
      <c r="M566" s="59"/>
      <c r="N566" s="59"/>
      <c r="O566" s="59"/>
      <c r="P566" s="59"/>
      <c r="Q566" s="59"/>
      <c r="R566" s="59"/>
      <c r="S566" s="59"/>
      <c r="T566" s="59"/>
      <c r="U566" s="59"/>
      <c r="V566" s="59"/>
      <c r="W566" s="59"/>
      <c r="X566" s="59"/>
      <c r="Y566" s="59"/>
    </row>
    <row r="567" ht="35.25" customHeight="1">
      <c r="A567" s="59"/>
      <c r="B567" s="59"/>
      <c r="C567" s="59"/>
      <c r="D567" s="59"/>
      <c r="E567" s="59"/>
      <c r="F567" s="59"/>
      <c r="G567" s="59"/>
      <c r="H567" s="178"/>
      <c r="I567" s="178"/>
      <c r="J567" s="59"/>
      <c r="K567" s="59"/>
      <c r="L567" s="59"/>
      <c r="M567" s="59"/>
      <c r="N567" s="59"/>
      <c r="O567" s="59"/>
      <c r="P567" s="59"/>
      <c r="Q567" s="59"/>
      <c r="R567" s="59"/>
      <c r="S567" s="59"/>
      <c r="T567" s="59"/>
      <c r="U567" s="59"/>
      <c r="V567" s="59"/>
      <c r="W567" s="59"/>
      <c r="X567" s="59"/>
      <c r="Y567" s="59"/>
    </row>
    <row r="568" ht="35.25" customHeight="1">
      <c r="A568" s="59"/>
      <c r="B568" s="59"/>
      <c r="C568" s="59"/>
      <c r="D568" s="59"/>
      <c r="E568" s="59"/>
      <c r="F568" s="59"/>
      <c r="G568" s="59"/>
      <c r="H568" s="178"/>
      <c r="I568" s="178"/>
      <c r="J568" s="59"/>
      <c r="K568" s="59"/>
      <c r="L568" s="59"/>
      <c r="M568" s="59"/>
      <c r="N568" s="59"/>
      <c r="O568" s="59"/>
      <c r="P568" s="59"/>
      <c r="Q568" s="59"/>
      <c r="R568" s="59"/>
      <c r="S568" s="59"/>
      <c r="T568" s="59"/>
      <c r="U568" s="59"/>
      <c r="V568" s="59"/>
      <c r="W568" s="59"/>
      <c r="X568" s="59"/>
      <c r="Y568" s="59"/>
    </row>
    <row r="569" ht="35.25" customHeight="1">
      <c r="A569" s="59"/>
      <c r="B569" s="59"/>
      <c r="C569" s="59"/>
      <c r="D569" s="59"/>
      <c r="E569" s="59"/>
      <c r="F569" s="59"/>
      <c r="G569" s="59"/>
      <c r="H569" s="178"/>
      <c r="I569" s="178"/>
      <c r="J569" s="59"/>
      <c r="K569" s="59"/>
      <c r="L569" s="59"/>
      <c r="M569" s="59"/>
      <c r="N569" s="59"/>
      <c r="O569" s="59"/>
      <c r="P569" s="59"/>
      <c r="Q569" s="59"/>
      <c r="R569" s="59"/>
      <c r="S569" s="59"/>
      <c r="T569" s="59"/>
      <c r="U569" s="59"/>
      <c r="V569" s="59"/>
      <c r="W569" s="59"/>
      <c r="X569" s="59"/>
      <c r="Y569" s="59"/>
    </row>
    <row r="570" ht="35.25" customHeight="1">
      <c r="A570" s="59"/>
      <c r="B570" s="59"/>
      <c r="C570" s="59"/>
      <c r="D570" s="59"/>
      <c r="E570" s="59"/>
      <c r="F570" s="59"/>
      <c r="G570" s="59"/>
      <c r="H570" s="178"/>
      <c r="I570" s="178"/>
      <c r="J570" s="59"/>
      <c r="K570" s="59"/>
      <c r="L570" s="59"/>
      <c r="M570" s="59"/>
      <c r="N570" s="59"/>
      <c r="O570" s="59"/>
      <c r="P570" s="59"/>
      <c r="Q570" s="59"/>
      <c r="R570" s="59"/>
      <c r="S570" s="59"/>
      <c r="T570" s="59"/>
      <c r="U570" s="59"/>
      <c r="V570" s="59"/>
      <c r="W570" s="59"/>
      <c r="X570" s="59"/>
      <c r="Y570" s="59"/>
    </row>
    <row r="571" ht="35.25" customHeight="1">
      <c r="A571" s="59"/>
      <c r="B571" s="59"/>
      <c r="C571" s="59"/>
      <c r="D571" s="59"/>
      <c r="E571" s="59"/>
      <c r="F571" s="59"/>
      <c r="G571" s="59"/>
      <c r="H571" s="178"/>
      <c r="I571" s="178"/>
      <c r="J571" s="59"/>
      <c r="K571" s="59"/>
      <c r="L571" s="59"/>
      <c r="M571" s="59"/>
      <c r="N571" s="59"/>
      <c r="O571" s="59"/>
      <c r="P571" s="59"/>
      <c r="Q571" s="59"/>
      <c r="R571" s="59"/>
      <c r="S571" s="59"/>
      <c r="T571" s="59"/>
      <c r="U571" s="59"/>
      <c r="V571" s="59"/>
      <c r="W571" s="59"/>
      <c r="X571" s="59"/>
      <c r="Y571" s="59"/>
    </row>
    <row r="572" ht="35.25" customHeight="1">
      <c r="A572" s="59"/>
      <c r="B572" s="59"/>
      <c r="C572" s="59"/>
      <c r="D572" s="59"/>
      <c r="E572" s="59"/>
      <c r="F572" s="59"/>
      <c r="G572" s="59"/>
      <c r="H572" s="178"/>
      <c r="I572" s="178"/>
      <c r="J572" s="59"/>
      <c r="K572" s="59"/>
      <c r="L572" s="59"/>
      <c r="M572" s="59"/>
      <c r="N572" s="59"/>
      <c r="O572" s="59"/>
      <c r="P572" s="59"/>
      <c r="Q572" s="59"/>
      <c r="R572" s="59"/>
      <c r="S572" s="59"/>
      <c r="T572" s="59"/>
      <c r="U572" s="59"/>
      <c r="V572" s="59"/>
      <c r="W572" s="59"/>
      <c r="X572" s="59"/>
      <c r="Y572" s="59"/>
    </row>
    <row r="573" ht="35.25" customHeight="1">
      <c r="A573" s="59"/>
      <c r="B573" s="59"/>
      <c r="C573" s="59"/>
      <c r="D573" s="59"/>
      <c r="E573" s="59"/>
      <c r="F573" s="59"/>
      <c r="G573" s="59"/>
      <c r="H573" s="178"/>
      <c r="I573" s="178"/>
      <c r="J573" s="59"/>
      <c r="K573" s="59"/>
      <c r="L573" s="59"/>
      <c r="M573" s="59"/>
      <c r="N573" s="59"/>
      <c r="O573" s="59"/>
      <c r="P573" s="59"/>
      <c r="Q573" s="59"/>
      <c r="R573" s="59"/>
      <c r="S573" s="59"/>
      <c r="T573" s="59"/>
      <c r="U573" s="59"/>
      <c r="V573" s="59"/>
      <c r="W573" s="59"/>
      <c r="X573" s="59"/>
      <c r="Y573" s="59"/>
    </row>
    <row r="574" ht="35.25" customHeight="1">
      <c r="A574" s="59"/>
      <c r="B574" s="59"/>
      <c r="C574" s="59"/>
      <c r="D574" s="59"/>
      <c r="E574" s="59"/>
      <c r="F574" s="59"/>
      <c r="G574" s="59"/>
      <c r="H574" s="178"/>
      <c r="I574" s="178"/>
      <c r="J574" s="59"/>
      <c r="K574" s="59"/>
      <c r="L574" s="59"/>
      <c r="M574" s="59"/>
      <c r="N574" s="59"/>
      <c r="O574" s="59"/>
      <c r="P574" s="59"/>
      <c r="Q574" s="59"/>
      <c r="R574" s="59"/>
      <c r="S574" s="59"/>
      <c r="T574" s="59"/>
      <c r="U574" s="59"/>
      <c r="V574" s="59"/>
      <c r="W574" s="59"/>
      <c r="X574" s="59"/>
      <c r="Y574" s="59"/>
    </row>
    <row r="575" ht="35.25" customHeight="1">
      <c r="A575" s="59"/>
      <c r="B575" s="59"/>
      <c r="C575" s="59"/>
      <c r="D575" s="59"/>
      <c r="E575" s="59"/>
      <c r="F575" s="59"/>
      <c r="G575" s="59"/>
      <c r="H575" s="178"/>
      <c r="I575" s="178"/>
      <c r="J575" s="59"/>
      <c r="K575" s="59"/>
      <c r="L575" s="59"/>
      <c r="M575" s="59"/>
      <c r="N575" s="59"/>
      <c r="O575" s="59"/>
      <c r="P575" s="59"/>
      <c r="Q575" s="59"/>
      <c r="R575" s="59"/>
      <c r="S575" s="59"/>
      <c r="T575" s="59"/>
      <c r="U575" s="59"/>
      <c r="V575" s="59"/>
      <c r="W575" s="59"/>
      <c r="X575" s="59"/>
      <c r="Y575" s="59"/>
    </row>
    <row r="576" ht="35.25" customHeight="1">
      <c r="A576" s="59"/>
      <c r="B576" s="59"/>
      <c r="C576" s="59"/>
      <c r="D576" s="59"/>
      <c r="E576" s="59"/>
      <c r="F576" s="59"/>
      <c r="G576" s="59"/>
      <c r="H576" s="178"/>
      <c r="I576" s="178"/>
      <c r="J576" s="59"/>
      <c r="K576" s="59"/>
      <c r="L576" s="59"/>
      <c r="M576" s="59"/>
      <c r="N576" s="59"/>
      <c r="O576" s="59"/>
      <c r="P576" s="59"/>
      <c r="Q576" s="59"/>
      <c r="R576" s="59"/>
      <c r="S576" s="59"/>
      <c r="T576" s="59"/>
      <c r="U576" s="59"/>
      <c r="V576" s="59"/>
      <c r="W576" s="59"/>
      <c r="X576" s="59"/>
      <c r="Y576" s="59"/>
    </row>
    <row r="577" ht="35.25" customHeight="1">
      <c r="A577" s="59"/>
      <c r="B577" s="59"/>
      <c r="C577" s="59"/>
      <c r="D577" s="59"/>
      <c r="E577" s="59"/>
      <c r="F577" s="59"/>
      <c r="G577" s="59"/>
      <c r="H577" s="178"/>
      <c r="I577" s="178"/>
      <c r="J577" s="59"/>
      <c r="K577" s="59"/>
      <c r="L577" s="59"/>
      <c r="M577" s="59"/>
      <c r="N577" s="59"/>
      <c r="O577" s="59"/>
      <c r="P577" s="59"/>
      <c r="Q577" s="59"/>
      <c r="R577" s="59"/>
      <c r="S577" s="59"/>
      <c r="T577" s="59"/>
      <c r="U577" s="59"/>
      <c r="V577" s="59"/>
      <c r="W577" s="59"/>
      <c r="X577" s="59"/>
      <c r="Y577" s="59"/>
    </row>
    <row r="578" ht="35.25" customHeight="1">
      <c r="A578" s="59"/>
      <c r="B578" s="59"/>
      <c r="C578" s="59"/>
      <c r="D578" s="59"/>
      <c r="E578" s="59"/>
      <c r="F578" s="59"/>
      <c r="G578" s="59"/>
      <c r="H578" s="178"/>
      <c r="I578" s="178"/>
      <c r="J578" s="59"/>
      <c r="K578" s="59"/>
      <c r="L578" s="59"/>
      <c r="M578" s="59"/>
      <c r="N578" s="59"/>
      <c r="O578" s="59"/>
      <c r="P578" s="59"/>
      <c r="Q578" s="59"/>
      <c r="R578" s="59"/>
      <c r="S578" s="59"/>
      <c r="T578" s="59"/>
      <c r="U578" s="59"/>
      <c r="V578" s="59"/>
      <c r="W578" s="59"/>
      <c r="X578" s="59"/>
      <c r="Y578" s="59"/>
    </row>
    <row r="579" ht="35.25" customHeight="1">
      <c r="A579" s="59"/>
      <c r="B579" s="59"/>
      <c r="C579" s="59"/>
      <c r="D579" s="59"/>
      <c r="E579" s="59"/>
      <c r="F579" s="59"/>
      <c r="G579" s="59"/>
      <c r="H579" s="178"/>
      <c r="I579" s="178"/>
      <c r="J579" s="59"/>
      <c r="K579" s="59"/>
      <c r="L579" s="59"/>
      <c r="M579" s="59"/>
      <c r="N579" s="59"/>
      <c r="O579" s="59"/>
      <c r="P579" s="59"/>
      <c r="Q579" s="59"/>
      <c r="R579" s="59"/>
      <c r="S579" s="59"/>
      <c r="T579" s="59"/>
      <c r="U579" s="59"/>
      <c r="V579" s="59"/>
      <c r="W579" s="59"/>
      <c r="X579" s="59"/>
      <c r="Y579" s="59"/>
    </row>
    <row r="580" ht="35.25" customHeight="1">
      <c r="A580" s="59"/>
      <c r="B580" s="59"/>
      <c r="C580" s="59"/>
      <c r="D580" s="59"/>
      <c r="E580" s="59"/>
      <c r="F580" s="59"/>
      <c r="G580" s="59"/>
      <c r="H580" s="178"/>
      <c r="I580" s="178"/>
      <c r="J580" s="59"/>
      <c r="K580" s="59"/>
      <c r="L580" s="59"/>
      <c r="M580" s="59"/>
      <c r="N580" s="59"/>
      <c r="O580" s="59"/>
      <c r="P580" s="59"/>
      <c r="Q580" s="59"/>
      <c r="R580" s="59"/>
      <c r="S580" s="59"/>
      <c r="T580" s="59"/>
      <c r="U580" s="59"/>
      <c r="V580" s="59"/>
      <c r="W580" s="59"/>
      <c r="X580" s="59"/>
      <c r="Y580" s="59"/>
    </row>
    <row r="581" ht="35.25" customHeight="1">
      <c r="A581" s="59"/>
      <c r="B581" s="59"/>
      <c r="C581" s="59"/>
      <c r="D581" s="59"/>
      <c r="E581" s="59"/>
      <c r="F581" s="59"/>
      <c r="G581" s="59"/>
      <c r="H581" s="178"/>
      <c r="I581" s="178"/>
      <c r="J581" s="59"/>
      <c r="K581" s="59"/>
      <c r="L581" s="59"/>
      <c r="M581" s="59"/>
      <c r="N581" s="59"/>
      <c r="O581" s="59"/>
      <c r="P581" s="59"/>
      <c r="Q581" s="59"/>
      <c r="R581" s="59"/>
      <c r="S581" s="59"/>
      <c r="T581" s="59"/>
      <c r="U581" s="59"/>
      <c r="V581" s="59"/>
      <c r="W581" s="59"/>
      <c r="X581" s="59"/>
      <c r="Y581" s="59"/>
    </row>
    <row r="582" ht="35.25" customHeight="1">
      <c r="A582" s="59"/>
      <c r="B582" s="59"/>
      <c r="C582" s="59"/>
      <c r="D582" s="59"/>
      <c r="E582" s="59"/>
      <c r="F582" s="59"/>
      <c r="G582" s="59"/>
      <c r="H582" s="178"/>
      <c r="I582" s="178"/>
      <c r="J582" s="59"/>
      <c r="K582" s="59"/>
      <c r="L582" s="59"/>
      <c r="M582" s="59"/>
      <c r="N582" s="59"/>
      <c r="O582" s="59"/>
      <c r="P582" s="59"/>
      <c r="Q582" s="59"/>
      <c r="R582" s="59"/>
      <c r="S582" s="59"/>
      <c r="T582" s="59"/>
      <c r="U582" s="59"/>
      <c r="V582" s="59"/>
      <c r="W582" s="59"/>
      <c r="X582" s="59"/>
      <c r="Y582" s="59"/>
    </row>
    <row r="583" ht="35.25" customHeight="1">
      <c r="A583" s="59"/>
      <c r="B583" s="59"/>
      <c r="C583" s="59"/>
      <c r="D583" s="59"/>
      <c r="E583" s="59"/>
      <c r="F583" s="59"/>
      <c r="G583" s="59"/>
      <c r="H583" s="178"/>
      <c r="I583" s="178"/>
      <c r="J583" s="59"/>
      <c r="K583" s="59"/>
      <c r="L583" s="59"/>
      <c r="M583" s="59"/>
      <c r="N583" s="59"/>
      <c r="O583" s="59"/>
      <c r="P583" s="59"/>
      <c r="Q583" s="59"/>
      <c r="R583" s="59"/>
      <c r="S583" s="59"/>
      <c r="T583" s="59"/>
      <c r="U583" s="59"/>
      <c r="V583" s="59"/>
      <c r="W583" s="59"/>
      <c r="X583" s="59"/>
      <c r="Y583" s="59"/>
    </row>
    <row r="584" ht="35.25" customHeight="1">
      <c r="A584" s="59"/>
      <c r="B584" s="59"/>
      <c r="C584" s="59"/>
      <c r="D584" s="59"/>
      <c r="E584" s="59"/>
      <c r="F584" s="59"/>
      <c r="G584" s="59"/>
      <c r="H584" s="178"/>
      <c r="I584" s="178"/>
      <c r="J584" s="59"/>
      <c r="K584" s="59"/>
      <c r="L584" s="59"/>
      <c r="M584" s="59"/>
      <c r="N584" s="59"/>
      <c r="O584" s="59"/>
      <c r="P584" s="59"/>
      <c r="Q584" s="59"/>
      <c r="R584" s="59"/>
      <c r="S584" s="59"/>
      <c r="T584" s="59"/>
      <c r="U584" s="59"/>
      <c r="V584" s="59"/>
      <c r="W584" s="59"/>
      <c r="X584" s="59"/>
      <c r="Y584" s="59"/>
    </row>
    <row r="585" ht="35.25" customHeight="1">
      <c r="A585" s="59"/>
      <c r="B585" s="59"/>
      <c r="C585" s="59"/>
      <c r="D585" s="59"/>
      <c r="E585" s="59"/>
      <c r="F585" s="59"/>
      <c r="G585" s="59"/>
      <c r="H585" s="178"/>
      <c r="I585" s="178"/>
      <c r="J585" s="59"/>
      <c r="K585" s="59"/>
      <c r="L585" s="59"/>
      <c r="M585" s="59"/>
      <c r="N585" s="59"/>
      <c r="O585" s="59"/>
      <c r="P585" s="59"/>
      <c r="Q585" s="59"/>
      <c r="R585" s="59"/>
      <c r="S585" s="59"/>
      <c r="T585" s="59"/>
      <c r="U585" s="59"/>
      <c r="V585" s="59"/>
      <c r="W585" s="59"/>
      <c r="X585" s="59"/>
      <c r="Y585" s="59"/>
    </row>
    <row r="586" ht="35.25" customHeight="1">
      <c r="A586" s="59"/>
      <c r="B586" s="59"/>
      <c r="C586" s="59"/>
      <c r="D586" s="59"/>
      <c r="E586" s="59"/>
      <c r="F586" s="59"/>
      <c r="G586" s="59"/>
      <c r="H586" s="178"/>
      <c r="I586" s="178"/>
      <c r="J586" s="59"/>
      <c r="K586" s="59"/>
      <c r="L586" s="59"/>
      <c r="M586" s="59"/>
      <c r="N586" s="59"/>
      <c r="O586" s="59"/>
      <c r="P586" s="59"/>
      <c r="Q586" s="59"/>
      <c r="R586" s="59"/>
      <c r="S586" s="59"/>
      <c r="T586" s="59"/>
      <c r="U586" s="59"/>
      <c r="V586" s="59"/>
      <c r="W586" s="59"/>
      <c r="X586" s="59"/>
      <c r="Y586" s="59"/>
    </row>
    <row r="587" ht="35.25" customHeight="1">
      <c r="A587" s="59"/>
      <c r="B587" s="59"/>
      <c r="C587" s="59"/>
      <c r="D587" s="59"/>
      <c r="E587" s="59"/>
      <c r="F587" s="59"/>
      <c r="G587" s="59"/>
      <c r="H587" s="178"/>
      <c r="I587" s="178"/>
      <c r="J587" s="59"/>
      <c r="K587" s="59"/>
      <c r="L587" s="59"/>
      <c r="M587" s="59"/>
      <c r="N587" s="59"/>
      <c r="O587" s="59"/>
      <c r="P587" s="59"/>
      <c r="Q587" s="59"/>
      <c r="R587" s="59"/>
      <c r="S587" s="59"/>
      <c r="T587" s="59"/>
      <c r="U587" s="59"/>
      <c r="V587" s="59"/>
      <c r="W587" s="59"/>
      <c r="X587" s="59"/>
      <c r="Y587" s="59"/>
    </row>
    <row r="588" ht="35.25" customHeight="1">
      <c r="A588" s="59"/>
      <c r="B588" s="59"/>
      <c r="C588" s="59"/>
      <c r="D588" s="59"/>
      <c r="E588" s="59"/>
      <c r="F588" s="59"/>
      <c r="G588" s="59"/>
      <c r="H588" s="178"/>
      <c r="I588" s="178"/>
      <c r="J588" s="59"/>
      <c r="K588" s="59"/>
      <c r="L588" s="59"/>
      <c r="M588" s="59"/>
      <c r="N588" s="59"/>
      <c r="O588" s="59"/>
      <c r="P588" s="59"/>
      <c r="Q588" s="59"/>
      <c r="R588" s="59"/>
      <c r="S588" s="59"/>
      <c r="T588" s="59"/>
      <c r="U588" s="59"/>
      <c r="V588" s="59"/>
      <c r="W588" s="59"/>
      <c r="X588" s="59"/>
      <c r="Y588" s="59"/>
    </row>
    <row r="589" ht="35.25" customHeight="1">
      <c r="A589" s="59"/>
      <c r="B589" s="59"/>
      <c r="C589" s="59"/>
      <c r="D589" s="59"/>
      <c r="E589" s="59"/>
      <c r="F589" s="59"/>
      <c r="G589" s="59"/>
      <c r="H589" s="178"/>
      <c r="I589" s="178"/>
      <c r="J589" s="59"/>
      <c r="K589" s="59"/>
      <c r="L589" s="59"/>
      <c r="M589" s="59"/>
      <c r="N589" s="59"/>
      <c r="O589" s="59"/>
      <c r="P589" s="59"/>
      <c r="Q589" s="59"/>
      <c r="R589" s="59"/>
      <c r="S589" s="59"/>
      <c r="T589" s="59"/>
      <c r="U589" s="59"/>
      <c r="V589" s="59"/>
      <c r="W589" s="59"/>
      <c r="X589" s="59"/>
      <c r="Y589" s="59"/>
    </row>
    <row r="590" ht="35.25" customHeight="1">
      <c r="A590" s="59"/>
      <c r="B590" s="59"/>
      <c r="C590" s="59"/>
      <c r="D590" s="59"/>
      <c r="E590" s="59"/>
      <c r="F590" s="59"/>
      <c r="G590" s="59"/>
      <c r="H590" s="178"/>
      <c r="I590" s="178"/>
      <c r="J590" s="59"/>
      <c r="K590" s="59"/>
      <c r="L590" s="59"/>
      <c r="M590" s="59"/>
      <c r="N590" s="59"/>
      <c r="O590" s="59"/>
      <c r="P590" s="59"/>
      <c r="Q590" s="59"/>
      <c r="R590" s="59"/>
      <c r="S590" s="59"/>
      <c r="T590" s="59"/>
      <c r="U590" s="59"/>
      <c r="V590" s="59"/>
      <c r="W590" s="59"/>
      <c r="X590" s="59"/>
      <c r="Y590" s="59"/>
    </row>
    <row r="591" ht="35.25" customHeight="1">
      <c r="A591" s="59"/>
      <c r="B591" s="59"/>
      <c r="C591" s="59"/>
      <c r="D591" s="59"/>
      <c r="E591" s="59"/>
      <c r="F591" s="59"/>
      <c r="G591" s="59"/>
      <c r="H591" s="178"/>
      <c r="I591" s="178"/>
      <c r="J591" s="59"/>
      <c r="K591" s="59"/>
      <c r="L591" s="59"/>
      <c r="M591" s="59"/>
      <c r="N591" s="59"/>
      <c r="O591" s="59"/>
      <c r="P591" s="59"/>
      <c r="Q591" s="59"/>
      <c r="R591" s="59"/>
      <c r="S591" s="59"/>
      <c r="T591" s="59"/>
      <c r="U591" s="59"/>
      <c r="V591" s="59"/>
      <c r="W591" s="59"/>
      <c r="X591" s="59"/>
      <c r="Y591" s="59"/>
    </row>
    <row r="592" ht="35.25" customHeight="1">
      <c r="A592" s="59"/>
      <c r="B592" s="59"/>
      <c r="C592" s="59"/>
      <c r="D592" s="59"/>
      <c r="E592" s="59"/>
      <c r="F592" s="59"/>
      <c r="G592" s="59"/>
      <c r="H592" s="178"/>
      <c r="I592" s="178"/>
      <c r="J592" s="59"/>
      <c r="K592" s="59"/>
      <c r="L592" s="59"/>
      <c r="M592" s="59"/>
      <c r="N592" s="59"/>
      <c r="O592" s="59"/>
      <c r="P592" s="59"/>
      <c r="Q592" s="59"/>
      <c r="R592" s="59"/>
      <c r="S592" s="59"/>
      <c r="T592" s="59"/>
      <c r="U592" s="59"/>
      <c r="V592" s="59"/>
      <c r="W592" s="59"/>
      <c r="X592" s="59"/>
      <c r="Y592" s="59"/>
    </row>
    <row r="593" ht="35.25" customHeight="1">
      <c r="A593" s="59"/>
      <c r="B593" s="59"/>
      <c r="C593" s="59"/>
      <c r="D593" s="59"/>
      <c r="E593" s="59"/>
      <c r="F593" s="59"/>
      <c r="G593" s="59"/>
      <c r="H593" s="178"/>
      <c r="I593" s="178"/>
      <c r="J593" s="59"/>
      <c r="K593" s="59"/>
      <c r="L593" s="59"/>
      <c r="M593" s="59"/>
      <c r="N593" s="59"/>
      <c r="O593" s="59"/>
      <c r="P593" s="59"/>
      <c r="Q593" s="59"/>
      <c r="R593" s="59"/>
      <c r="S593" s="59"/>
      <c r="T593" s="59"/>
      <c r="U593" s="59"/>
      <c r="V593" s="59"/>
      <c r="W593" s="59"/>
      <c r="X593" s="59"/>
      <c r="Y593" s="59"/>
    </row>
    <row r="594" ht="35.25" customHeight="1">
      <c r="A594" s="59"/>
      <c r="B594" s="59"/>
      <c r="C594" s="59"/>
      <c r="D594" s="59"/>
      <c r="E594" s="59"/>
      <c r="F594" s="59"/>
      <c r="G594" s="59"/>
      <c r="H594" s="178"/>
      <c r="I594" s="178"/>
      <c r="J594" s="59"/>
      <c r="K594" s="59"/>
      <c r="L594" s="59"/>
      <c r="M594" s="59"/>
      <c r="N594" s="59"/>
      <c r="O594" s="59"/>
      <c r="P594" s="59"/>
      <c r="Q594" s="59"/>
      <c r="R594" s="59"/>
      <c r="S594" s="59"/>
      <c r="T594" s="59"/>
      <c r="U594" s="59"/>
      <c r="V594" s="59"/>
      <c r="W594" s="59"/>
      <c r="X594" s="59"/>
      <c r="Y594" s="59"/>
    </row>
    <row r="595" ht="35.25" customHeight="1">
      <c r="A595" s="59"/>
      <c r="B595" s="59"/>
      <c r="C595" s="59"/>
      <c r="D595" s="59"/>
      <c r="E595" s="59"/>
      <c r="F595" s="59"/>
      <c r="G595" s="59"/>
      <c r="H595" s="178"/>
      <c r="I595" s="178"/>
      <c r="J595" s="59"/>
      <c r="K595" s="59"/>
      <c r="L595" s="59"/>
      <c r="M595" s="59"/>
      <c r="N595" s="59"/>
      <c r="O595" s="59"/>
      <c r="P595" s="59"/>
      <c r="Q595" s="59"/>
      <c r="R595" s="59"/>
      <c r="S595" s="59"/>
      <c r="T595" s="59"/>
      <c r="U595" s="59"/>
      <c r="V595" s="59"/>
      <c r="W595" s="59"/>
      <c r="X595" s="59"/>
      <c r="Y595" s="59"/>
    </row>
    <row r="596" ht="35.25" customHeight="1">
      <c r="A596" s="59"/>
      <c r="B596" s="59"/>
      <c r="C596" s="59"/>
      <c r="D596" s="59"/>
      <c r="E596" s="59"/>
      <c r="F596" s="59"/>
      <c r="G596" s="59"/>
      <c r="H596" s="178"/>
      <c r="I596" s="178"/>
      <c r="J596" s="59"/>
      <c r="K596" s="59"/>
      <c r="L596" s="59"/>
      <c r="M596" s="59"/>
      <c r="N596" s="59"/>
      <c r="O596" s="59"/>
      <c r="P596" s="59"/>
      <c r="Q596" s="59"/>
      <c r="R596" s="59"/>
      <c r="S596" s="59"/>
      <c r="T596" s="59"/>
      <c r="U596" s="59"/>
      <c r="V596" s="59"/>
      <c r="W596" s="59"/>
      <c r="X596" s="59"/>
      <c r="Y596" s="59"/>
    </row>
    <row r="597" ht="35.25" customHeight="1">
      <c r="A597" s="59"/>
      <c r="B597" s="59"/>
      <c r="C597" s="59"/>
      <c r="D597" s="59"/>
      <c r="E597" s="59"/>
      <c r="F597" s="59"/>
      <c r="G597" s="59"/>
      <c r="H597" s="178"/>
      <c r="I597" s="178"/>
      <c r="J597" s="59"/>
      <c r="K597" s="59"/>
      <c r="L597" s="59"/>
      <c r="M597" s="59"/>
      <c r="N597" s="59"/>
      <c r="O597" s="59"/>
      <c r="P597" s="59"/>
      <c r="Q597" s="59"/>
      <c r="R597" s="59"/>
      <c r="S597" s="59"/>
      <c r="T597" s="59"/>
      <c r="U597" s="59"/>
      <c r="V597" s="59"/>
      <c r="W597" s="59"/>
      <c r="X597" s="59"/>
      <c r="Y597" s="59"/>
    </row>
    <row r="598" ht="35.25" customHeight="1">
      <c r="A598" s="59"/>
      <c r="B598" s="59"/>
      <c r="C598" s="59"/>
      <c r="D598" s="59"/>
      <c r="E598" s="59"/>
      <c r="F598" s="59"/>
      <c r="G598" s="59"/>
      <c r="H598" s="178"/>
      <c r="I598" s="178"/>
      <c r="J598" s="59"/>
      <c r="K598" s="59"/>
      <c r="L598" s="59"/>
      <c r="M598" s="59"/>
      <c r="N598" s="59"/>
      <c r="O598" s="59"/>
      <c r="P598" s="59"/>
      <c r="Q598" s="59"/>
      <c r="R598" s="59"/>
      <c r="S598" s="59"/>
      <c r="T598" s="59"/>
      <c r="U598" s="59"/>
      <c r="V598" s="59"/>
      <c r="W598" s="59"/>
      <c r="X598" s="59"/>
      <c r="Y598" s="59"/>
    </row>
    <row r="599" ht="35.25" customHeight="1">
      <c r="A599" s="59"/>
      <c r="B599" s="59"/>
      <c r="C599" s="59"/>
      <c r="D599" s="59"/>
      <c r="E599" s="59"/>
      <c r="F599" s="59"/>
      <c r="G599" s="59"/>
      <c r="H599" s="178"/>
      <c r="I599" s="178"/>
      <c r="J599" s="59"/>
      <c r="K599" s="59"/>
      <c r="L599" s="59"/>
      <c r="M599" s="59"/>
      <c r="N599" s="59"/>
      <c r="O599" s="59"/>
      <c r="P599" s="59"/>
      <c r="Q599" s="59"/>
      <c r="R599" s="59"/>
      <c r="S599" s="59"/>
      <c r="T599" s="59"/>
      <c r="U599" s="59"/>
      <c r="V599" s="59"/>
      <c r="W599" s="59"/>
      <c r="X599" s="59"/>
      <c r="Y599" s="59"/>
    </row>
    <row r="600" ht="35.25" customHeight="1">
      <c r="A600" s="59"/>
      <c r="B600" s="59"/>
      <c r="C600" s="59"/>
      <c r="D600" s="59"/>
      <c r="E600" s="59"/>
      <c r="F600" s="59"/>
      <c r="G600" s="59"/>
      <c r="H600" s="178"/>
      <c r="I600" s="178"/>
      <c r="J600" s="59"/>
      <c r="K600" s="59"/>
      <c r="L600" s="59"/>
      <c r="M600" s="59"/>
      <c r="N600" s="59"/>
      <c r="O600" s="59"/>
      <c r="P600" s="59"/>
      <c r="Q600" s="59"/>
      <c r="R600" s="59"/>
      <c r="S600" s="59"/>
      <c r="T600" s="59"/>
      <c r="U600" s="59"/>
      <c r="V600" s="59"/>
      <c r="W600" s="59"/>
      <c r="X600" s="59"/>
      <c r="Y600" s="59"/>
    </row>
    <row r="601" ht="35.25" customHeight="1">
      <c r="A601" s="59"/>
      <c r="B601" s="59"/>
      <c r="C601" s="59"/>
      <c r="D601" s="59"/>
      <c r="E601" s="59"/>
      <c r="F601" s="59"/>
      <c r="G601" s="59"/>
      <c r="H601" s="178"/>
      <c r="I601" s="178"/>
      <c r="J601" s="59"/>
      <c r="K601" s="59"/>
      <c r="L601" s="59"/>
      <c r="M601" s="59"/>
      <c r="N601" s="59"/>
      <c r="O601" s="59"/>
      <c r="P601" s="59"/>
      <c r="Q601" s="59"/>
      <c r="R601" s="59"/>
      <c r="S601" s="59"/>
      <c r="T601" s="59"/>
      <c r="U601" s="59"/>
      <c r="V601" s="59"/>
      <c r="W601" s="59"/>
      <c r="X601" s="59"/>
      <c r="Y601" s="59"/>
    </row>
    <row r="602" ht="35.25" customHeight="1">
      <c r="A602" s="59"/>
      <c r="B602" s="59"/>
      <c r="C602" s="59"/>
      <c r="D602" s="59"/>
      <c r="E602" s="59"/>
      <c r="F602" s="59"/>
      <c r="G602" s="59"/>
      <c r="H602" s="178"/>
      <c r="I602" s="178"/>
      <c r="J602" s="59"/>
      <c r="K602" s="59"/>
      <c r="L602" s="59"/>
      <c r="M602" s="59"/>
      <c r="N602" s="59"/>
      <c r="O602" s="59"/>
      <c r="P602" s="59"/>
      <c r="Q602" s="59"/>
      <c r="R602" s="59"/>
      <c r="S602" s="59"/>
      <c r="T602" s="59"/>
      <c r="U602" s="59"/>
      <c r="V602" s="59"/>
      <c r="W602" s="59"/>
      <c r="X602" s="59"/>
      <c r="Y602" s="59"/>
    </row>
    <row r="603" ht="35.25" customHeight="1">
      <c r="A603" s="59"/>
      <c r="B603" s="59"/>
      <c r="C603" s="59"/>
      <c r="D603" s="59"/>
      <c r="E603" s="59"/>
      <c r="F603" s="59"/>
      <c r="G603" s="59"/>
      <c r="H603" s="178"/>
      <c r="I603" s="178"/>
      <c r="J603" s="59"/>
      <c r="K603" s="59"/>
      <c r="L603" s="59"/>
      <c r="M603" s="59"/>
      <c r="N603" s="59"/>
      <c r="O603" s="59"/>
      <c r="P603" s="59"/>
      <c r="Q603" s="59"/>
      <c r="R603" s="59"/>
      <c r="S603" s="59"/>
      <c r="T603" s="59"/>
      <c r="U603" s="59"/>
      <c r="V603" s="59"/>
      <c r="W603" s="59"/>
      <c r="X603" s="59"/>
      <c r="Y603" s="59"/>
    </row>
    <row r="604" ht="35.25" customHeight="1">
      <c r="A604" s="59"/>
      <c r="B604" s="59"/>
      <c r="C604" s="59"/>
      <c r="D604" s="59"/>
      <c r="E604" s="59"/>
      <c r="F604" s="59"/>
      <c r="G604" s="59"/>
      <c r="H604" s="178"/>
      <c r="I604" s="178"/>
      <c r="J604" s="59"/>
      <c r="K604" s="59"/>
      <c r="L604" s="59"/>
      <c r="M604" s="59"/>
      <c r="N604" s="59"/>
      <c r="O604" s="59"/>
      <c r="P604" s="59"/>
      <c r="Q604" s="59"/>
      <c r="R604" s="59"/>
      <c r="S604" s="59"/>
      <c r="T604" s="59"/>
      <c r="U604" s="59"/>
      <c r="V604" s="59"/>
      <c r="W604" s="59"/>
      <c r="X604" s="59"/>
      <c r="Y604" s="59"/>
    </row>
    <row r="605" ht="35.25" customHeight="1">
      <c r="A605" s="59"/>
      <c r="B605" s="59"/>
      <c r="C605" s="59"/>
      <c r="D605" s="59"/>
      <c r="E605" s="59"/>
      <c r="F605" s="59"/>
      <c r="G605" s="59"/>
      <c r="H605" s="178"/>
      <c r="I605" s="178"/>
      <c r="J605" s="59"/>
      <c r="K605" s="59"/>
      <c r="L605" s="59"/>
      <c r="M605" s="59"/>
      <c r="N605" s="59"/>
      <c r="O605" s="59"/>
      <c r="P605" s="59"/>
      <c r="Q605" s="59"/>
      <c r="R605" s="59"/>
      <c r="S605" s="59"/>
      <c r="T605" s="59"/>
      <c r="U605" s="59"/>
      <c r="V605" s="59"/>
      <c r="W605" s="59"/>
      <c r="X605" s="59"/>
      <c r="Y605" s="59"/>
    </row>
    <row r="606" ht="35.25" customHeight="1">
      <c r="A606" s="59"/>
      <c r="B606" s="59"/>
      <c r="C606" s="59"/>
      <c r="D606" s="59"/>
      <c r="E606" s="59"/>
      <c r="F606" s="59"/>
      <c r="G606" s="59"/>
      <c r="H606" s="178"/>
      <c r="I606" s="178"/>
      <c r="J606" s="59"/>
      <c r="K606" s="59"/>
      <c r="L606" s="59"/>
      <c r="M606" s="59"/>
      <c r="N606" s="59"/>
      <c r="O606" s="59"/>
      <c r="P606" s="59"/>
      <c r="Q606" s="59"/>
      <c r="R606" s="59"/>
      <c r="S606" s="59"/>
      <c r="T606" s="59"/>
      <c r="U606" s="59"/>
      <c r="V606" s="59"/>
      <c r="W606" s="59"/>
      <c r="X606" s="59"/>
      <c r="Y606" s="59"/>
    </row>
    <row r="607" ht="35.25" customHeight="1">
      <c r="A607" s="59"/>
      <c r="B607" s="59"/>
      <c r="C607" s="59"/>
      <c r="D607" s="59"/>
      <c r="E607" s="59"/>
      <c r="F607" s="59"/>
      <c r="G607" s="59"/>
      <c r="H607" s="178"/>
      <c r="I607" s="178"/>
      <c r="J607" s="59"/>
      <c r="K607" s="59"/>
      <c r="L607" s="59"/>
      <c r="M607" s="59"/>
      <c r="N607" s="59"/>
      <c r="O607" s="59"/>
      <c r="P607" s="59"/>
      <c r="Q607" s="59"/>
      <c r="R607" s="59"/>
      <c r="S607" s="59"/>
      <c r="T607" s="59"/>
      <c r="U607" s="59"/>
      <c r="V607" s="59"/>
      <c r="W607" s="59"/>
      <c r="X607" s="59"/>
      <c r="Y607" s="59"/>
    </row>
    <row r="608" ht="35.25" customHeight="1">
      <c r="A608" s="59"/>
      <c r="B608" s="59"/>
      <c r="C608" s="59"/>
      <c r="D608" s="59"/>
      <c r="E608" s="59"/>
      <c r="F608" s="59"/>
      <c r="G608" s="59"/>
      <c r="H608" s="178"/>
      <c r="I608" s="178"/>
      <c r="J608" s="59"/>
      <c r="K608" s="59"/>
      <c r="L608" s="59"/>
      <c r="M608" s="59"/>
      <c r="N608" s="59"/>
      <c r="O608" s="59"/>
      <c r="P608" s="59"/>
      <c r="Q608" s="59"/>
      <c r="R608" s="59"/>
      <c r="S608" s="59"/>
      <c r="T608" s="59"/>
      <c r="U608" s="59"/>
      <c r="V608" s="59"/>
      <c r="W608" s="59"/>
      <c r="X608" s="59"/>
      <c r="Y608" s="59"/>
    </row>
    <row r="609" ht="35.25" customHeight="1">
      <c r="A609" s="59"/>
      <c r="B609" s="59"/>
      <c r="C609" s="59"/>
      <c r="D609" s="59"/>
      <c r="E609" s="59"/>
      <c r="F609" s="59"/>
      <c r="G609" s="59"/>
      <c r="H609" s="178"/>
      <c r="I609" s="178"/>
      <c r="J609" s="59"/>
      <c r="K609" s="59"/>
      <c r="L609" s="59"/>
      <c r="M609" s="59"/>
      <c r="N609" s="59"/>
      <c r="O609" s="59"/>
      <c r="P609" s="59"/>
      <c r="Q609" s="59"/>
      <c r="R609" s="59"/>
      <c r="S609" s="59"/>
      <c r="T609" s="59"/>
      <c r="U609" s="59"/>
      <c r="V609" s="59"/>
      <c r="W609" s="59"/>
      <c r="X609" s="59"/>
      <c r="Y609" s="59"/>
    </row>
    <row r="610" ht="35.25" customHeight="1">
      <c r="A610" s="59"/>
      <c r="B610" s="59"/>
      <c r="C610" s="59"/>
      <c r="D610" s="59"/>
      <c r="E610" s="59"/>
      <c r="F610" s="59"/>
      <c r="G610" s="59"/>
      <c r="H610" s="178"/>
      <c r="I610" s="178"/>
      <c r="J610" s="59"/>
      <c r="K610" s="59"/>
      <c r="L610" s="59"/>
      <c r="M610" s="59"/>
      <c r="N610" s="59"/>
      <c r="O610" s="59"/>
      <c r="P610" s="59"/>
      <c r="Q610" s="59"/>
      <c r="R610" s="59"/>
      <c r="S610" s="59"/>
      <c r="T610" s="59"/>
      <c r="U610" s="59"/>
      <c r="V610" s="59"/>
      <c r="W610" s="59"/>
      <c r="X610" s="59"/>
      <c r="Y610" s="59"/>
    </row>
    <row r="611" ht="35.25" customHeight="1">
      <c r="A611" s="59"/>
      <c r="B611" s="59"/>
      <c r="C611" s="59"/>
      <c r="D611" s="59"/>
      <c r="E611" s="59"/>
      <c r="F611" s="59"/>
      <c r="G611" s="59"/>
      <c r="H611" s="178"/>
      <c r="I611" s="178"/>
      <c r="J611" s="59"/>
      <c r="K611" s="59"/>
      <c r="L611" s="59"/>
      <c r="M611" s="59"/>
      <c r="N611" s="59"/>
      <c r="O611" s="59"/>
      <c r="P611" s="59"/>
      <c r="Q611" s="59"/>
      <c r="R611" s="59"/>
      <c r="S611" s="59"/>
      <c r="T611" s="59"/>
      <c r="U611" s="59"/>
      <c r="V611" s="59"/>
      <c r="W611" s="59"/>
      <c r="X611" s="59"/>
      <c r="Y611" s="59"/>
    </row>
    <row r="612" ht="35.25" customHeight="1">
      <c r="A612" s="59"/>
      <c r="B612" s="59"/>
      <c r="C612" s="59"/>
      <c r="D612" s="59"/>
      <c r="E612" s="59"/>
      <c r="F612" s="59"/>
      <c r="G612" s="59"/>
      <c r="H612" s="178"/>
      <c r="I612" s="178"/>
      <c r="J612" s="59"/>
      <c r="K612" s="59"/>
      <c r="L612" s="59"/>
      <c r="M612" s="59"/>
      <c r="N612" s="59"/>
      <c r="O612" s="59"/>
      <c r="P612" s="59"/>
      <c r="Q612" s="59"/>
      <c r="R612" s="59"/>
      <c r="S612" s="59"/>
      <c r="T612" s="59"/>
      <c r="U612" s="59"/>
      <c r="V612" s="59"/>
      <c r="W612" s="59"/>
      <c r="X612" s="59"/>
      <c r="Y612" s="59"/>
    </row>
    <row r="613" ht="35.25" customHeight="1">
      <c r="A613" s="59"/>
      <c r="B613" s="59"/>
      <c r="C613" s="59"/>
      <c r="D613" s="59"/>
      <c r="E613" s="59"/>
      <c r="F613" s="59"/>
      <c r="G613" s="59"/>
      <c r="H613" s="178"/>
      <c r="I613" s="178"/>
      <c r="J613" s="59"/>
      <c r="K613" s="59"/>
      <c r="L613" s="59"/>
      <c r="M613" s="59"/>
      <c r="N613" s="59"/>
      <c r="O613" s="59"/>
      <c r="P613" s="59"/>
      <c r="Q613" s="59"/>
      <c r="R613" s="59"/>
      <c r="S613" s="59"/>
      <c r="T613" s="59"/>
      <c r="U613" s="59"/>
      <c r="V613" s="59"/>
      <c r="W613" s="59"/>
      <c r="X613" s="59"/>
      <c r="Y613" s="59"/>
    </row>
    <row r="614" ht="35.25" customHeight="1">
      <c r="A614" s="59"/>
      <c r="B614" s="59"/>
      <c r="C614" s="59"/>
      <c r="D614" s="59"/>
      <c r="E614" s="59"/>
      <c r="F614" s="59"/>
      <c r="G614" s="59"/>
      <c r="H614" s="178"/>
      <c r="I614" s="178"/>
      <c r="J614" s="59"/>
      <c r="K614" s="59"/>
      <c r="L614" s="59"/>
      <c r="M614" s="59"/>
      <c r="N614" s="59"/>
      <c r="O614" s="59"/>
      <c r="P614" s="59"/>
      <c r="Q614" s="59"/>
      <c r="R614" s="59"/>
      <c r="S614" s="59"/>
      <c r="T614" s="59"/>
      <c r="U614" s="59"/>
      <c r="V614" s="59"/>
      <c r="W614" s="59"/>
      <c r="X614" s="59"/>
      <c r="Y614" s="59"/>
    </row>
    <row r="615" ht="35.25" customHeight="1">
      <c r="A615" s="59"/>
      <c r="B615" s="59"/>
      <c r="C615" s="59"/>
      <c r="D615" s="59"/>
      <c r="E615" s="59"/>
      <c r="F615" s="59"/>
      <c r="G615" s="59"/>
      <c r="H615" s="178"/>
      <c r="I615" s="178"/>
      <c r="J615" s="59"/>
      <c r="K615" s="59"/>
      <c r="L615" s="59"/>
      <c r="M615" s="59"/>
      <c r="N615" s="59"/>
      <c r="O615" s="59"/>
      <c r="P615" s="59"/>
      <c r="Q615" s="59"/>
      <c r="R615" s="59"/>
      <c r="S615" s="59"/>
      <c r="T615" s="59"/>
      <c r="U615" s="59"/>
      <c r="V615" s="59"/>
      <c r="W615" s="59"/>
      <c r="X615" s="59"/>
      <c r="Y615" s="59"/>
    </row>
    <row r="616" ht="35.25" customHeight="1">
      <c r="A616" s="59"/>
      <c r="B616" s="59"/>
      <c r="C616" s="59"/>
      <c r="D616" s="59"/>
      <c r="E616" s="59"/>
      <c r="F616" s="59"/>
      <c r="G616" s="59"/>
      <c r="H616" s="178"/>
      <c r="I616" s="178"/>
      <c r="J616" s="59"/>
      <c r="K616" s="59"/>
      <c r="L616" s="59"/>
      <c r="M616" s="59"/>
      <c r="N616" s="59"/>
      <c r="O616" s="59"/>
      <c r="P616" s="59"/>
      <c r="Q616" s="59"/>
      <c r="R616" s="59"/>
      <c r="S616" s="59"/>
      <c r="T616" s="59"/>
      <c r="U616" s="59"/>
      <c r="V616" s="59"/>
      <c r="W616" s="59"/>
      <c r="X616" s="59"/>
      <c r="Y616" s="59"/>
    </row>
    <row r="617" ht="35.25" customHeight="1">
      <c r="A617" s="59"/>
      <c r="B617" s="59"/>
      <c r="C617" s="59"/>
      <c r="D617" s="59"/>
      <c r="E617" s="59"/>
      <c r="F617" s="59"/>
      <c r="G617" s="59"/>
      <c r="H617" s="178"/>
      <c r="I617" s="178"/>
      <c r="J617" s="59"/>
      <c r="K617" s="59"/>
      <c r="L617" s="59"/>
      <c r="M617" s="59"/>
      <c r="N617" s="59"/>
      <c r="O617" s="59"/>
      <c r="P617" s="59"/>
      <c r="Q617" s="59"/>
      <c r="R617" s="59"/>
      <c r="S617" s="59"/>
      <c r="T617" s="59"/>
      <c r="U617" s="59"/>
      <c r="V617" s="59"/>
      <c r="W617" s="59"/>
      <c r="X617" s="59"/>
      <c r="Y617" s="59"/>
    </row>
    <row r="618" ht="35.25" customHeight="1">
      <c r="A618" s="59"/>
      <c r="B618" s="59"/>
      <c r="C618" s="59"/>
      <c r="D618" s="59"/>
      <c r="E618" s="59"/>
      <c r="F618" s="59"/>
      <c r="G618" s="59"/>
      <c r="H618" s="178"/>
      <c r="I618" s="178"/>
      <c r="J618" s="59"/>
      <c r="K618" s="59"/>
      <c r="L618" s="59"/>
      <c r="M618" s="59"/>
      <c r="N618" s="59"/>
      <c r="O618" s="59"/>
      <c r="P618" s="59"/>
      <c r="Q618" s="59"/>
      <c r="R618" s="59"/>
      <c r="S618" s="59"/>
      <c r="T618" s="59"/>
      <c r="U618" s="59"/>
      <c r="V618" s="59"/>
      <c r="W618" s="59"/>
      <c r="X618" s="59"/>
      <c r="Y618" s="59"/>
    </row>
    <row r="619" ht="35.25" customHeight="1">
      <c r="A619" s="59"/>
      <c r="B619" s="59"/>
      <c r="C619" s="59"/>
      <c r="D619" s="59"/>
      <c r="E619" s="59"/>
      <c r="F619" s="59"/>
      <c r="G619" s="59"/>
      <c r="H619" s="178"/>
      <c r="I619" s="178"/>
      <c r="J619" s="59"/>
      <c r="K619" s="59"/>
      <c r="L619" s="59"/>
      <c r="M619" s="59"/>
      <c r="N619" s="59"/>
      <c r="O619" s="59"/>
      <c r="P619" s="59"/>
      <c r="Q619" s="59"/>
      <c r="R619" s="59"/>
      <c r="S619" s="59"/>
      <c r="T619" s="59"/>
      <c r="U619" s="59"/>
      <c r="V619" s="59"/>
      <c r="W619" s="59"/>
      <c r="X619" s="59"/>
      <c r="Y619" s="59"/>
    </row>
    <row r="620" ht="35.25" customHeight="1">
      <c r="A620" s="59"/>
      <c r="B620" s="59"/>
      <c r="C620" s="59"/>
      <c r="D620" s="59"/>
      <c r="E620" s="59"/>
      <c r="F620" s="59"/>
      <c r="G620" s="59"/>
      <c r="H620" s="178"/>
      <c r="I620" s="178"/>
      <c r="J620" s="59"/>
      <c r="K620" s="59"/>
      <c r="L620" s="59"/>
      <c r="M620" s="59"/>
      <c r="N620" s="59"/>
      <c r="O620" s="59"/>
      <c r="P620" s="59"/>
      <c r="Q620" s="59"/>
      <c r="R620" s="59"/>
      <c r="S620" s="59"/>
      <c r="T620" s="59"/>
      <c r="U620" s="59"/>
      <c r="V620" s="59"/>
      <c r="W620" s="59"/>
      <c r="X620" s="59"/>
      <c r="Y620" s="59"/>
    </row>
    <row r="621" ht="35.25" customHeight="1">
      <c r="A621" s="59"/>
      <c r="B621" s="59"/>
      <c r="C621" s="59"/>
      <c r="D621" s="59"/>
      <c r="E621" s="59"/>
      <c r="F621" s="59"/>
      <c r="G621" s="59"/>
      <c r="H621" s="178"/>
      <c r="I621" s="178"/>
      <c r="J621" s="59"/>
      <c r="K621" s="59"/>
      <c r="L621" s="59"/>
      <c r="M621" s="59"/>
      <c r="N621" s="59"/>
      <c r="O621" s="59"/>
      <c r="P621" s="59"/>
      <c r="Q621" s="59"/>
      <c r="R621" s="59"/>
      <c r="S621" s="59"/>
      <c r="T621" s="59"/>
      <c r="U621" s="59"/>
      <c r="V621" s="59"/>
      <c r="W621" s="59"/>
      <c r="X621" s="59"/>
      <c r="Y621" s="59"/>
    </row>
    <row r="622" ht="35.25" customHeight="1">
      <c r="A622" s="59"/>
      <c r="B622" s="59"/>
      <c r="C622" s="59"/>
      <c r="D622" s="59"/>
      <c r="E622" s="59"/>
      <c r="F622" s="59"/>
      <c r="G622" s="59"/>
      <c r="H622" s="178"/>
      <c r="I622" s="178"/>
      <c r="J622" s="59"/>
      <c r="K622" s="59"/>
      <c r="L622" s="59"/>
      <c r="M622" s="59"/>
      <c r="N622" s="59"/>
      <c r="O622" s="59"/>
      <c r="P622" s="59"/>
      <c r="Q622" s="59"/>
      <c r="R622" s="59"/>
      <c r="S622" s="59"/>
      <c r="T622" s="59"/>
      <c r="U622" s="59"/>
      <c r="V622" s="59"/>
      <c r="W622" s="59"/>
      <c r="X622" s="59"/>
      <c r="Y622" s="59"/>
    </row>
    <row r="623" ht="35.25" customHeight="1">
      <c r="A623" s="59"/>
      <c r="B623" s="59"/>
      <c r="C623" s="59"/>
      <c r="D623" s="59"/>
      <c r="E623" s="59"/>
      <c r="F623" s="59"/>
      <c r="G623" s="59"/>
      <c r="H623" s="178"/>
      <c r="I623" s="178"/>
      <c r="J623" s="59"/>
      <c r="K623" s="59"/>
      <c r="L623" s="59"/>
      <c r="M623" s="59"/>
      <c r="N623" s="59"/>
      <c r="O623" s="59"/>
      <c r="P623" s="59"/>
      <c r="Q623" s="59"/>
      <c r="R623" s="59"/>
      <c r="S623" s="59"/>
      <c r="T623" s="59"/>
      <c r="U623" s="59"/>
      <c r="V623" s="59"/>
      <c r="W623" s="59"/>
      <c r="X623" s="59"/>
      <c r="Y623" s="59"/>
    </row>
    <row r="624" ht="35.25" customHeight="1">
      <c r="A624" s="59"/>
      <c r="B624" s="59"/>
      <c r="C624" s="59"/>
      <c r="D624" s="59"/>
      <c r="E624" s="59"/>
      <c r="F624" s="59"/>
      <c r="G624" s="59"/>
      <c r="H624" s="178"/>
      <c r="I624" s="178"/>
      <c r="J624" s="59"/>
      <c r="K624" s="59"/>
      <c r="L624" s="59"/>
      <c r="M624" s="59"/>
      <c r="N624" s="59"/>
      <c r="O624" s="59"/>
      <c r="P624" s="59"/>
      <c r="Q624" s="59"/>
      <c r="R624" s="59"/>
      <c r="S624" s="59"/>
      <c r="T624" s="59"/>
      <c r="U624" s="59"/>
      <c r="V624" s="59"/>
      <c r="W624" s="59"/>
      <c r="X624" s="59"/>
      <c r="Y624" s="59"/>
    </row>
    <row r="625" ht="35.25" customHeight="1">
      <c r="A625" s="59"/>
      <c r="B625" s="59"/>
      <c r="C625" s="59"/>
      <c r="D625" s="59"/>
      <c r="E625" s="59"/>
      <c r="F625" s="59"/>
      <c r="G625" s="59"/>
      <c r="H625" s="178"/>
      <c r="I625" s="178"/>
      <c r="J625" s="59"/>
      <c r="K625" s="59"/>
      <c r="L625" s="59"/>
      <c r="M625" s="59"/>
      <c r="N625" s="59"/>
      <c r="O625" s="59"/>
      <c r="P625" s="59"/>
      <c r="Q625" s="59"/>
      <c r="R625" s="59"/>
      <c r="S625" s="59"/>
      <c r="T625" s="59"/>
      <c r="U625" s="59"/>
      <c r="V625" s="59"/>
      <c r="W625" s="59"/>
      <c r="X625" s="59"/>
      <c r="Y625" s="59"/>
    </row>
    <row r="626" ht="35.25" customHeight="1">
      <c r="A626" s="59"/>
      <c r="B626" s="59"/>
      <c r="C626" s="59"/>
      <c r="D626" s="59"/>
      <c r="E626" s="59"/>
      <c r="F626" s="59"/>
      <c r="G626" s="59"/>
      <c r="H626" s="178"/>
      <c r="I626" s="178"/>
      <c r="J626" s="59"/>
      <c r="K626" s="59"/>
      <c r="L626" s="59"/>
      <c r="M626" s="59"/>
      <c r="N626" s="59"/>
      <c r="O626" s="59"/>
      <c r="P626" s="59"/>
      <c r="Q626" s="59"/>
      <c r="R626" s="59"/>
      <c r="S626" s="59"/>
      <c r="T626" s="59"/>
      <c r="U626" s="59"/>
      <c r="V626" s="59"/>
      <c r="W626" s="59"/>
      <c r="X626" s="59"/>
      <c r="Y626" s="59"/>
    </row>
    <row r="627" ht="35.25" customHeight="1">
      <c r="A627" s="59"/>
      <c r="B627" s="59"/>
      <c r="C627" s="59"/>
      <c r="D627" s="59"/>
      <c r="E627" s="59"/>
      <c r="F627" s="59"/>
      <c r="G627" s="59"/>
      <c r="H627" s="178"/>
      <c r="I627" s="178"/>
      <c r="J627" s="59"/>
      <c r="K627" s="59"/>
      <c r="L627" s="59"/>
      <c r="M627" s="59"/>
      <c r="N627" s="59"/>
      <c r="O627" s="59"/>
      <c r="P627" s="59"/>
      <c r="Q627" s="59"/>
      <c r="R627" s="59"/>
      <c r="S627" s="59"/>
      <c r="T627" s="59"/>
      <c r="U627" s="59"/>
      <c r="V627" s="59"/>
      <c r="W627" s="59"/>
      <c r="X627" s="59"/>
      <c r="Y627" s="59"/>
    </row>
    <row r="628" ht="35.25" customHeight="1">
      <c r="A628" s="59"/>
      <c r="B628" s="59"/>
      <c r="C628" s="59"/>
      <c r="D628" s="59"/>
      <c r="E628" s="59"/>
      <c r="F628" s="59"/>
      <c r="G628" s="59"/>
      <c r="H628" s="178"/>
      <c r="I628" s="178"/>
      <c r="J628" s="59"/>
      <c r="K628" s="59"/>
      <c r="L628" s="59"/>
      <c r="M628" s="59"/>
      <c r="N628" s="59"/>
      <c r="O628" s="59"/>
      <c r="P628" s="59"/>
      <c r="Q628" s="59"/>
      <c r="R628" s="59"/>
      <c r="S628" s="59"/>
      <c r="T628" s="59"/>
      <c r="U628" s="59"/>
      <c r="V628" s="59"/>
      <c r="W628" s="59"/>
      <c r="X628" s="59"/>
      <c r="Y628" s="59"/>
    </row>
    <row r="629" ht="35.25" customHeight="1">
      <c r="A629" s="59"/>
      <c r="B629" s="59"/>
      <c r="C629" s="59"/>
      <c r="D629" s="59"/>
      <c r="E629" s="59"/>
      <c r="F629" s="59"/>
      <c r="G629" s="59"/>
      <c r="H629" s="178"/>
      <c r="I629" s="178"/>
      <c r="J629" s="59"/>
      <c r="K629" s="59"/>
      <c r="L629" s="59"/>
      <c r="M629" s="59"/>
      <c r="N629" s="59"/>
      <c r="O629" s="59"/>
      <c r="P629" s="59"/>
      <c r="Q629" s="59"/>
      <c r="R629" s="59"/>
      <c r="S629" s="59"/>
      <c r="T629" s="59"/>
      <c r="U629" s="59"/>
      <c r="V629" s="59"/>
      <c r="W629" s="59"/>
      <c r="X629" s="59"/>
      <c r="Y629" s="59"/>
    </row>
    <row r="630" ht="35.25" customHeight="1">
      <c r="A630" s="59"/>
      <c r="B630" s="59"/>
      <c r="C630" s="59"/>
      <c r="D630" s="59"/>
      <c r="E630" s="59"/>
      <c r="F630" s="59"/>
      <c r="G630" s="59"/>
      <c r="H630" s="178"/>
      <c r="I630" s="178"/>
      <c r="J630" s="59"/>
      <c r="K630" s="59"/>
      <c r="L630" s="59"/>
      <c r="M630" s="59"/>
      <c r="N630" s="59"/>
      <c r="O630" s="59"/>
      <c r="P630" s="59"/>
      <c r="Q630" s="59"/>
      <c r="R630" s="59"/>
      <c r="S630" s="59"/>
      <c r="T630" s="59"/>
      <c r="U630" s="59"/>
      <c r="V630" s="59"/>
      <c r="W630" s="59"/>
      <c r="X630" s="59"/>
      <c r="Y630" s="59"/>
    </row>
    <row r="631" ht="35.25" customHeight="1">
      <c r="A631" s="59"/>
      <c r="B631" s="59"/>
      <c r="C631" s="59"/>
      <c r="D631" s="59"/>
      <c r="E631" s="59"/>
      <c r="F631" s="59"/>
      <c r="G631" s="59"/>
      <c r="H631" s="178"/>
      <c r="I631" s="178"/>
      <c r="J631" s="59"/>
      <c r="K631" s="59"/>
      <c r="L631" s="59"/>
      <c r="M631" s="59"/>
      <c r="N631" s="59"/>
      <c r="O631" s="59"/>
      <c r="P631" s="59"/>
      <c r="Q631" s="59"/>
      <c r="R631" s="59"/>
      <c r="S631" s="59"/>
      <c r="T631" s="59"/>
      <c r="U631" s="59"/>
      <c r="V631" s="59"/>
      <c r="W631" s="59"/>
      <c r="X631" s="59"/>
      <c r="Y631" s="59"/>
    </row>
    <row r="632" ht="35.25" customHeight="1">
      <c r="A632" s="59"/>
      <c r="B632" s="59"/>
      <c r="C632" s="59"/>
      <c r="D632" s="59"/>
      <c r="E632" s="59"/>
      <c r="F632" s="59"/>
      <c r="G632" s="59"/>
      <c r="H632" s="178"/>
      <c r="I632" s="178"/>
      <c r="J632" s="59"/>
      <c r="K632" s="59"/>
      <c r="L632" s="59"/>
      <c r="M632" s="59"/>
      <c r="N632" s="59"/>
      <c r="O632" s="59"/>
      <c r="P632" s="59"/>
      <c r="Q632" s="59"/>
      <c r="R632" s="59"/>
      <c r="S632" s="59"/>
      <c r="T632" s="59"/>
      <c r="U632" s="59"/>
      <c r="V632" s="59"/>
      <c r="W632" s="59"/>
      <c r="X632" s="59"/>
      <c r="Y632" s="59"/>
    </row>
    <row r="633" ht="35.25" customHeight="1">
      <c r="A633" s="59"/>
      <c r="B633" s="59"/>
      <c r="C633" s="59"/>
      <c r="D633" s="59"/>
      <c r="E633" s="59"/>
      <c r="F633" s="59"/>
      <c r="G633" s="59"/>
      <c r="H633" s="178"/>
      <c r="I633" s="178"/>
      <c r="J633" s="59"/>
      <c r="K633" s="59"/>
      <c r="L633" s="59"/>
      <c r="M633" s="59"/>
      <c r="N633" s="59"/>
      <c r="O633" s="59"/>
      <c r="P633" s="59"/>
      <c r="Q633" s="59"/>
      <c r="R633" s="59"/>
      <c r="S633" s="59"/>
      <c r="T633" s="59"/>
      <c r="U633" s="59"/>
      <c r="V633" s="59"/>
      <c r="W633" s="59"/>
      <c r="X633" s="59"/>
      <c r="Y633" s="59"/>
    </row>
    <row r="634" ht="35.25" customHeight="1">
      <c r="A634" s="59"/>
      <c r="B634" s="59"/>
      <c r="C634" s="59"/>
      <c r="D634" s="59"/>
      <c r="E634" s="59"/>
      <c r="F634" s="59"/>
      <c r="G634" s="59"/>
      <c r="H634" s="178"/>
      <c r="I634" s="178"/>
      <c r="J634" s="59"/>
      <c r="K634" s="59"/>
      <c r="L634" s="59"/>
      <c r="M634" s="59"/>
      <c r="N634" s="59"/>
      <c r="O634" s="59"/>
      <c r="P634" s="59"/>
      <c r="Q634" s="59"/>
      <c r="R634" s="59"/>
      <c r="S634" s="59"/>
      <c r="T634" s="59"/>
      <c r="U634" s="59"/>
      <c r="V634" s="59"/>
      <c r="W634" s="59"/>
      <c r="X634" s="59"/>
      <c r="Y634" s="59"/>
    </row>
    <row r="635" ht="35.25" customHeight="1">
      <c r="A635" s="59"/>
      <c r="B635" s="59"/>
      <c r="C635" s="59"/>
      <c r="D635" s="59"/>
      <c r="E635" s="59"/>
      <c r="F635" s="59"/>
      <c r="G635" s="59"/>
      <c r="H635" s="178"/>
      <c r="I635" s="178"/>
      <c r="J635" s="59"/>
      <c r="K635" s="59"/>
      <c r="L635" s="59"/>
      <c r="M635" s="59"/>
      <c r="N635" s="59"/>
      <c r="O635" s="59"/>
      <c r="P635" s="59"/>
      <c r="Q635" s="59"/>
      <c r="R635" s="59"/>
      <c r="S635" s="59"/>
      <c r="T635" s="59"/>
      <c r="U635" s="59"/>
      <c r="V635" s="59"/>
      <c r="W635" s="59"/>
      <c r="X635" s="59"/>
      <c r="Y635" s="59"/>
    </row>
    <row r="636" ht="35.25" customHeight="1">
      <c r="A636" s="59"/>
      <c r="B636" s="59"/>
      <c r="C636" s="59"/>
      <c r="D636" s="59"/>
      <c r="E636" s="59"/>
      <c r="F636" s="59"/>
      <c r="G636" s="59"/>
      <c r="H636" s="178"/>
      <c r="I636" s="178"/>
      <c r="J636" s="59"/>
      <c r="K636" s="59"/>
      <c r="L636" s="59"/>
      <c r="M636" s="59"/>
      <c r="N636" s="59"/>
      <c r="O636" s="59"/>
      <c r="P636" s="59"/>
      <c r="Q636" s="59"/>
      <c r="R636" s="59"/>
      <c r="S636" s="59"/>
      <c r="T636" s="59"/>
      <c r="U636" s="59"/>
      <c r="V636" s="59"/>
      <c r="W636" s="59"/>
      <c r="X636" s="59"/>
      <c r="Y636" s="59"/>
    </row>
    <row r="637" ht="35.25" customHeight="1">
      <c r="A637" s="59"/>
      <c r="B637" s="59"/>
      <c r="C637" s="59"/>
      <c r="D637" s="59"/>
      <c r="E637" s="59"/>
      <c r="F637" s="59"/>
      <c r="G637" s="59"/>
      <c r="H637" s="178"/>
      <c r="I637" s="178"/>
      <c r="J637" s="59"/>
      <c r="K637" s="59"/>
      <c r="L637" s="59"/>
      <c r="M637" s="59"/>
      <c r="N637" s="59"/>
      <c r="O637" s="59"/>
      <c r="P637" s="59"/>
      <c r="Q637" s="59"/>
      <c r="R637" s="59"/>
      <c r="S637" s="59"/>
      <c r="T637" s="59"/>
      <c r="U637" s="59"/>
      <c r="V637" s="59"/>
      <c r="W637" s="59"/>
      <c r="X637" s="59"/>
      <c r="Y637" s="59"/>
    </row>
    <row r="638" ht="35.25" customHeight="1">
      <c r="A638" s="59"/>
      <c r="B638" s="59"/>
      <c r="C638" s="59"/>
      <c r="D638" s="59"/>
      <c r="E638" s="59"/>
      <c r="F638" s="59"/>
      <c r="G638" s="59"/>
      <c r="H638" s="178"/>
      <c r="I638" s="178"/>
      <c r="J638" s="59"/>
      <c r="K638" s="59"/>
      <c r="L638" s="59"/>
      <c r="M638" s="59"/>
      <c r="N638" s="59"/>
      <c r="O638" s="59"/>
      <c r="P638" s="59"/>
      <c r="Q638" s="59"/>
      <c r="R638" s="59"/>
      <c r="S638" s="59"/>
      <c r="T638" s="59"/>
      <c r="U638" s="59"/>
      <c r="V638" s="59"/>
      <c r="W638" s="59"/>
      <c r="X638" s="59"/>
      <c r="Y638" s="59"/>
    </row>
    <row r="639" ht="35.25" customHeight="1">
      <c r="A639" s="59"/>
      <c r="B639" s="59"/>
      <c r="C639" s="59"/>
      <c r="D639" s="59"/>
      <c r="E639" s="59"/>
      <c r="F639" s="59"/>
      <c r="G639" s="59"/>
      <c r="H639" s="178"/>
      <c r="I639" s="178"/>
      <c r="J639" s="59"/>
      <c r="K639" s="59"/>
      <c r="L639" s="59"/>
      <c r="M639" s="59"/>
      <c r="N639" s="59"/>
      <c r="O639" s="59"/>
      <c r="P639" s="59"/>
      <c r="Q639" s="59"/>
      <c r="R639" s="59"/>
      <c r="S639" s="59"/>
      <c r="T639" s="59"/>
      <c r="U639" s="59"/>
      <c r="V639" s="59"/>
      <c r="W639" s="59"/>
      <c r="X639" s="59"/>
      <c r="Y639" s="59"/>
    </row>
    <row r="640" ht="35.25" customHeight="1">
      <c r="A640" s="59"/>
      <c r="B640" s="59"/>
      <c r="C640" s="59"/>
      <c r="D640" s="59"/>
      <c r="E640" s="59"/>
      <c r="F640" s="59"/>
      <c r="G640" s="59"/>
      <c r="H640" s="178"/>
      <c r="I640" s="178"/>
      <c r="J640" s="59"/>
      <c r="K640" s="59"/>
      <c r="L640" s="59"/>
      <c r="M640" s="59"/>
      <c r="N640" s="59"/>
      <c r="O640" s="59"/>
      <c r="P640" s="59"/>
      <c r="Q640" s="59"/>
      <c r="R640" s="59"/>
      <c r="S640" s="59"/>
      <c r="T640" s="59"/>
      <c r="U640" s="59"/>
      <c r="V640" s="59"/>
      <c r="W640" s="59"/>
      <c r="X640" s="59"/>
      <c r="Y640" s="59"/>
    </row>
    <row r="641" ht="35.25" customHeight="1">
      <c r="A641" s="59"/>
      <c r="B641" s="59"/>
      <c r="C641" s="59"/>
      <c r="D641" s="59"/>
      <c r="E641" s="59"/>
      <c r="F641" s="59"/>
      <c r="G641" s="59"/>
      <c r="H641" s="178"/>
      <c r="I641" s="178"/>
      <c r="J641" s="59"/>
      <c r="K641" s="59"/>
      <c r="L641" s="59"/>
      <c r="M641" s="59"/>
      <c r="N641" s="59"/>
      <c r="O641" s="59"/>
      <c r="P641" s="59"/>
      <c r="Q641" s="59"/>
      <c r="R641" s="59"/>
      <c r="S641" s="59"/>
      <c r="T641" s="59"/>
      <c r="U641" s="59"/>
      <c r="V641" s="59"/>
      <c r="W641" s="59"/>
      <c r="X641" s="59"/>
      <c r="Y641" s="59"/>
    </row>
    <row r="642" ht="35.25" customHeight="1">
      <c r="A642" s="59"/>
      <c r="B642" s="59"/>
      <c r="C642" s="59"/>
      <c r="D642" s="59"/>
      <c r="E642" s="59"/>
      <c r="F642" s="59"/>
      <c r="G642" s="59"/>
      <c r="H642" s="178"/>
      <c r="I642" s="178"/>
      <c r="J642" s="59"/>
      <c r="K642" s="59"/>
      <c r="L642" s="59"/>
      <c r="M642" s="59"/>
      <c r="N642" s="59"/>
      <c r="O642" s="59"/>
      <c r="P642" s="59"/>
      <c r="Q642" s="59"/>
      <c r="R642" s="59"/>
      <c r="S642" s="59"/>
      <c r="T642" s="59"/>
      <c r="U642" s="59"/>
      <c r="V642" s="59"/>
      <c r="W642" s="59"/>
      <c r="X642" s="59"/>
      <c r="Y642" s="59"/>
    </row>
    <row r="643" ht="35.25" customHeight="1">
      <c r="A643" s="59"/>
      <c r="B643" s="59"/>
      <c r="C643" s="59"/>
      <c r="D643" s="59"/>
      <c r="E643" s="59"/>
      <c r="F643" s="59"/>
      <c r="G643" s="59"/>
      <c r="H643" s="178"/>
      <c r="I643" s="178"/>
      <c r="J643" s="59"/>
      <c r="K643" s="59"/>
      <c r="L643" s="59"/>
      <c r="M643" s="59"/>
      <c r="N643" s="59"/>
      <c r="O643" s="59"/>
      <c r="P643" s="59"/>
      <c r="Q643" s="59"/>
      <c r="R643" s="59"/>
      <c r="S643" s="59"/>
      <c r="T643" s="59"/>
      <c r="U643" s="59"/>
      <c r="V643" s="59"/>
      <c r="W643" s="59"/>
      <c r="X643" s="59"/>
      <c r="Y643" s="59"/>
    </row>
    <row r="644" ht="35.25" customHeight="1">
      <c r="A644" s="59"/>
      <c r="B644" s="59"/>
      <c r="C644" s="59"/>
      <c r="D644" s="59"/>
      <c r="E644" s="59"/>
      <c r="F644" s="59"/>
      <c r="G644" s="59"/>
      <c r="H644" s="178"/>
      <c r="I644" s="178"/>
      <c r="J644" s="59"/>
      <c r="K644" s="59"/>
      <c r="L644" s="59"/>
      <c r="M644" s="59"/>
      <c r="N644" s="59"/>
      <c r="O644" s="59"/>
      <c r="P644" s="59"/>
      <c r="Q644" s="59"/>
      <c r="R644" s="59"/>
      <c r="S644" s="59"/>
      <c r="T644" s="59"/>
      <c r="U644" s="59"/>
      <c r="V644" s="59"/>
      <c r="W644" s="59"/>
      <c r="X644" s="59"/>
      <c r="Y644" s="59"/>
    </row>
    <row r="645" ht="35.25" customHeight="1">
      <c r="A645" s="59"/>
      <c r="B645" s="59"/>
      <c r="C645" s="59"/>
      <c r="D645" s="59"/>
      <c r="E645" s="59"/>
      <c r="F645" s="59"/>
      <c r="G645" s="59"/>
      <c r="H645" s="178"/>
      <c r="I645" s="178"/>
      <c r="J645" s="59"/>
      <c r="K645" s="59"/>
      <c r="L645" s="59"/>
      <c r="M645" s="59"/>
      <c r="N645" s="59"/>
      <c r="O645" s="59"/>
      <c r="P645" s="59"/>
      <c r="Q645" s="59"/>
      <c r="R645" s="59"/>
      <c r="S645" s="59"/>
      <c r="T645" s="59"/>
      <c r="U645" s="59"/>
      <c r="V645" s="59"/>
      <c r="W645" s="59"/>
      <c r="X645" s="59"/>
      <c r="Y645" s="59"/>
    </row>
    <row r="646" ht="35.25" customHeight="1">
      <c r="A646" s="59"/>
      <c r="B646" s="59"/>
      <c r="C646" s="59"/>
      <c r="D646" s="59"/>
      <c r="E646" s="59"/>
      <c r="F646" s="59"/>
      <c r="G646" s="59"/>
      <c r="H646" s="178"/>
      <c r="I646" s="178"/>
      <c r="J646" s="59"/>
      <c r="K646" s="59"/>
      <c r="L646" s="59"/>
      <c r="M646" s="59"/>
      <c r="N646" s="59"/>
      <c r="O646" s="59"/>
      <c r="P646" s="59"/>
      <c r="Q646" s="59"/>
      <c r="R646" s="59"/>
      <c r="S646" s="59"/>
      <c r="T646" s="59"/>
      <c r="U646" s="59"/>
      <c r="V646" s="59"/>
      <c r="W646" s="59"/>
      <c r="X646" s="59"/>
      <c r="Y646" s="59"/>
    </row>
    <row r="647" ht="35.25" customHeight="1">
      <c r="A647" s="59"/>
      <c r="B647" s="59"/>
      <c r="C647" s="59"/>
      <c r="D647" s="59"/>
      <c r="E647" s="59"/>
      <c r="F647" s="59"/>
      <c r="G647" s="59"/>
      <c r="H647" s="178"/>
      <c r="I647" s="178"/>
      <c r="J647" s="59"/>
      <c r="K647" s="59"/>
      <c r="L647" s="59"/>
      <c r="M647" s="59"/>
      <c r="N647" s="59"/>
      <c r="O647" s="59"/>
      <c r="P647" s="59"/>
      <c r="Q647" s="59"/>
      <c r="R647" s="59"/>
      <c r="S647" s="59"/>
      <c r="T647" s="59"/>
      <c r="U647" s="59"/>
      <c r="V647" s="59"/>
      <c r="W647" s="59"/>
      <c r="X647" s="59"/>
      <c r="Y647" s="59"/>
    </row>
    <row r="648" ht="35.25" customHeight="1">
      <c r="A648" s="59"/>
      <c r="B648" s="59"/>
      <c r="C648" s="59"/>
      <c r="D648" s="59"/>
      <c r="E648" s="59"/>
      <c r="F648" s="59"/>
      <c r="G648" s="59"/>
      <c r="H648" s="178"/>
      <c r="I648" s="178"/>
      <c r="J648" s="59"/>
      <c r="K648" s="59"/>
      <c r="L648" s="59"/>
      <c r="M648" s="59"/>
      <c r="N648" s="59"/>
      <c r="O648" s="59"/>
      <c r="P648" s="59"/>
      <c r="Q648" s="59"/>
      <c r="R648" s="59"/>
      <c r="S648" s="59"/>
      <c r="T648" s="59"/>
      <c r="U648" s="59"/>
      <c r="V648" s="59"/>
      <c r="W648" s="59"/>
      <c r="X648" s="59"/>
      <c r="Y648" s="59"/>
    </row>
    <row r="649" ht="35.25" customHeight="1">
      <c r="A649" s="59"/>
      <c r="B649" s="59"/>
      <c r="C649" s="59"/>
      <c r="D649" s="59"/>
      <c r="E649" s="59"/>
      <c r="F649" s="59"/>
      <c r="G649" s="59"/>
      <c r="H649" s="178"/>
      <c r="I649" s="178"/>
      <c r="J649" s="59"/>
      <c r="K649" s="59"/>
      <c r="L649" s="59"/>
      <c r="M649" s="59"/>
      <c r="N649" s="59"/>
      <c r="O649" s="59"/>
      <c r="P649" s="59"/>
      <c r="Q649" s="59"/>
      <c r="R649" s="59"/>
      <c r="S649" s="59"/>
      <c r="T649" s="59"/>
      <c r="U649" s="59"/>
      <c r="V649" s="59"/>
      <c r="W649" s="59"/>
      <c r="X649" s="59"/>
      <c r="Y649" s="59"/>
    </row>
    <row r="650" ht="35.25" customHeight="1">
      <c r="A650" s="59"/>
      <c r="B650" s="59"/>
      <c r="C650" s="59"/>
      <c r="D650" s="59"/>
      <c r="E650" s="59"/>
      <c r="F650" s="59"/>
      <c r="G650" s="59"/>
      <c r="H650" s="178"/>
      <c r="I650" s="178"/>
      <c r="J650" s="59"/>
      <c r="K650" s="59"/>
      <c r="L650" s="59"/>
      <c r="M650" s="59"/>
      <c r="N650" s="59"/>
      <c r="O650" s="59"/>
      <c r="P650" s="59"/>
      <c r="Q650" s="59"/>
      <c r="R650" s="59"/>
      <c r="S650" s="59"/>
      <c r="T650" s="59"/>
      <c r="U650" s="59"/>
      <c r="V650" s="59"/>
      <c r="W650" s="59"/>
      <c r="X650" s="59"/>
      <c r="Y650" s="59"/>
    </row>
    <row r="651" ht="35.25" customHeight="1">
      <c r="A651" s="59"/>
      <c r="B651" s="59"/>
      <c r="C651" s="59"/>
      <c r="D651" s="59"/>
      <c r="E651" s="59"/>
      <c r="F651" s="59"/>
      <c r="G651" s="59"/>
      <c r="H651" s="178"/>
      <c r="I651" s="178"/>
      <c r="J651" s="59"/>
      <c r="K651" s="59"/>
      <c r="L651" s="59"/>
      <c r="M651" s="59"/>
      <c r="N651" s="59"/>
      <c r="O651" s="59"/>
      <c r="P651" s="59"/>
      <c r="Q651" s="59"/>
      <c r="R651" s="59"/>
      <c r="S651" s="59"/>
      <c r="T651" s="59"/>
      <c r="U651" s="59"/>
      <c r="V651" s="59"/>
      <c r="W651" s="59"/>
      <c r="X651" s="59"/>
      <c r="Y651" s="59"/>
    </row>
    <row r="652" ht="35.25" customHeight="1">
      <c r="A652" s="59"/>
      <c r="B652" s="59"/>
      <c r="C652" s="59"/>
      <c r="D652" s="59"/>
      <c r="E652" s="59"/>
      <c r="F652" s="59"/>
      <c r="G652" s="59"/>
      <c r="H652" s="178"/>
      <c r="I652" s="178"/>
      <c r="J652" s="59"/>
      <c r="K652" s="59"/>
      <c r="L652" s="59"/>
      <c r="M652" s="59"/>
      <c r="N652" s="59"/>
      <c r="O652" s="59"/>
      <c r="P652" s="59"/>
      <c r="Q652" s="59"/>
      <c r="R652" s="59"/>
      <c r="S652" s="59"/>
      <c r="T652" s="59"/>
      <c r="U652" s="59"/>
      <c r="V652" s="59"/>
      <c r="W652" s="59"/>
      <c r="X652" s="59"/>
      <c r="Y652" s="59"/>
    </row>
    <row r="653" ht="35.25" customHeight="1">
      <c r="A653" s="59"/>
      <c r="B653" s="59"/>
      <c r="C653" s="59"/>
      <c r="D653" s="59"/>
      <c r="E653" s="59"/>
      <c r="F653" s="59"/>
      <c r="G653" s="59"/>
      <c r="H653" s="178"/>
      <c r="I653" s="178"/>
      <c r="J653" s="59"/>
      <c r="K653" s="59"/>
      <c r="L653" s="59"/>
      <c r="M653" s="59"/>
      <c r="N653" s="59"/>
      <c r="O653" s="59"/>
      <c r="P653" s="59"/>
      <c r="Q653" s="59"/>
      <c r="R653" s="59"/>
      <c r="S653" s="59"/>
      <c r="T653" s="59"/>
      <c r="U653" s="59"/>
      <c r="V653" s="59"/>
      <c r="W653" s="59"/>
      <c r="X653" s="59"/>
      <c r="Y653" s="59"/>
    </row>
    <row r="654" ht="35.25" customHeight="1">
      <c r="A654" s="59"/>
      <c r="B654" s="59"/>
      <c r="C654" s="59"/>
      <c r="D654" s="59"/>
      <c r="E654" s="59"/>
      <c r="F654" s="59"/>
      <c r="G654" s="59"/>
      <c r="H654" s="178"/>
      <c r="I654" s="178"/>
      <c r="J654" s="59"/>
      <c r="K654" s="59"/>
      <c r="L654" s="59"/>
      <c r="M654" s="59"/>
      <c r="N654" s="59"/>
      <c r="O654" s="59"/>
      <c r="P654" s="59"/>
      <c r="Q654" s="59"/>
      <c r="R654" s="59"/>
      <c r="S654" s="59"/>
      <c r="T654" s="59"/>
      <c r="U654" s="59"/>
      <c r="V654" s="59"/>
      <c r="W654" s="59"/>
      <c r="X654" s="59"/>
      <c r="Y654" s="59"/>
    </row>
    <row r="655" ht="35.25" customHeight="1">
      <c r="A655" s="59"/>
      <c r="B655" s="59"/>
      <c r="C655" s="59"/>
      <c r="D655" s="59"/>
      <c r="E655" s="59"/>
      <c r="F655" s="59"/>
      <c r="G655" s="59"/>
      <c r="H655" s="178"/>
      <c r="I655" s="178"/>
      <c r="J655" s="59"/>
      <c r="K655" s="59"/>
      <c r="L655" s="59"/>
      <c r="M655" s="59"/>
      <c r="N655" s="59"/>
      <c r="O655" s="59"/>
      <c r="P655" s="59"/>
      <c r="Q655" s="59"/>
      <c r="R655" s="59"/>
      <c r="S655" s="59"/>
      <c r="T655" s="59"/>
      <c r="U655" s="59"/>
      <c r="V655" s="59"/>
      <c r="W655" s="59"/>
      <c r="X655" s="59"/>
      <c r="Y655" s="59"/>
    </row>
    <row r="656" ht="35.25" customHeight="1">
      <c r="A656" s="59"/>
      <c r="B656" s="59"/>
      <c r="C656" s="59"/>
      <c r="D656" s="59"/>
      <c r="E656" s="59"/>
      <c r="F656" s="59"/>
      <c r="G656" s="59"/>
      <c r="H656" s="178"/>
      <c r="I656" s="178"/>
      <c r="J656" s="59"/>
      <c r="K656" s="59"/>
      <c r="L656" s="59"/>
      <c r="M656" s="59"/>
      <c r="N656" s="59"/>
      <c r="O656" s="59"/>
      <c r="P656" s="59"/>
      <c r="Q656" s="59"/>
      <c r="R656" s="59"/>
      <c r="S656" s="59"/>
      <c r="T656" s="59"/>
      <c r="U656" s="59"/>
      <c r="V656" s="59"/>
      <c r="W656" s="59"/>
      <c r="X656" s="59"/>
      <c r="Y656" s="59"/>
    </row>
    <row r="657" ht="35.25" customHeight="1">
      <c r="A657" s="59"/>
      <c r="B657" s="59"/>
      <c r="C657" s="59"/>
      <c r="D657" s="59"/>
      <c r="E657" s="59"/>
      <c r="F657" s="59"/>
      <c r="G657" s="59"/>
      <c r="H657" s="178"/>
      <c r="I657" s="178"/>
      <c r="J657" s="59"/>
      <c r="K657" s="59"/>
      <c r="L657" s="59"/>
      <c r="M657" s="59"/>
      <c r="N657" s="59"/>
      <c r="O657" s="59"/>
      <c r="P657" s="59"/>
      <c r="Q657" s="59"/>
      <c r="R657" s="59"/>
      <c r="S657" s="59"/>
      <c r="T657" s="59"/>
      <c r="U657" s="59"/>
      <c r="V657" s="59"/>
      <c r="W657" s="59"/>
      <c r="X657" s="59"/>
      <c r="Y657" s="59"/>
    </row>
    <row r="658" ht="35.25" customHeight="1">
      <c r="A658" s="59"/>
      <c r="B658" s="59"/>
      <c r="C658" s="59"/>
      <c r="D658" s="59"/>
      <c r="E658" s="59"/>
      <c r="F658" s="59"/>
      <c r="G658" s="59"/>
      <c r="H658" s="178"/>
      <c r="I658" s="178"/>
      <c r="J658" s="59"/>
      <c r="K658" s="59"/>
      <c r="L658" s="59"/>
      <c r="M658" s="59"/>
      <c r="N658" s="59"/>
      <c r="O658" s="59"/>
      <c r="P658" s="59"/>
      <c r="Q658" s="59"/>
      <c r="R658" s="59"/>
      <c r="S658" s="59"/>
      <c r="T658" s="59"/>
      <c r="U658" s="59"/>
      <c r="V658" s="59"/>
      <c r="W658" s="59"/>
      <c r="X658" s="59"/>
      <c r="Y658" s="59"/>
    </row>
    <row r="659" ht="35.25" customHeight="1">
      <c r="A659" s="59"/>
      <c r="B659" s="59"/>
      <c r="C659" s="59"/>
      <c r="D659" s="59"/>
      <c r="E659" s="59"/>
      <c r="F659" s="59"/>
      <c r="G659" s="59"/>
      <c r="H659" s="178"/>
      <c r="I659" s="178"/>
      <c r="J659" s="59"/>
      <c r="K659" s="59"/>
      <c r="L659" s="59"/>
      <c r="M659" s="59"/>
      <c r="N659" s="59"/>
      <c r="O659" s="59"/>
      <c r="P659" s="59"/>
      <c r="Q659" s="59"/>
      <c r="R659" s="59"/>
      <c r="S659" s="59"/>
      <c r="T659" s="59"/>
      <c r="U659" s="59"/>
      <c r="V659" s="59"/>
      <c r="W659" s="59"/>
      <c r="X659" s="59"/>
      <c r="Y659" s="59"/>
    </row>
    <row r="660" ht="35.25" customHeight="1">
      <c r="A660" s="59"/>
      <c r="B660" s="59"/>
      <c r="C660" s="59"/>
      <c r="D660" s="59"/>
      <c r="E660" s="59"/>
      <c r="F660" s="59"/>
      <c r="G660" s="59"/>
      <c r="H660" s="178"/>
      <c r="I660" s="178"/>
      <c r="J660" s="59"/>
      <c r="K660" s="59"/>
      <c r="L660" s="59"/>
      <c r="M660" s="59"/>
      <c r="N660" s="59"/>
      <c r="O660" s="59"/>
      <c r="P660" s="59"/>
      <c r="Q660" s="59"/>
      <c r="R660" s="59"/>
      <c r="S660" s="59"/>
      <c r="T660" s="59"/>
      <c r="U660" s="59"/>
      <c r="V660" s="59"/>
      <c r="W660" s="59"/>
      <c r="X660" s="59"/>
      <c r="Y660" s="59"/>
    </row>
    <row r="661" ht="35.25" customHeight="1">
      <c r="A661" s="59"/>
      <c r="B661" s="59"/>
      <c r="C661" s="59"/>
      <c r="D661" s="59"/>
      <c r="E661" s="59"/>
      <c r="F661" s="59"/>
      <c r="G661" s="59"/>
      <c r="H661" s="178"/>
      <c r="I661" s="178"/>
      <c r="J661" s="59"/>
      <c r="K661" s="59"/>
      <c r="L661" s="59"/>
      <c r="M661" s="59"/>
      <c r="N661" s="59"/>
      <c r="O661" s="59"/>
      <c r="P661" s="59"/>
      <c r="Q661" s="59"/>
      <c r="R661" s="59"/>
      <c r="S661" s="59"/>
      <c r="T661" s="59"/>
      <c r="U661" s="59"/>
      <c r="V661" s="59"/>
      <c r="W661" s="59"/>
      <c r="X661" s="59"/>
      <c r="Y661" s="59"/>
    </row>
    <row r="662" ht="35.25" customHeight="1">
      <c r="A662" s="59"/>
      <c r="B662" s="59"/>
      <c r="C662" s="59"/>
      <c r="D662" s="59"/>
      <c r="E662" s="59"/>
      <c r="F662" s="59"/>
      <c r="G662" s="59"/>
      <c r="H662" s="178"/>
      <c r="I662" s="178"/>
      <c r="J662" s="59"/>
      <c r="K662" s="59"/>
      <c r="L662" s="59"/>
      <c r="M662" s="59"/>
      <c r="N662" s="59"/>
      <c r="O662" s="59"/>
      <c r="P662" s="59"/>
      <c r="Q662" s="59"/>
      <c r="R662" s="59"/>
      <c r="S662" s="59"/>
      <c r="T662" s="59"/>
      <c r="U662" s="59"/>
      <c r="V662" s="59"/>
      <c r="W662" s="59"/>
      <c r="X662" s="59"/>
      <c r="Y662" s="59"/>
    </row>
    <row r="663" ht="35.25" customHeight="1">
      <c r="A663" s="59"/>
      <c r="B663" s="59"/>
      <c r="C663" s="59"/>
      <c r="D663" s="59"/>
      <c r="E663" s="59"/>
      <c r="F663" s="59"/>
      <c r="G663" s="59"/>
      <c r="H663" s="178"/>
      <c r="I663" s="178"/>
      <c r="J663" s="59"/>
      <c r="K663" s="59"/>
      <c r="L663" s="59"/>
      <c r="M663" s="59"/>
      <c r="N663" s="59"/>
      <c r="O663" s="59"/>
      <c r="P663" s="59"/>
      <c r="Q663" s="59"/>
      <c r="R663" s="59"/>
      <c r="S663" s="59"/>
      <c r="T663" s="59"/>
      <c r="U663" s="59"/>
      <c r="V663" s="59"/>
      <c r="W663" s="59"/>
      <c r="X663" s="59"/>
      <c r="Y663" s="59"/>
    </row>
    <row r="664" ht="35.25" customHeight="1">
      <c r="A664" s="59"/>
      <c r="B664" s="59"/>
      <c r="C664" s="59"/>
      <c r="D664" s="59"/>
      <c r="E664" s="59"/>
      <c r="F664" s="59"/>
      <c r="G664" s="59"/>
      <c r="H664" s="178"/>
      <c r="I664" s="178"/>
      <c r="J664" s="59"/>
      <c r="K664" s="59"/>
      <c r="L664" s="59"/>
      <c r="M664" s="59"/>
      <c r="N664" s="59"/>
      <c r="O664" s="59"/>
      <c r="P664" s="59"/>
      <c r="Q664" s="59"/>
      <c r="R664" s="59"/>
      <c r="S664" s="59"/>
      <c r="T664" s="59"/>
      <c r="U664" s="59"/>
      <c r="V664" s="59"/>
      <c r="W664" s="59"/>
      <c r="X664" s="59"/>
      <c r="Y664" s="59"/>
    </row>
    <row r="665" ht="35.25" customHeight="1">
      <c r="A665" s="59"/>
      <c r="B665" s="59"/>
      <c r="C665" s="59"/>
      <c r="D665" s="59"/>
      <c r="E665" s="59"/>
      <c r="F665" s="59"/>
      <c r="G665" s="59"/>
      <c r="H665" s="178"/>
      <c r="I665" s="178"/>
      <c r="J665" s="59"/>
      <c r="K665" s="59"/>
      <c r="L665" s="59"/>
      <c r="M665" s="59"/>
      <c r="N665" s="59"/>
      <c r="O665" s="59"/>
      <c r="P665" s="59"/>
      <c r="Q665" s="59"/>
      <c r="R665" s="59"/>
      <c r="S665" s="59"/>
      <c r="T665" s="59"/>
      <c r="U665" s="59"/>
      <c r="V665" s="59"/>
      <c r="W665" s="59"/>
      <c r="X665" s="59"/>
      <c r="Y665" s="59"/>
    </row>
    <row r="666" ht="35.25" customHeight="1">
      <c r="A666" s="59"/>
      <c r="B666" s="59"/>
      <c r="C666" s="59"/>
      <c r="D666" s="59"/>
      <c r="E666" s="59"/>
      <c r="F666" s="59"/>
      <c r="G666" s="59"/>
      <c r="H666" s="178"/>
      <c r="I666" s="178"/>
      <c r="J666" s="59"/>
      <c r="K666" s="59"/>
      <c r="L666" s="59"/>
      <c r="M666" s="59"/>
      <c r="N666" s="59"/>
      <c r="O666" s="59"/>
      <c r="P666" s="59"/>
      <c r="Q666" s="59"/>
      <c r="R666" s="59"/>
      <c r="S666" s="59"/>
      <c r="T666" s="59"/>
      <c r="U666" s="59"/>
      <c r="V666" s="59"/>
      <c r="W666" s="59"/>
      <c r="X666" s="59"/>
      <c r="Y666" s="59"/>
    </row>
    <row r="667" ht="35.25" customHeight="1">
      <c r="A667" s="59"/>
      <c r="B667" s="59"/>
      <c r="C667" s="59"/>
      <c r="D667" s="59"/>
      <c r="E667" s="59"/>
      <c r="F667" s="59"/>
      <c r="G667" s="59"/>
      <c r="H667" s="178"/>
      <c r="I667" s="178"/>
      <c r="J667" s="59"/>
      <c r="K667" s="59"/>
      <c r="L667" s="59"/>
      <c r="M667" s="59"/>
      <c r="N667" s="59"/>
      <c r="O667" s="59"/>
      <c r="P667" s="59"/>
      <c r="Q667" s="59"/>
      <c r="R667" s="59"/>
      <c r="S667" s="59"/>
      <c r="T667" s="59"/>
      <c r="U667" s="59"/>
      <c r="V667" s="59"/>
      <c r="W667" s="59"/>
      <c r="X667" s="59"/>
      <c r="Y667" s="59"/>
    </row>
    <row r="668" ht="35.25" customHeight="1">
      <c r="A668" s="59"/>
      <c r="B668" s="59"/>
      <c r="C668" s="59"/>
      <c r="D668" s="59"/>
      <c r="E668" s="59"/>
      <c r="F668" s="59"/>
      <c r="G668" s="59"/>
      <c r="H668" s="178"/>
      <c r="I668" s="178"/>
      <c r="J668" s="59"/>
      <c r="K668" s="59"/>
      <c r="L668" s="59"/>
      <c r="M668" s="59"/>
      <c r="N668" s="59"/>
      <c r="O668" s="59"/>
      <c r="P668" s="59"/>
      <c r="Q668" s="59"/>
      <c r="R668" s="59"/>
      <c r="S668" s="59"/>
      <c r="T668" s="59"/>
      <c r="U668" s="59"/>
      <c r="V668" s="59"/>
      <c r="W668" s="59"/>
      <c r="X668" s="59"/>
      <c r="Y668" s="59"/>
    </row>
    <row r="669" ht="35.25" customHeight="1">
      <c r="A669" s="59"/>
      <c r="B669" s="59"/>
      <c r="C669" s="59"/>
      <c r="D669" s="59"/>
      <c r="E669" s="59"/>
      <c r="F669" s="59"/>
      <c r="G669" s="59"/>
      <c r="H669" s="178"/>
      <c r="I669" s="178"/>
      <c r="J669" s="59"/>
      <c r="K669" s="59"/>
      <c r="L669" s="59"/>
      <c r="M669" s="59"/>
      <c r="N669" s="59"/>
      <c r="O669" s="59"/>
      <c r="P669" s="59"/>
      <c r="Q669" s="59"/>
      <c r="R669" s="59"/>
      <c r="S669" s="59"/>
      <c r="T669" s="59"/>
      <c r="U669" s="59"/>
      <c r="V669" s="59"/>
      <c r="W669" s="59"/>
      <c r="X669" s="59"/>
      <c r="Y669" s="59"/>
    </row>
    <row r="670" ht="35.25" customHeight="1">
      <c r="A670" s="59"/>
      <c r="B670" s="59"/>
      <c r="C670" s="59"/>
      <c r="D670" s="59"/>
      <c r="E670" s="59"/>
      <c r="F670" s="59"/>
      <c r="G670" s="59"/>
      <c r="H670" s="178"/>
      <c r="I670" s="178"/>
      <c r="J670" s="59"/>
      <c r="K670" s="59"/>
      <c r="L670" s="59"/>
      <c r="M670" s="59"/>
      <c r="N670" s="59"/>
      <c r="O670" s="59"/>
      <c r="P670" s="59"/>
      <c r="Q670" s="59"/>
      <c r="R670" s="59"/>
      <c r="S670" s="59"/>
      <c r="T670" s="59"/>
      <c r="U670" s="59"/>
      <c r="V670" s="59"/>
      <c r="W670" s="59"/>
      <c r="X670" s="59"/>
      <c r="Y670" s="59"/>
    </row>
    <row r="671" ht="35.25" customHeight="1">
      <c r="A671" s="59"/>
      <c r="B671" s="59"/>
      <c r="C671" s="59"/>
      <c r="D671" s="59"/>
      <c r="E671" s="59"/>
      <c r="F671" s="59"/>
      <c r="G671" s="59"/>
      <c r="H671" s="178"/>
      <c r="I671" s="178"/>
      <c r="J671" s="59"/>
      <c r="K671" s="59"/>
      <c r="L671" s="59"/>
      <c r="M671" s="59"/>
      <c r="N671" s="59"/>
      <c r="O671" s="59"/>
      <c r="P671" s="59"/>
      <c r="Q671" s="59"/>
      <c r="R671" s="59"/>
      <c r="S671" s="59"/>
      <c r="T671" s="59"/>
      <c r="U671" s="59"/>
      <c r="V671" s="59"/>
      <c r="W671" s="59"/>
      <c r="X671" s="59"/>
      <c r="Y671" s="59"/>
    </row>
    <row r="672" ht="35.25" customHeight="1">
      <c r="A672" s="59"/>
      <c r="B672" s="59"/>
      <c r="C672" s="59"/>
      <c r="D672" s="59"/>
      <c r="E672" s="59"/>
      <c r="F672" s="59"/>
      <c r="G672" s="59"/>
      <c r="H672" s="178"/>
      <c r="I672" s="178"/>
      <c r="J672" s="59"/>
      <c r="K672" s="59"/>
      <c r="L672" s="59"/>
      <c r="M672" s="59"/>
      <c r="N672" s="59"/>
      <c r="O672" s="59"/>
      <c r="P672" s="59"/>
      <c r="Q672" s="59"/>
      <c r="R672" s="59"/>
      <c r="S672" s="59"/>
      <c r="T672" s="59"/>
      <c r="U672" s="59"/>
      <c r="V672" s="59"/>
      <c r="W672" s="59"/>
      <c r="X672" s="59"/>
      <c r="Y672" s="59"/>
    </row>
    <row r="673" ht="35.25" customHeight="1">
      <c r="A673" s="59"/>
      <c r="B673" s="59"/>
      <c r="C673" s="59"/>
      <c r="D673" s="59"/>
      <c r="E673" s="59"/>
      <c r="F673" s="59"/>
      <c r="G673" s="59"/>
      <c r="H673" s="178"/>
      <c r="I673" s="178"/>
      <c r="J673" s="59"/>
      <c r="K673" s="59"/>
      <c r="L673" s="59"/>
      <c r="M673" s="59"/>
      <c r="N673" s="59"/>
      <c r="O673" s="59"/>
      <c r="P673" s="59"/>
      <c r="Q673" s="59"/>
      <c r="R673" s="59"/>
      <c r="S673" s="59"/>
      <c r="T673" s="59"/>
      <c r="U673" s="59"/>
      <c r="V673" s="59"/>
      <c r="W673" s="59"/>
      <c r="X673" s="59"/>
      <c r="Y673" s="59"/>
    </row>
    <row r="674" ht="35.25" customHeight="1">
      <c r="A674" s="59"/>
      <c r="B674" s="59"/>
      <c r="C674" s="59"/>
      <c r="D674" s="59"/>
      <c r="E674" s="59"/>
      <c r="F674" s="59"/>
      <c r="G674" s="59"/>
      <c r="H674" s="178"/>
      <c r="I674" s="178"/>
      <c r="J674" s="59"/>
      <c r="K674" s="59"/>
      <c r="L674" s="59"/>
      <c r="M674" s="59"/>
      <c r="N674" s="59"/>
      <c r="O674" s="59"/>
      <c r="P674" s="59"/>
      <c r="Q674" s="59"/>
      <c r="R674" s="59"/>
      <c r="S674" s="59"/>
      <c r="T674" s="59"/>
      <c r="U674" s="59"/>
      <c r="V674" s="59"/>
      <c r="W674" s="59"/>
      <c r="X674" s="59"/>
      <c r="Y674" s="59"/>
    </row>
    <row r="675" ht="35.25" customHeight="1">
      <c r="A675" s="59"/>
      <c r="B675" s="59"/>
      <c r="C675" s="59"/>
      <c r="D675" s="59"/>
      <c r="E675" s="59"/>
      <c r="F675" s="59"/>
      <c r="G675" s="59"/>
      <c r="H675" s="178"/>
      <c r="I675" s="178"/>
      <c r="J675" s="59"/>
      <c r="K675" s="59"/>
      <c r="L675" s="59"/>
      <c r="M675" s="59"/>
      <c r="N675" s="59"/>
      <c r="O675" s="59"/>
      <c r="P675" s="59"/>
      <c r="Q675" s="59"/>
      <c r="R675" s="59"/>
      <c r="S675" s="59"/>
      <c r="T675" s="59"/>
      <c r="U675" s="59"/>
      <c r="V675" s="59"/>
      <c r="W675" s="59"/>
      <c r="X675" s="59"/>
      <c r="Y675" s="59"/>
    </row>
    <row r="676" ht="35.25" customHeight="1">
      <c r="A676" s="59"/>
      <c r="B676" s="59"/>
      <c r="C676" s="59"/>
      <c r="D676" s="59"/>
      <c r="E676" s="59"/>
      <c r="F676" s="59"/>
      <c r="G676" s="59"/>
      <c r="H676" s="178"/>
      <c r="I676" s="178"/>
      <c r="J676" s="59"/>
      <c r="K676" s="59"/>
      <c r="L676" s="59"/>
      <c r="M676" s="59"/>
      <c r="N676" s="59"/>
      <c r="O676" s="59"/>
      <c r="P676" s="59"/>
      <c r="Q676" s="59"/>
      <c r="R676" s="59"/>
      <c r="S676" s="59"/>
      <c r="T676" s="59"/>
      <c r="U676" s="59"/>
      <c r="V676" s="59"/>
      <c r="W676" s="59"/>
      <c r="X676" s="59"/>
      <c r="Y676" s="59"/>
    </row>
    <row r="677" ht="35.25" customHeight="1">
      <c r="A677" s="59"/>
      <c r="B677" s="59"/>
      <c r="C677" s="59"/>
      <c r="D677" s="59"/>
      <c r="E677" s="59"/>
      <c r="F677" s="59"/>
      <c r="G677" s="59"/>
      <c r="H677" s="178"/>
      <c r="I677" s="178"/>
      <c r="J677" s="59"/>
      <c r="K677" s="59"/>
      <c r="L677" s="59"/>
      <c r="M677" s="59"/>
      <c r="N677" s="59"/>
      <c r="O677" s="59"/>
      <c r="P677" s="59"/>
      <c r="Q677" s="59"/>
      <c r="R677" s="59"/>
      <c r="S677" s="59"/>
      <c r="T677" s="59"/>
      <c r="U677" s="59"/>
      <c r="V677" s="59"/>
      <c r="W677" s="59"/>
      <c r="X677" s="59"/>
      <c r="Y677" s="59"/>
    </row>
    <row r="678" ht="35.25" customHeight="1">
      <c r="A678" s="59"/>
      <c r="B678" s="59"/>
      <c r="C678" s="59"/>
      <c r="D678" s="59"/>
      <c r="E678" s="59"/>
      <c r="F678" s="59"/>
      <c r="G678" s="59"/>
      <c r="H678" s="178"/>
      <c r="I678" s="178"/>
      <c r="J678" s="59"/>
      <c r="K678" s="59"/>
      <c r="L678" s="59"/>
      <c r="M678" s="59"/>
      <c r="N678" s="59"/>
      <c r="O678" s="59"/>
      <c r="P678" s="59"/>
      <c r="Q678" s="59"/>
      <c r="R678" s="59"/>
      <c r="S678" s="59"/>
      <c r="T678" s="59"/>
      <c r="U678" s="59"/>
      <c r="V678" s="59"/>
      <c r="W678" s="59"/>
      <c r="X678" s="59"/>
      <c r="Y678" s="59"/>
    </row>
    <row r="679" ht="35.25" customHeight="1">
      <c r="A679" s="59"/>
      <c r="B679" s="59"/>
      <c r="C679" s="59"/>
      <c r="D679" s="59"/>
      <c r="E679" s="59"/>
      <c r="F679" s="59"/>
      <c r="G679" s="59"/>
      <c r="H679" s="178"/>
      <c r="I679" s="178"/>
      <c r="J679" s="59"/>
      <c r="K679" s="59"/>
      <c r="L679" s="59"/>
      <c r="M679" s="59"/>
      <c r="N679" s="59"/>
      <c r="O679" s="59"/>
      <c r="P679" s="59"/>
      <c r="Q679" s="59"/>
      <c r="R679" s="59"/>
      <c r="S679" s="59"/>
      <c r="T679" s="59"/>
      <c r="U679" s="59"/>
      <c r="V679" s="59"/>
      <c r="W679" s="59"/>
      <c r="X679" s="59"/>
      <c r="Y679" s="59"/>
    </row>
    <row r="680" ht="35.25" customHeight="1">
      <c r="A680" s="59"/>
      <c r="B680" s="59"/>
      <c r="C680" s="59"/>
      <c r="D680" s="59"/>
      <c r="E680" s="59"/>
      <c r="F680" s="59"/>
      <c r="G680" s="59"/>
      <c r="H680" s="178"/>
      <c r="I680" s="178"/>
      <c r="J680" s="59"/>
      <c r="K680" s="59"/>
      <c r="L680" s="59"/>
      <c r="M680" s="59"/>
      <c r="N680" s="59"/>
      <c r="O680" s="59"/>
      <c r="P680" s="59"/>
      <c r="Q680" s="59"/>
      <c r="R680" s="59"/>
      <c r="S680" s="59"/>
      <c r="T680" s="59"/>
      <c r="U680" s="59"/>
      <c r="V680" s="59"/>
      <c r="W680" s="59"/>
      <c r="X680" s="59"/>
      <c r="Y680" s="59"/>
    </row>
    <row r="681" ht="35.25" customHeight="1">
      <c r="A681" s="59"/>
      <c r="B681" s="59"/>
      <c r="C681" s="59"/>
      <c r="D681" s="59"/>
      <c r="E681" s="59"/>
      <c r="F681" s="59"/>
      <c r="G681" s="59"/>
      <c r="H681" s="178"/>
      <c r="I681" s="178"/>
      <c r="J681" s="59"/>
      <c r="K681" s="59"/>
      <c r="L681" s="59"/>
      <c r="M681" s="59"/>
      <c r="N681" s="59"/>
      <c r="O681" s="59"/>
      <c r="P681" s="59"/>
      <c r="Q681" s="59"/>
      <c r="R681" s="59"/>
      <c r="S681" s="59"/>
      <c r="T681" s="59"/>
      <c r="U681" s="59"/>
      <c r="V681" s="59"/>
      <c r="W681" s="59"/>
      <c r="X681" s="59"/>
      <c r="Y681" s="59"/>
    </row>
    <row r="682" ht="35.25" customHeight="1">
      <c r="A682" s="59"/>
      <c r="B682" s="59"/>
      <c r="C682" s="59"/>
      <c r="D682" s="59"/>
      <c r="E682" s="59"/>
      <c r="F682" s="59"/>
      <c r="G682" s="59"/>
      <c r="H682" s="178"/>
      <c r="I682" s="178"/>
      <c r="J682" s="59"/>
      <c r="K682" s="59"/>
      <c r="L682" s="59"/>
      <c r="M682" s="59"/>
      <c r="N682" s="59"/>
      <c r="O682" s="59"/>
      <c r="P682" s="59"/>
      <c r="Q682" s="59"/>
      <c r="R682" s="59"/>
      <c r="S682" s="59"/>
      <c r="T682" s="59"/>
      <c r="U682" s="59"/>
      <c r="V682" s="59"/>
      <c r="W682" s="59"/>
      <c r="X682" s="59"/>
      <c r="Y682" s="59"/>
    </row>
    <row r="683" ht="35.25" customHeight="1">
      <c r="A683" s="59"/>
      <c r="B683" s="59"/>
      <c r="C683" s="59"/>
      <c r="D683" s="59"/>
      <c r="E683" s="59"/>
      <c r="F683" s="59"/>
      <c r="G683" s="59"/>
      <c r="H683" s="178"/>
      <c r="I683" s="178"/>
      <c r="J683" s="59"/>
      <c r="K683" s="59"/>
      <c r="L683" s="59"/>
      <c r="M683" s="59"/>
      <c r="N683" s="59"/>
      <c r="O683" s="59"/>
      <c r="P683" s="59"/>
      <c r="Q683" s="59"/>
      <c r="R683" s="59"/>
      <c r="S683" s="59"/>
      <c r="T683" s="59"/>
      <c r="U683" s="59"/>
      <c r="V683" s="59"/>
      <c r="W683" s="59"/>
      <c r="X683" s="59"/>
      <c r="Y683" s="59"/>
    </row>
    <row r="684" ht="35.25" customHeight="1">
      <c r="A684" s="59"/>
      <c r="B684" s="59"/>
      <c r="C684" s="59"/>
      <c r="D684" s="59"/>
      <c r="E684" s="59"/>
      <c r="F684" s="59"/>
      <c r="G684" s="59"/>
      <c r="H684" s="178"/>
      <c r="I684" s="178"/>
      <c r="J684" s="59"/>
      <c r="K684" s="59"/>
      <c r="L684" s="59"/>
      <c r="M684" s="59"/>
      <c r="N684" s="59"/>
      <c r="O684" s="59"/>
      <c r="P684" s="59"/>
      <c r="Q684" s="59"/>
      <c r="R684" s="59"/>
      <c r="S684" s="59"/>
      <c r="T684" s="59"/>
      <c r="U684" s="59"/>
      <c r="V684" s="59"/>
      <c r="W684" s="59"/>
      <c r="X684" s="59"/>
      <c r="Y684" s="59"/>
    </row>
    <row r="685" ht="35.25" customHeight="1">
      <c r="A685" s="59"/>
      <c r="B685" s="59"/>
      <c r="C685" s="59"/>
      <c r="D685" s="59"/>
      <c r="E685" s="59"/>
      <c r="F685" s="59"/>
      <c r="G685" s="59"/>
      <c r="H685" s="178"/>
      <c r="I685" s="178"/>
      <c r="J685" s="59"/>
      <c r="K685" s="59"/>
      <c r="L685" s="59"/>
      <c r="M685" s="59"/>
      <c r="N685" s="59"/>
      <c r="O685" s="59"/>
      <c r="P685" s="59"/>
      <c r="Q685" s="59"/>
      <c r="R685" s="59"/>
      <c r="S685" s="59"/>
      <c r="T685" s="59"/>
      <c r="U685" s="59"/>
      <c r="V685" s="59"/>
      <c r="W685" s="59"/>
      <c r="X685" s="59"/>
      <c r="Y685" s="59"/>
    </row>
    <row r="686" ht="35.25" customHeight="1">
      <c r="A686" s="59"/>
      <c r="B686" s="59"/>
      <c r="C686" s="59"/>
      <c r="D686" s="59"/>
      <c r="E686" s="59"/>
      <c r="F686" s="59"/>
      <c r="G686" s="59"/>
      <c r="H686" s="178"/>
      <c r="I686" s="178"/>
      <c r="J686" s="59"/>
      <c r="K686" s="59"/>
      <c r="L686" s="59"/>
      <c r="M686" s="59"/>
      <c r="N686" s="59"/>
      <c r="O686" s="59"/>
      <c r="P686" s="59"/>
      <c r="Q686" s="59"/>
      <c r="R686" s="59"/>
      <c r="S686" s="59"/>
      <c r="T686" s="59"/>
      <c r="U686" s="59"/>
      <c r="V686" s="59"/>
      <c r="W686" s="59"/>
      <c r="X686" s="59"/>
      <c r="Y686" s="59"/>
    </row>
    <row r="687" ht="35.25" customHeight="1">
      <c r="A687" s="59"/>
      <c r="B687" s="59"/>
      <c r="C687" s="59"/>
      <c r="D687" s="59"/>
      <c r="E687" s="59"/>
      <c r="F687" s="59"/>
      <c r="G687" s="59"/>
      <c r="H687" s="178"/>
      <c r="I687" s="178"/>
      <c r="J687" s="59"/>
      <c r="K687" s="59"/>
      <c r="L687" s="59"/>
      <c r="M687" s="59"/>
      <c r="N687" s="59"/>
      <c r="O687" s="59"/>
      <c r="P687" s="59"/>
      <c r="Q687" s="59"/>
      <c r="R687" s="59"/>
      <c r="S687" s="59"/>
      <c r="T687" s="59"/>
      <c r="U687" s="59"/>
      <c r="V687" s="59"/>
      <c r="W687" s="59"/>
      <c r="X687" s="59"/>
      <c r="Y687" s="59"/>
    </row>
    <row r="688" ht="35.25" customHeight="1">
      <c r="A688" s="59"/>
      <c r="B688" s="59"/>
      <c r="C688" s="59"/>
      <c r="D688" s="59"/>
      <c r="E688" s="59"/>
      <c r="F688" s="59"/>
      <c r="G688" s="59"/>
      <c r="H688" s="178"/>
      <c r="I688" s="178"/>
      <c r="J688" s="59"/>
      <c r="K688" s="59"/>
      <c r="L688" s="59"/>
      <c r="M688" s="59"/>
      <c r="N688" s="59"/>
      <c r="O688" s="59"/>
      <c r="P688" s="59"/>
      <c r="Q688" s="59"/>
      <c r="R688" s="59"/>
      <c r="S688" s="59"/>
      <c r="T688" s="59"/>
      <c r="U688" s="59"/>
      <c r="V688" s="59"/>
      <c r="W688" s="59"/>
      <c r="X688" s="59"/>
      <c r="Y688" s="59"/>
    </row>
    <row r="689" ht="35.25" customHeight="1">
      <c r="A689" s="59"/>
      <c r="B689" s="59"/>
      <c r="C689" s="59"/>
      <c r="D689" s="59"/>
      <c r="E689" s="59"/>
      <c r="F689" s="59"/>
      <c r="G689" s="59"/>
      <c r="H689" s="178"/>
      <c r="I689" s="178"/>
      <c r="J689" s="59"/>
      <c r="K689" s="59"/>
      <c r="L689" s="59"/>
      <c r="M689" s="59"/>
      <c r="N689" s="59"/>
      <c r="O689" s="59"/>
      <c r="P689" s="59"/>
      <c r="Q689" s="59"/>
      <c r="R689" s="59"/>
      <c r="S689" s="59"/>
      <c r="T689" s="59"/>
      <c r="U689" s="59"/>
      <c r="V689" s="59"/>
      <c r="W689" s="59"/>
      <c r="X689" s="59"/>
      <c r="Y689" s="59"/>
    </row>
    <row r="690" ht="35.25" customHeight="1">
      <c r="A690" s="59"/>
      <c r="B690" s="59"/>
      <c r="C690" s="59"/>
      <c r="D690" s="59"/>
      <c r="E690" s="59"/>
      <c r="F690" s="59"/>
      <c r="G690" s="59"/>
      <c r="H690" s="178"/>
      <c r="I690" s="178"/>
      <c r="J690" s="59"/>
      <c r="K690" s="59"/>
      <c r="L690" s="59"/>
      <c r="M690" s="59"/>
      <c r="N690" s="59"/>
      <c r="O690" s="59"/>
      <c r="P690" s="59"/>
      <c r="Q690" s="59"/>
      <c r="R690" s="59"/>
      <c r="S690" s="59"/>
      <c r="T690" s="59"/>
      <c r="U690" s="59"/>
      <c r="V690" s="59"/>
      <c r="W690" s="59"/>
      <c r="X690" s="59"/>
      <c r="Y690" s="59"/>
    </row>
    <row r="691" ht="35.25" customHeight="1">
      <c r="A691" s="59"/>
      <c r="B691" s="59"/>
      <c r="C691" s="59"/>
      <c r="D691" s="59"/>
      <c r="E691" s="59"/>
      <c r="F691" s="59"/>
      <c r="G691" s="59"/>
      <c r="H691" s="178"/>
      <c r="I691" s="178"/>
      <c r="J691" s="59"/>
      <c r="K691" s="59"/>
      <c r="L691" s="59"/>
      <c r="M691" s="59"/>
      <c r="N691" s="59"/>
      <c r="O691" s="59"/>
      <c r="P691" s="59"/>
      <c r="Q691" s="59"/>
      <c r="R691" s="59"/>
      <c r="S691" s="59"/>
      <c r="T691" s="59"/>
      <c r="U691" s="59"/>
      <c r="V691" s="59"/>
      <c r="W691" s="59"/>
      <c r="X691" s="59"/>
      <c r="Y691" s="59"/>
    </row>
    <row r="692" ht="35.25" customHeight="1">
      <c r="A692" s="59"/>
      <c r="B692" s="59"/>
      <c r="C692" s="59"/>
      <c r="D692" s="59"/>
      <c r="E692" s="59"/>
      <c r="F692" s="59"/>
      <c r="G692" s="59"/>
      <c r="H692" s="178"/>
      <c r="I692" s="178"/>
      <c r="J692" s="59"/>
      <c r="K692" s="59"/>
      <c r="L692" s="59"/>
      <c r="M692" s="59"/>
      <c r="N692" s="59"/>
      <c r="O692" s="59"/>
      <c r="P692" s="59"/>
      <c r="Q692" s="59"/>
      <c r="R692" s="59"/>
      <c r="S692" s="59"/>
      <c r="T692" s="59"/>
      <c r="U692" s="59"/>
      <c r="V692" s="59"/>
      <c r="W692" s="59"/>
      <c r="X692" s="59"/>
      <c r="Y692" s="59"/>
    </row>
    <row r="693" ht="35.25" customHeight="1">
      <c r="A693" s="59"/>
      <c r="B693" s="59"/>
      <c r="C693" s="59"/>
      <c r="D693" s="59"/>
      <c r="E693" s="59"/>
      <c r="F693" s="59"/>
      <c r="G693" s="59"/>
      <c r="H693" s="178"/>
      <c r="I693" s="178"/>
      <c r="J693" s="59"/>
      <c r="K693" s="59"/>
      <c r="L693" s="59"/>
      <c r="M693" s="59"/>
      <c r="N693" s="59"/>
      <c r="O693" s="59"/>
      <c r="P693" s="59"/>
      <c r="Q693" s="59"/>
      <c r="R693" s="59"/>
      <c r="S693" s="59"/>
      <c r="T693" s="59"/>
      <c r="U693" s="59"/>
      <c r="V693" s="59"/>
      <c r="W693" s="59"/>
      <c r="X693" s="59"/>
      <c r="Y693" s="59"/>
    </row>
    <row r="694" ht="35.25" customHeight="1">
      <c r="A694" s="59"/>
      <c r="B694" s="59"/>
      <c r="C694" s="59"/>
      <c r="D694" s="59"/>
      <c r="E694" s="59"/>
      <c r="F694" s="59"/>
      <c r="G694" s="59"/>
      <c r="H694" s="178"/>
      <c r="I694" s="178"/>
      <c r="J694" s="59"/>
      <c r="K694" s="59"/>
      <c r="L694" s="59"/>
      <c r="M694" s="59"/>
      <c r="N694" s="59"/>
      <c r="O694" s="59"/>
      <c r="P694" s="59"/>
      <c r="Q694" s="59"/>
      <c r="R694" s="59"/>
      <c r="S694" s="59"/>
      <c r="T694" s="59"/>
      <c r="U694" s="59"/>
      <c r="V694" s="59"/>
      <c r="W694" s="59"/>
      <c r="X694" s="59"/>
      <c r="Y694" s="59"/>
    </row>
    <row r="695" ht="35.25" customHeight="1">
      <c r="A695" s="59"/>
      <c r="B695" s="59"/>
      <c r="C695" s="59"/>
      <c r="D695" s="59"/>
      <c r="E695" s="59"/>
      <c r="F695" s="59"/>
      <c r="G695" s="59"/>
      <c r="H695" s="178"/>
      <c r="I695" s="178"/>
      <c r="J695" s="59"/>
      <c r="K695" s="59"/>
      <c r="L695" s="59"/>
      <c r="M695" s="59"/>
      <c r="N695" s="59"/>
      <c r="O695" s="59"/>
      <c r="P695" s="59"/>
      <c r="Q695" s="59"/>
      <c r="R695" s="59"/>
      <c r="S695" s="59"/>
      <c r="T695" s="59"/>
      <c r="U695" s="59"/>
      <c r="V695" s="59"/>
      <c r="W695" s="59"/>
      <c r="X695" s="59"/>
      <c r="Y695" s="59"/>
    </row>
    <row r="696" ht="35.25" customHeight="1">
      <c r="A696" s="59"/>
      <c r="B696" s="59"/>
      <c r="C696" s="59"/>
      <c r="D696" s="59"/>
      <c r="E696" s="59"/>
      <c r="F696" s="59"/>
      <c r="G696" s="59"/>
      <c r="H696" s="178"/>
      <c r="I696" s="178"/>
      <c r="J696" s="59"/>
      <c r="K696" s="59"/>
      <c r="L696" s="59"/>
      <c r="M696" s="59"/>
      <c r="N696" s="59"/>
      <c r="O696" s="59"/>
      <c r="P696" s="59"/>
      <c r="Q696" s="59"/>
      <c r="R696" s="59"/>
      <c r="S696" s="59"/>
      <c r="T696" s="59"/>
      <c r="U696" s="59"/>
      <c r="V696" s="59"/>
      <c r="W696" s="59"/>
      <c r="X696" s="59"/>
      <c r="Y696" s="59"/>
    </row>
    <row r="697" ht="35.25" customHeight="1">
      <c r="A697" s="59"/>
      <c r="B697" s="59"/>
      <c r="C697" s="59"/>
      <c r="D697" s="59"/>
      <c r="E697" s="59"/>
      <c r="F697" s="59"/>
      <c r="G697" s="59"/>
      <c r="H697" s="178"/>
      <c r="I697" s="178"/>
      <c r="J697" s="59"/>
      <c r="K697" s="59"/>
      <c r="L697" s="59"/>
      <c r="M697" s="59"/>
      <c r="N697" s="59"/>
      <c r="O697" s="59"/>
      <c r="P697" s="59"/>
      <c r="Q697" s="59"/>
      <c r="R697" s="59"/>
      <c r="S697" s="59"/>
      <c r="T697" s="59"/>
      <c r="U697" s="59"/>
      <c r="V697" s="59"/>
      <c r="W697" s="59"/>
      <c r="X697" s="59"/>
      <c r="Y697" s="59"/>
    </row>
    <row r="698" ht="35.25" customHeight="1">
      <c r="A698" s="59"/>
      <c r="B698" s="59"/>
      <c r="C698" s="59"/>
      <c r="D698" s="59"/>
      <c r="E698" s="59"/>
      <c r="F698" s="59"/>
      <c r="G698" s="59"/>
      <c r="H698" s="178"/>
      <c r="I698" s="178"/>
      <c r="J698" s="59"/>
      <c r="K698" s="59"/>
      <c r="L698" s="59"/>
      <c r="M698" s="59"/>
      <c r="N698" s="59"/>
      <c r="O698" s="59"/>
      <c r="P698" s="59"/>
      <c r="Q698" s="59"/>
      <c r="R698" s="59"/>
      <c r="S698" s="59"/>
      <c r="T698" s="59"/>
      <c r="U698" s="59"/>
      <c r="V698" s="59"/>
      <c r="W698" s="59"/>
      <c r="X698" s="59"/>
      <c r="Y698" s="59"/>
    </row>
    <row r="699" ht="35.25" customHeight="1">
      <c r="A699" s="59"/>
      <c r="B699" s="59"/>
      <c r="C699" s="59"/>
      <c r="D699" s="59"/>
      <c r="E699" s="59"/>
      <c r="F699" s="59"/>
      <c r="G699" s="59"/>
      <c r="H699" s="178"/>
      <c r="I699" s="178"/>
      <c r="J699" s="59"/>
      <c r="K699" s="59"/>
      <c r="L699" s="59"/>
      <c r="M699" s="59"/>
      <c r="N699" s="59"/>
      <c r="O699" s="59"/>
      <c r="P699" s="59"/>
      <c r="Q699" s="59"/>
      <c r="R699" s="59"/>
      <c r="S699" s="59"/>
      <c r="T699" s="59"/>
      <c r="U699" s="59"/>
      <c r="V699" s="59"/>
      <c r="W699" s="59"/>
      <c r="X699" s="59"/>
      <c r="Y699" s="59"/>
    </row>
    <row r="700" ht="35.25" customHeight="1">
      <c r="A700" s="59"/>
      <c r="B700" s="59"/>
      <c r="C700" s="59"/>
      <c r="D700" s="59"/>
      <c r="E700" s="59"/>
      <c r="F700" s="59"/>
      <c r="G700" s="59"/>
      <c r="H700" s="178"/>
      <c r="I700" s="178"/>
      <c r="J700" s="59"/>
      <c r="K700" s="59"/>
      <c r="L700" s="59"/>
      <c r="M700" s="59"/>
      <c r="N700" s="59"/>
      <c r="O700" s="59"/>
      <c r="P700" s="59"/>
      <c r="Q700" s="59"/>
      <c r="R700" s="59"/>
      <c r="S700" s="59"/>
      <c r="T700" s="59"/>
      <c r="U700" s="59"/>
      <c r="V700" s="59"/>
      <c r="W700" s="59"/>
      <c r="X700" s="59"/>
      <c r="Y700" s="59"/>
    </row>
    <row r="701" ht="35.25" customHeight="1">
      <c r="A701" s="59"/>
      <c r="B701" s="59"/>
      <c r="C701" s="59"/>
      <c r="D701" s="59"/>
      <c r="E701" s="59"/>
      <c r="F701" s="59"/>
      <c r="G701" s="59"/>
      <c r="H701" s="178"/>
      <c r="I701" s="178"/>
      <c r="J701" s="59"/>
      <c r="K701" s="59"/>
      <c r="L701" s="59"/>
      <c r="M701" s="59"/>
      <c r="N701" s="59"/>
      <c r="O701" s="59"/>
      <c r="P701" s="59"/>
      <c r="Q701" s="59"/>
      <c r="R701" s="59"/>
      <c r="S701" s="59"/>
      <c r="T701" s="59"/>
      <c r="U701" s="59"/>
      <c r="V701" s="59"/>
      <c r="W701" s="59"/>
      <c r="X701" s="59"/>
      <c r="Y701" s="59"/>
    </row>
    <row r="702" ht="35.25" customHeight="1">
      <c r="A702" s="59"/>
      <c r="B702" s="59"/>
      <c r="C702" s="59"/>
      <c r="D702" s="59"/>
      <c r="E702" s="59"/>
      <c r="F702" s="59"/>
      <c r="G702" s="59"/>
      <c r="H702" s="178"/>
      <c r="I702" s="178"/>
      <c r="J702" s="59"/>
      <c r="K702" s="59"/>
      <c r="L702" s="59"/>
      <c r="M702" s="59"/>
      <c r="N702" s="59"/>
      <c r="O702" s="59"/>
      <c r="P702" s="59"/>
      <c r="Q702" s="59"/>
      <c r="R702" s="59"/>
      <c r="S702" s="59"/>
      <c r="T702" s="59"/>
      <c r="U702" s="59"/>
      <c r="V702" s="59"/>
      <c r="W702" s="59"/>
      <c r="X702" s="59"/>
      <c r="Y702" s="59"/>
    </row>
    <row r="703" ht="35.25" customHeight="1">
      <c r="A703" s="59"/>
      <c r="B703" s="59"/>
      <c r="C703" s="59"/>
      <c r="D703" s="59"/>
      <c r="E703" s="59"/>
      <c r="F703" s="59"/>
      <c r="G703" s="59"/>
      <c r="H703" s="178"/>
      <c r="I703" s="178"/>
      <c r="J703" s="59"/>
      <c r="K703" s="59"/>
      <c r="L703" s="59"/>
      <c r="M703" s="59"/>
      <c r="N703" s="59"/>
      <c r="O703" s="59"/>
      <c r="P703" s="59"/>
      <c r="Q703" s="59"/>
      <c r="R703" s="59"/>
      <c r="S703" s="59"/>
      <c r="T703" s="59"/>
      <c r="U703" s="59"/>
      <c r="V703" s="59"/>
      <c r="W703" s="59"/>
      <c r="X703" s="59"/>
      <c r="Y703" s="59"/>
    </row>
    <row r="704" ht="35.25" customHeight="1">
      <c r="A704" s="59"/>
      <c r="B704" s="59"/>
      <c r="C704" s="59"/>
      <c r="D704" s="59"/>
      <c r="E704" s="59"/>
      <c r="F704" s="59"/>
      <c r="G704" s="59"/>
      <c r="H704" s="178"/>
      <c r="I704" s="178"/>
      <c r="J704" s="59"/>
      <c r="K704" s="59"/>
      <c r="L704" s="59"/>
      <c r="M704" s="59"/>
      <c r="N704" s="59"/>
      <c r="O704" s="59"/>
      <c r="P704" s="59"/>
      <c r="Q704" s="59"/>
      <c r="R704" s="59"/>
      <c r="S704" s="59"/>
      <c r="T704" s="59"/>
      <c r="U704" s="59"/>
      <c r="V704" s="59"/>
      <c r="W704" s="59"/>
      <c r="X704" s="59"/>
      <c r="Y704" s="59"/>
    </row>
    <row r="705" ht="35.25" customHeight="1">
      <c r="A705" s="59"/>
      <c r="B705" s="59"/>
      <c r="C705" s="59"/>
      <c r="D705" s="59"/>
      <c r="E705" s="59"/>
      <c r="F705" s="59"/>
      <c r="G705" s="59"/>
      <c r="H705" s="178"/>
      <c r="I705" s="178"/>
      <c r="J705" s="59"/>
      <c r="K705" s="59"/>
      <c r="L705" s="59"/>
      <c r="M705" s="59"/>
      <c r="N705" s="59"/>
      <c r="O705" s="59"/>
      <c r="P705" s="59"/>
      <c r="Q705" s="59"/>
      <c r="R705" s="59"/>
      <c r="S705" s="59"/>
      <c r="T705" s="59"/>
      <c r="U705" s="59"/>
      <c r="V705" s="59"/>
      <c r="W705" s="59"/>
      <c r="X705" s="59"/>
      <c r="Y705" s="59"/>
    </row>
    <row r="706" ht="35.25" customHeight="1">
      <c r="A706" s="59"/>
      <c r="B706" s="59"/>
      <c r="C706" s="59"/>
      <c r="D706" s="59"/>
      <c r="E706" s="59"/>
      <c r="F706" s="59"/>
      <c r="G706" s="59"/>
      <c r="H706" s="178"/>
      <c r="I706" s="178"/>
      <c r="J706" s="59"/>
      <c r="K706" s="59"/>
      <c r="L706" s="59"/>
      <c r="M706" s="59"/>
      <c r="N706" s="59"/>
      <c r="O706" s="59"/>
      <c r="P706" s="59"/>
      <c r="Q706" s="59"/>
      <c r="R706" s="59"/>
      <c r="S706" s="59"/>
      <c r="T706" s="59"/>
      <c r="U706" s="59"/>
      <c r="V706" s="59"/>
      <c r="W706" s="59"/>
      <c r="X706" s="59"/>
      <c r="Y706" s="59"/>
    </row>
    <row r="707" ht="35.25" customHeight="1">
      <c r="A707" s="59"/>
      <c r="B707" s="59"/>
      <c r="C707" s="59"/>
      <c r="D707" s="59"/>
      <c r="E707" s="59"/>
      <c r="F707" s="59"/>
      <c r="G707" s="59"/>
      <c r="H707" s="178"/>
      <c r="I707" s="178"/>
      <c r="J707" s="59"/>
      <c r="K707" s="59"/>
      <c r="L707" s="59"/>
      <c r="M707" s="59"/>
      <c r="N707" s="59"/>
      <c r="O707" s="59"/>
      <c r="P707" s="59"/>
      <c r="Q707" s="59"/>
      <c r="R707" s="59"/>
      <c r="S707" s="59"/>
      <c r="T707" s="59"/>
      <c r="U707" s="59"/>
      <c r="V707" s="59"/>
      <c r="W707" s="59"/>
      <c r="X707" s="59"/>
      <c r="Y707" s="59"/>
    </row>
    <row r="708" ht="35.25" customHeight="1">
      <c r="A708" s="59"/>
      <c r="B708" s="59"/>
      <c r="C708" s="59"/>
      <c r="D708" s="59"/>
      <c r="E708" s="59"/>
      <c r="F708" s="59"/>
      <c r="G708" s="59"/>
      <c r="H708" s="178"/>
      <c r="I708" s="178"/>
      <c r="J708" s="59"/>
      <c r="K708" s="59"/>
      <c r="L708" s="59"/>
      <c r="M708" s="59"/>
      <c r="N708" s="59"/>
      <c r="O708" s="59"/>
      <c r="P708" s="59"/>
      <c r="Q708" s="59"/>
      <c r="R708" s="59"/>
      <c r="S708" s="59"/>
      <c r="T708" s="59"/>
      <c r="U708" s="59"/>
      <c r="V708" s="59"/>
      <c r="W708" s="59"/>
      <c r="X708" s="59"/>
      <c r="Y708" s="59"/>
    </row>
    <row r="709" ht="35.25" customHeight="1">
      <c r="A709" s="59"/>
      <c r="B709" s="59"/>
      <c r="C709" s="59"/>
      <c r="D709" s="59"/>
      <c r="E709" s="59"/>
      <c r="F709" s="59"/>
      <c r="G709" s="59"/>
      <c r="H709" s="178"/>
      <c r="I709" s="178"/>
      <c r="J709" s="59"/>
      <c r="K709" s="59"/>
      <c r="L709" s="59"/>
      <c r="M709" s="59"/>
      <c r="N709" s="59"/>
      <c r="O709" s="59"/>
      <c r="P709" s="59"/>
      <c r="Q709" s="59"/>
      <c r="R709" s="59"/>
      <c r="S709" s="59"/>
      <c r="T709" s="59"/>
      <c r="U709" s="59"/>
      <c r="V709" s="59"/>
      <c r="W709" s="59"/>
      <c r="X709" s="59"/>
      <c r="Y709" s="59"/>
    </row>
    <row r="710" ht="35.25" customHeight="1">
      <c r="A710" s="59"/>
      <c r="B710" s="59"/>
      <c r="C710" s="59"/>
      <c r="D710" s="59"/>
      <c r="E710" s="59"/>
      <c r="F710" s="59"/>
      <c r="G710" s="59"/>
      <c r="H710" s="178"/>
      <c r="I710" s="178"/>
      <c r="J710" s="59"/>
      <c r="K710" s="59"/>
      <c r="L710" s="59"/>
      <c r="M710" s="59"/>
      <c r="N710" s="59"/>
      <c r="O710" s="59"/>
      <c r="P710" s="59"/>
      <c r="Q710" s="59"/>
      <c r="R710" s="59"/>
      <c r="S710" s="59"/>
      <c r="T710" s="59"/>
      <c r="U710" s="59"/>
      <c r="V710" s="59"/>
      <c r="W710" s="59"/>
      <c r="X710" s="59"/>
      <c r="Y710" s="59"/>
    </row>
    <row r="711" ht="35.25" customHeight="1">
      <c r="A711" s="59"/>
      <c r="B711" s="59"/>
      <c r="C711" s="59"/>
      <c r="D711" s="59"/>
      <c r="E711" s="59"/>
      <c r="F711" s="59"/>
      <c r="G711" s="59"/>
      <c r="H711" s="178"/>
      <c r="I711" s="178"/>
      <c r="J711" s="59"/>
      <c r="K711" s="59"/>
      <c r="L711" s="59"/>
      <c r="M711" s="59"/>
      <c r="N711" s="59"/>
      <c r="O711" s="59"/>
      <c r="P711" s="59"/>
      <c r="Q711" s="59"/>
      <c r="R711" s="59"/>
      <c r="S711" s="59"/>
      <c r="T711" s="59"/>
      <c r="U711" s="59"/>
      <c r="V711" s="59"/>
      <c r="W711" s="59"/>
      <c r="X711" s="59"/>
      <c r="Y711" s="59"/>
    </row>
    <row r="712" ht="35.25" customHeight="1">
      <c r="A712" s="59"/>
      <c r="B712" s="59"/>
      <c r="C712" s="59"/>
      <c r="D712" s="59"/>
      <c r="E712" s="59"/>
      <c r="F712" s="59"/>
      <c r="G712" s="59"/>
      <c r="H712" s="178"/>
      <c r="I712" s="178"/>
      <c r="J712" s="59"/>
      <c r="K712" s="59"/>
      <c r="L712" s="59"/>
      <c r="M712" s="59"/>
      <c r="N712" s="59"/>
      <c r="O712" s="59"/>
      <c r="P712" s="59"/>
      <c r="Q712" s="59"/>
      <c r="R712" s="59"/>
      <c r="S712" s="59"/>
      <c r="T712" s="59"/>
      <c r="U712" s="59"/>
      <c r="V712" s="59"/>
      <c r="W712" s="59"/>
      <c r="X712" s="59"/>
      <c r="Y712" s="59"/>
    </row>
    <row r="713" ht="35.25" customHeight="1">
      <c r="A713" s="59"/>
      <c r="B713" s="59"/>
      <c r="C713" s="59"/>
      <c r="D713" s="59"/>
      <c r="E713" s="59"/>
      <c r="F713" s="59"/>
      <c r="G713" s="59"/>
      <c r="H713" s="178"/>
      <c r="I713" s="178"/>
      <c r="J713" s="59"/>
      <c r="K713" s="59"/>
      <c r="L713" s="59"/>
      <c r="M713" s="59"/>
      <c r="N713" s="59"/>
      <c r="O713" s="59"/>
      <c r="P713" s="59"/>
      <c r="Q713" s="59"/>
      <c r="R713" s="59"/>
      <c r="S713" s="59"/>
      <c r="T713" s="59"/>
      <c r="U713" s="59"/>
      <c r="V713" s="59"/>
      <c r="W713" s="59"/>
      <c r="X713" s="59"/>
      <c r="Y713" s="59"/>
    </row>
    <row r="714" ht="35.25" customHeight="1">
      <c r="A714" s="59"/>
      <c r="B714" s="59"/>
      <c r="C714" s="59"/>
      <c r="D714" s="59"/>
      <c r="E714" s="59"/>
      <c r="F714" s="59"/>
      <c r="G714" s="59"/>
      <c r="H714" s="178"/>
      <c r="I714" s="178"/>
      <c r="J714" s="59"/>
      <c r="K714" s="59"/>
      <c r="L714" s="59"/>
      <c r="M714" s="59"/>
      <c r="N714" s="59"/>
      <c r="O714" s="59"/>
      <c r="P714" s="59"/>
      <c r="Q714" s="59"/>
      <c r="R714" s="59"/>
      <c r="S714" s="59"/>
      <c r="T714" s="59"/>
      <c r="U714" s="59"/>
      <c r="V714" s="59"/>
      <c r="W714" s="59"/>
      <c r="X714" s="59"/>
      <c r="Y714" s="59"/>
    </row>
    <row r="715" ht="35.25" customHeight="1">
      <c r="A715" s="59"/>
      <c r="B715" s="59"/>
      <c r="C715" s="59"/>
      <c r="D715" s="59"/>
      <c r="E715" s="59"/>
      <c r="F715" s="59"/>
      <c r="G715" s="59"/>
      <c r="H715" s="178"/>
      <c r="I715" s="178"/>
      <c r="J715" s="59"/>
      <c r="K715" s="59"/>
      <c r="L715" s="59"/>
      <c r="M715" s="59"/>
      <c r="N715" s="59"/>
      <c r="O715" s="59"/>
      <c r="P715" s="59"/>
      <c r="Q715" s="59"/>
      <c r="R715" s="59"/>
      <c r="S715" s="59"/>
      <c r="T715" s="59"/>
      <c r="U715" s="59"/>
      <c r="V715" s="59"/>
      <c r="W715" s="59"/>
      <c r="X715" s="59"/>
      <c r="Y715" s="59"/>
    </row>
    <row r="716" ht="35.25" customHeight="1">
      <c r="A716" s="59"/>
      <c r="B716" s="59"/>
      <c r="C716" s="59"/>
      <c r="D716" s="59"/>
      <c r="E716" s="59"/>
      <c r="F716" s="59"/>
      <c r="G716" s="59"/>
      <c r="H716" s="178"/>
      <c r="I716" s="178"/>
      <c r="J716" s="59"/>
      <c r="K716" s="59"/>
      <c r="L716" s="59"/>
      <c r="M716" s="59"/>
      <c r="N716" s="59"/>
      <c r="O716" s="59"/>
      <c r="P716" s="59"/>
      <c r="Q716" s="59"/>
      <c r="R716" s="59"/>
      <c r="S716" s="59"/>
      <c r="T716" s="59"/>
      <c r="U716" s="59"/>
      <c r="V716" s="59"/>
      <c r="W716" s="59"/>
      <c r="X716" s="59"/>
      <c r="Y716" s="59"/>
    </row>
    <row r="717" ht="35.25" customHeight="1">
      <c r="A717" s="59"/>
      <c r="B717" s="59"/>
      <c r="C717" s="59"/>
      <c r="D717" s="59"/>
      <c r="E717" s="59"/>
      <c r="F717" s="59"/>
      <c r="G717" s="59"/>
      <c r="H717" s="178"/>
      <c r="I717" s="178"/>
      <c r="J717" s="59"/>
      <c r="K717" s="59"/>
      <c r="L717" s="59"/>
      <c r="M717" s="59"/>
      <c r="N717" s="59"/>
      <c r="O717" s="59"/>
      <c r="P717" s="59"/>
      <c r="Q717" s="59"/>
      <c r="R717" s="59"/>
      <c r="S717" s="59"/>
      <c r="T717" s="59"/>
      <c r="U717" s="59"/>
      <c r="V717" s="59"/>
      <c r="W717" s="59"/>
      <c r="X717" s="59"/>
      <c r="Y717" s="59"/>
    </row>
    <row r="718" ht="35.25" customHeight="1">
      <c r="A718" s="59"/>
      <c r="B718" s="59"/>
      <c r="C718" s="59"/>
      <c r="D718" s="59"/>
      <c r="E718" s="59"/>
      <c r="F718" s="59"/>
      <c r="G718" s="59"/>
      <c r="H718" s="178"/>
      <c r="I718" s="178"/>
      <c r="J718" s="59"/>
      <c r="K718" s="59"/>
      <c r="L718" s="59"/>
      <c r="M718" s="59"/>
      <c r="N718" s="59"/>
      <c r="O718" s="59"/>
      <c r="P718" s="59"/>
      <c r="Q718" s="59"/>
      <c r="R718" s="59"/>
      <c r="S718" s="59"/>
      <c r="T718" s="59"/>
      <c r="U718" s="59"/>
      <c r="V718" s="59"/>
      <c r="W718" s="59"/>
      <c r="X718" s="59"/>
      <c r="Y718" s="59"/>
    </row>
    <row r="719" ht="35.25" customHeight="1">
      <c r="A719" s="59"/>
      <c r="B719" s="59"/>
      <c r="C719" s="59"/>
      <c r="D719" s="59"/>
      <c r="E719" s="59"/>
      <c r="F719" s="59"/>
      <c r="G719" s="59"/>
      <c r="H719" s="178"/>
      <c r="I719" s="178"/>
      <c r="J719" s="59"/>
      <c r="K719" s="59"/>
      <c r="L719" s="59"/>
      <c r="M719" s="59"/>
      <c r="N719" s="59"/>
      <c r="O719" s="59"/>
      <c r="P719" s="59"/>
      <c r="Q719" s="59"/>
      <c r="R719" s="59"/>
      <c r="S719" s="59"/>
      <c r="T719" s="59"/>
      <c r="U719" s="59"/>
      <c r="V719" s="59"/>
      <c r="W719" s="59"/>
      <c r="X719" s="59"/>
      <c r="Y719" s="59"/>
    </row>
    <row r="720" ht="35.25" customHeight="1">
      <c r="A720" s="59"/>
      <c r="B720" s="59"/>
      <c r="C720" s="59"/>
      <c r="D720" s="59"/>
      <c r="E720" s="59"/>
      <c r="F720" s="59"/>
      <c r="G720" s="59"/>
      <c r="H720" s="178"/>
      <c r="I720" s="178"/>
      <c r="J720" s="59"/>
      <c r="K720" s="59"/>
      <c r="L720" s="59"/>
      <c r="M720" s="59"/>
      <c r="N720" s="59"/>
      <c r="O720" s="59"/>
      <c r="P720" s="59"/>
      <c r="Q720" s="59"/>
      <c r="R720" s="59"/>
      <c r="S720" s="59"/>
      <c r="T720" s="59"/>
      <c r="U720" s="59"/>
      <c r="V720" s="59"/>
      <c r="W720" s="59"/>
      <c r="X720" s="59"/>
      <c r="Y720" s="59"/>
    </row>
    <row r="721" ht="35.25" customHeight="1">
      <c r="A721" s="59"/>
      <c r="B721" s="59"/>
      <c r="C721" s="59"/>
      <c r="D721" s="59"/>
      <c r="E721" s="59"/>
      <c r="F721" s="59"/>
      <c r="G721" s="59"/>
      <c r="H721" s="178"/>
      <c r="I721" s="178"/>
      <c r="J721" s="59"/>
      <c r="K721" s="59"/>
      <c r="L721" s="59"/>
      <c r="M721" s="59"/>
      <c r="N721" s="59"/>
      <c r="O721" s="59"/>
      <c r="P721" s="59"/>
      <c r="Q721" s="59"/>
      <c r="R721" s="59"/>
      <c r="S721" s="59"/>
      <c r="T721" s="59"/>
      <c r="U721" s="59"/>
      <c r="V721" s="59"/>
      <c r="W721" s="59"/>
      <c r="X721" s="59"/>
      <c r="Y721" s="59"/>
    </row>
    <row r="722" ht="35.25" customHeight="1">
      <c r="A722" s="59"/>
      <c r="B722" s="59"/>
      <c r="C722" s="59"/>
      <c r="D722" s="59"/>
      <c r="E722" s="59"/>
      <c r="F722" s="59"/>
      <c r="G722" s="59"/>
      <c r="H722" s="178"/>
      <c r="I722" s="178"/>
      <c r="J722" s="59"/>
      <c r="K722" s="59"/>
      <c r="L722" s="59"/>
      <c r="M722" s="59"/>
      <c r="N722" s="59"/>
      <c r="O722" s="59"/>
      <c r="P722" s="59"/>
      <c r="Q722" s="59"/>
      <c r="R722" s="59"/>
      <c r="S722" s="59"/>
      <c r="T722" s="59"/>
      <c r="U722" s="59"/>
      <c r="V722" s="59"/>
      <c r="W722" s="59"/>
      <c r="X722" s="59"/>
      <c r="Y722" s="59"/>
    </row>
    <row r="723" ht="35.25" customHeight="1">
      <c r="A723" s="59"/>
      <c r="B723" s="59"/>
      <c r="C723" s="59"/>
      <c r="D723" s="59"/>
      <c r="E723" s="59"/>
      <c r="F723" s="59"/>
      <c r="G723" s="59"/>
      <c r="H723" s="178"/>
      <c r="I723" s="178"/>
      <c r="J723" s="59"/>
      <c r="K723" s="59"/>
      <c r="L723" s="59"/>
      <c r="M723" s="59"/>
      <c r="N723" s="59"/>
      <c r="O723" s="59"/>
      <c r="P723" s="59"/>
      <c r="Q723" s="59"/>
      <c r="R723" s="59"/>
      <c r="S723" s="59"/>
      <c r="T723" s="59"/>
      <c r="U723" s="59"/>
      <c r="V723" s="59"/>
      <c r="W723" s="59"/>
      <c r="X723" s="59"/>
      <c r="Y723" s="59"/>
    </row>
    <row r="724" ht="35.25" customHeight="1">
      <c r="A724" s="59"/>
      <c r="B724" s="59"/>
      <c r="C724" s="59"/>
      <c r="D724" s="59"/>
      <c r="E724" s="59"/>
      <c r="F724" s="59"/>
      <c r="G724" s="59"/>
      <c r="H724" s="178"/>
      <c r="I724" s="178"/>
      <c r="J724" s="59"/>
      <c r="K724" s="59"/>
      <c r="L724" s="59"/>
      <c r="M724" s="59"/>
      <c r="N724" s="59"/>
      <c r="O724" s="59"/>
      <c r="P724" s="59"/>
      <c r="Q724" s="59"/>
      <c r="R724" s="59"/>
      <c r="S724" s="59"/>
      <c r="T724" s="59"/>
      <c r="U724" s="59"/>
      <c r="V724" s="59"/>
      <c r="W724" s="59"/>
      <c r="X724" s="59"/>
      <c r="Y724" s="59"/>
    </row>
    <row r="725" ht="35.25" customHeight="1">
      <c r="A725" s="59"/>
      <c r="B725" s="59"/>
      <c r="C725" s="59"/>
      <c r="D725" s="59"/>
      <c r="E725" s="59"/>
      <c r="F725" s="59"/>
      <c r="G725" s="59"/>
      <c r="H725" s="178"/>
      <c r="I725" s="178"/>
      <c r="J725" s="59"/>
      <c r="K725" s="59"/>
      <c r="L725" s="59"/>
      <c r="M725" s="59"/>
      <c r="N725" s="59"/>
      <c r="O725" s="59"/>
      <c r="P725" s="59"/>
      <c r="Q725" s="59"/>
      <c r="R725" s="59"/>
      <c r="S725" s="59"/>
      <c r="T725" s="59"/>
      <c r="U725" s="59"/>
      <c r="V725" s="59"/>
      <c r="W725" s="59"/>
      <c r="X725" s="59"/>
      <c r="Y725" s="59"/>
    </row>
    <row r="726" ht="35.25" customHeight="1">
      <c r="A726" s="59"/>
      <c r="B726" s="59"/>
      <c r="C726" s="59"/>
      <c r="D726" s="59"/>
      <c r="E726" s="59"/>
      <c r="F726" s="59"/>
      <c r="G726" s="59"/>
      <c r="H726" s="178"/>
      <c r="I726" s="178"/>
      <c r="J726" s="59"/>
      <c r="K726" s="59"/>
      <c r="L726" s="59"/>
      <c r="M726" s="59"/>
      <c r="N726" s="59"/>
      <c r="O726" s="59"/>
      <c r="P726" s="59"/>
      <c r="Q726" s="59"/>
      <c r="R726" s="59"/>
      <c r="S726" s="59"/>
      <c r="T726" s="59"/>
      <c r="U726" s="59"/>
      <c r="V726" s="59"/>
      <c r="W726" s="59"/>
      <c r="X726" s="59"/>
      <c r="Y726" s="59"/>
    </row>
    <row r="727" ht="35.25" customHeight="1">
      <c r="A727" s="59"/>
      <c r="B727" s="59"/>
      <c r="C727" s="59"/>
      <c r="D727" s="59"/>
      <c r="E727" s="59"/>
      <c r="F727" s="59"/>
      <c r="G727" s="59"/>
      <c r="H727" s="178"/>
      <c r="I727" s="178"/>
      <c r="J727" s="59"/>
      <c r="K727" s="59"/>
      <c r="L727" s="59"/>
      <c r="M727" s="59"/>
      <c r="N727" s="59"/>
      <c r="O727" s="59"/>
      <c r="P727" s="59"/>
      <c r="Q727" s="59"/>
      <c r="R727" s="59"/>
      <c r="S727" s="59"/>
      <c r="T727" s="59"/>
      <c r="U727" s="59"/>
      <c r="V727" s="59"/>
      <c r="W727" s="59"/>
      <c r="X727" s="59"/>
      <c r="Y727" s="59"/>
    </row>
    <row r="728" ht="35.25" customHeight="1">
      <c r="A728" s="59"/>
      <c r="B728" s="59"/>
      <c r="C728" s="59"/>
      <c r="D728" s="59"/>
      <c r="E728" s="59"/>
      <c r="F728" s="59"/>
      <c r="G728" s="59"/>
      <c r="H728" s="178"/>
      <c r="I728" s="178"/>
      <c r="J728" s="59"/>
      <c r="K728" s="59"/>
      <c r="L728" s="59"/>
      <c r="M728" s="59"/>
      <c r="N728" s="59"/>
      <c r="O728" s="59"/>
      <c r="P728" s="59"/>
      <c r="Q728" s="59"/>
      <c r="R728" s="59"/>
      <c r="S728" s="59"/>
      <c r="T728" s="59"/>
      <c r="U728" s="59"/>
      <c r="V728" s="59"/>
      <c r="W728" s="59"/>
      <c r="X728" s="59"/>
      <c r="Y728" s="59"/>
    </row>
    <row r="729" ht="35.25" customHeight="1">
      <c r="A729" s="59"/>
      <c r="B729" s="59"/>
      <c r="C729" s="59"/>
      <c r="D729" s="59"/>
      <c r="E729" s="59"/>
      <c r="F729" s="59"/>
      <c r="G729" s="59"/>
      <c r="H729" s="178"/>
      <c r="I729" s="178"/>
      <c r="J729" s="59"/>
      <c r="K729" s="59"/>
      <c r="L729" s="59"/>
      <c r="M729" s="59"/>
      <c r="N729" s="59"/>
      <c r="O729" s="59"/>
      <c r="P729" s="59"/>
      <c r="Q729" s="59"/>
      <c r="R729" s="59"/>
      <c r="S729" s="59"/>
      <c r="T729" s="59"/>
      <c r="U729" s="59"/>
      <c r="V729" s="59"/>
      <c r="W729" s="59"/>
      <c r="X729" s="59"/>
      <c r="Y729" s="59"/>
    </row>
    <row r="730" ht="35.25" customHeight="1">
      <c r="A730" s="59"/>
      <c r="B730" s="59"/>
      <c r="C730" s="59"/>
      <c r="D730" s="59"/>
      <c r="E730" s="59"/>
      <c r="F730" s="59"/>
      <c r="G730" s="59"/>
      <c r="H730" s="178"/>
      <c r="I730" s="178"/>
      <c r="J730" s="59"/>
      <c r="K730" s="59"/>
      <c r="L730" s="59"/>
      <c r="M730" s="59"/>
      <c r="N730" s="59"/>
      <c r="O730" s="59"/>
      <c r="P730" s="59"/>
      <c r="Q730" s="59"/>
      <c r="R730" s="59"/>
      <c r="S730" s="59"/>
      <c r="T730" s="59"/>
      <c r="U730" s="59"/>
      <c r="V730" s="59"/>
      <c r="W730" s="59"/>
      <c r="X730" s="59"/>
      <c r="Y730" s="59"/>
    </row>
    <row r="731" ht="35.25" customHeight="1">
      <c r="A731" s="59"/>
      <c r="B731" s="59"/>
      <c r="C731" s="59"/>
      <c r="D731" s="59"/>
      <c r="E731" s="59"/>
      <c r="F731" s="59"/>
      <c r="G731" s="59"/>
      <c r="H731" s="178"/>
      <c r="I731" s="178"/>
      <c r="J731" s="59"/>
      <c r="K731" s="59"/>
      <c r="L731" s="59"/>
      <c r="M731" s="59"/>
      <c r="N731" s="59"/>
      <c r="O731" s="59"/>
      <c r="P731" s="59"/>
      <c r="Q731" s="59"/>
      <c r="R731" s="59"/>
      <c r="S731" s="59"/>
      <c r="T731" s="59"/>
      <c r="U731" s="59"/>
      <c r="V731" s="59"/>
      <c r="W731" s="59"/>
      <c r="X731" s="59"/>
      <c r="Y731" s="59"/>
    </row>
    <row r="732" ht="35.25" customHeight="1">
      <c r="A732" s="59"/>
      <c r="B732" s="59"/>
      <c r="C732" s="59"/>
      <c r="D732" s="59"/>
      <c r="E732" s="59"/>
      <c r="F732" s="59"/>
      <c r="G732" s="59"/>
      <c r="H732" s="178"/>
      <c r="I732" s="178"/>
      <c r="J732" s="59"/>
      <c r="K732" s="59"/>
      <c r="L732" s="59"/>
      <c r="M732" s="59"/>
      <c r="N732" s="59"/>
      <c r="O732" s="59"/>
      <c r="P732" s="59"/>
      <c r="Q732" s="59"/>
      <c r="R732" s="59"/>
      <c r="S732" s="59"/>
      <c r="T732" s="59"/>
      <c r="U732" s="59"/>
      <c r="V732" s="59"/>
      <c r="W732" s="59"/>
      <c r="X732" s="59"/>
      <c r="Y732" s="59"/>
    </row>
    <row r="733" ht="35.25" customHeight="1">
      <c r="A733" s="59"/>
      <c r="B733" s="59"/>
      <c r="C733" s="59"/>
      <c r="D733" s="59"/>
      <c r="E733" s="59"/>
      <c r="F733" s="59"/>
      <c r="G733" s="59"/>
      <c r="H733" s="178"/>
      <c r="I733" s="178"/>
      <c r="J733" s="59"/>
      <c r="K733" s="59"/>
      <c r="L733" s="59"/>
      <c r="M733" s="59"/>
      <c r="N733" s="59"/>
      <c r="O733" s="59"/>
      <c r="P733" s="59"/>
      <c r="Q733" s="59"/>
      <c r="R733" s="59"/>
      <c r="S733" s="59"/>
      <c r="T733" s="59"/>
      <c r="U733" s="59"/>
      <c r="V733" s="59"/>
      <c r="W733" s="59"/>
      <c r="X733" s="59"/>
      <c r="Y733" s="59"/>
    </row>
    <row r="734" ht="35.25" customHeight="1">
      <c r="A734" s="59"/>
      <c r="B734" s="59"/>
      <c r="C734" s="59"/>
      <c r="D734" s="59"/>
      <c r="E734" s="59"/>
      <c r="F734" s="59"/>
      <c r="G734" s="59"/>
      <c r="H734" s="178"/>
      <c r="I734" s="178"/>
      <c r="J734" s="59"/>
      <c r="K734" s="59"/>
      <c r="L734" s="59"/>
      <c r="M734" s="59"/>
      <c r="N734" s="59"/>
      <c r="O734" s="59"/>
      <c r="P734" s="59"/>
      <c r="Q734" s="59"/>
      <c r="R734" s="59"/>
      <c r="S734" s="59"/>
      <c r="T734" s="59"/>
      <c r="U734" s="59"/>
      <c r="V734" s="59"/>
      <c r="W734" s="59"/>
      <c r="X734" s="59"/>
      <c r="Y734" s="59"/>
    </row>
    <row r="735" ht="35.25" customHeight="1">
      <c r="A735" s="59"/>
      <c r="B735" s="59"/>
      <c r="C735" s="59"/>
      <c r="D735" s="59"/>
      <c r="E735" s="59"/>
      <c r="F735" s="59"/>
      <c r="G735" s="59"/>
      <c r="H735" s="178"/>
      <c r="I735" s="178"/>
      <c r="J735" s="59"/>
      <c r="K735" s="59"/>
      <c r="L735" s="59"/>
      <c r="M735" s="59"/>
      <c r="N735" s="59"/>
      <c r="O735" s="59"/>
      <c r="P735" s="59"/>
      <c r="Q735" s="59"/>
      <c r="R735" s="59"/>
      <c r="S735" s="59"/>
      <c r="T735" s="59"/>
      <c r="U735" s="59"/>
      <c r="V735" s="59"/>
      <c r="W735" s="59"/>
      <c r="X735" s="59"/>
      <c r="Y735" s="59"/>
    </row>
    <row r="736" ht="35.25" customHeight="1">
      <c r="A736" s="59"/>
      <c r="B736" s="59"/>
      <c r="C736" s="59"/>
      <c r="D736" s="59"/>
      <c r="E736" s="59"/>
      <c r="F736" s="59"/>
      <c r="G736" s="59"/>
      <c r="H736" s="178"/>
      <c r="I736" s="178"/>
      <c r="J736" s="59"/>
      <c r="K736" s="59"/>
      <c r="L736" s="59"/>
      <c r="M736" s="59"/>
      <c r="N736" s="59"/>
      <c r="O736" s="59"/>
      <c r="P736" s="59"/>
      <c r="Q736" s="59"/>
      <c r="R736" s="59"/>
      <c r="S736" s="59"/>
      <c r="T736" s="59"/>
      <c r="U736" s="59"/>
      <c r="V736" s="59"/>
      <c r="W736" s="59"/>
      <c r="X736" s="59"/>
      <c r="Y736" s="59"/>
    </row>
    <row r="737" ht="35.25" customHeight="1">
      <c r="A737" s="59"/>
      <c r="B737" s="59"/>
      <c r="C737" s="59"/>
      <c r="D737" s="59"/>
      <c r="E737" s="59"/>
      <c r="F737" s="59"/>
      <c r="G737" s="59"/>
      <c r="H737" s="178"/>
      <c r="I737" s="178"/>
      <c r="J737" s="59"/>
      <c r="K737" s="59"/>
      <c r="L737" s="59"/>
      <c r="M737" s="59"/>
      <c r="N737" s="59"/>
      <c r="O737" s="59"/>
      <c r="P737" s="59"/>
      <c r="Q737" s="59"/>
      <c r="R737" s="59"/>
      <c r="S737" s="59"/>
      <c r="T737" s="59"/>
      <c r="U737" s="59"/>
      <c r="V737" s="59"/>
      <c r="W737" s="59"/>
      <c r="X737" s="59"/>
      <c r="Y737" s="59"/>
    </row>
    <row r="738" ht="35.25" customHeight="1">
      <c r="A738" s="59"/>
      <c r="B738" s="59"/>
      <c r="C738" s="59"/>
      <c r="D738" s="59"/>
      <c r="E738" s="59"/>
      <c r="F738" s="59"/>
      <c r="G738" s="59"/>
      <c r="H738" s="178"/>
      <c r="I738" s="178"/>
      <c r="J738" s="59"/>
      <c r="K738" s="59"/>
      <c r="L738" s="59"/>
      <c r="M738" s="59"/>
      <c r="N738" s="59"/>
      <c r="O738" s="59"/>
      <c r="P738" s="59"/>
      <c r="Q738" s="59"/>
      <c r="R738" s="59"/>
      <c r="S738" s="59"/>
      <c r="T738" s="59"/>
      <c r="U738" s="59"/>
      <c r="V738" s="59"/>
      <c r="W738" s="59"/>
      <c r="X738" s="59"/>
      <c r="Y738" s="59"/>
    </row>
    <row r="739" ht="35.25" customHeight="1">
      <c r="A739" s="59"/>
      <c r="B739" s="59"/>
      <c r="C739" s="59"/>
      <c r="D739" s="59"/>
      <c r="E739" s="59"/>
      <c r="F739" s="59"/>
      <c r="G739" s="59"/>
      <c r="H739" s="178"/>
      <c r="I739" s="178"/>
      <c r="J739" s="59"/>
      <c r="K739" s="59"/>
      <c r="L739" s="59"/>
      <c r="M739" s="59"/>
      <c r="N739" s="59"/>
      <c r="O739" s="59"/>
      <c r="P739" s="59"/>
      <c r="Q739" s="59"/>
      <c r="R739" s="59"/>
      <c r="S739" s="59"/>
      <c r="T739" s="59"/>
      <c r="U739" s="59"/>
      <c r="V739" s="59"/>
      <c r="W739" s="59"/>
      <c r="X739" s="59"/>
      <c r="Y739" s="59"/>
    </row>
    <row r="740" ht="35.25" customHeight="1">
      <c r="A740" s="59"/>
      <c r="B740" s="59"/>
      <c r="C740" s="59"/>
      <c r="D740" s="59"/>
      <c r="E740" s="59"/>
      <c r="F740" s="59"/>
      <c r="G740" s="59"/>
      <c r="H740" s="178"/>
      <c r="I740" s="178"/>
      <c r="J740" s="59"/>
      <c r="K740" s="59"/>
      <c r="L740" s="59"/>
      <c r="M740" s="59"/>
      <c r="N740" s="59"/>
      <c r="O740" s="59"/>
      <c r="P740" s="59"/>
      <c r="Q740" s="59"/>
      <c r="R740" s="59"/>
      <c r="S740" s="59"/>
      <c r="T740" s="59"/>
      <c r="U740" s="59"/>
      <c r="V740" s="59"/>
      <c r="W740" s="59"/>
      <c r="X740" s="59"/>
      <c r="Y740" s="59"/>
    </row>
    <row r="741" ht="35.25" customHeight="1">
      <c r="A741" s="59"/>
      <c r="B741" s="59"/>
      <c r="C741" s="59"/>
      <c r="D741" s="59"/>
      <c r="E741" s="59"/>
      <c r="F741" s="59"/>
      <c r="G741" s="59"/>
      <c r="H741" s="178"/>
      <c r="I741" s="178"/>
      <c r="J741" s="59"/>
      <c r="K741" s="59"/>
      <c r="L741" s="59"/>
      <c r="M741" s="59"/>
      <c r="N741" s="59"/>
      <c r="O741" s="59"/>
      <c r="P741" s="59"/>
      <c r="Q741" s="59"/>
      <c r="R741" s="59"/>
      <c r="S741" s="59"/>
      <c r="T741" s="59"/>
      <c r="U741" s="59"/>
      <c r="V741" s="59"/>
      <c r="W741" s="59"/>
      <c r="X741" s="59"/>
      <c r="Y741" s="59"/>
    </row>
    <row r="742" ht="35.25" customHeight="1">
      <c r="A742" s="59"/>
      <c r="B742" s="59"/>
      <c r="C742" s="59"/>
      <c r="D742" s="59"/>
      <c r="E742" s="59"/>
      <c r="F742" s="59"/>
      <c r="G742" s="59"/>
      <c r="H742" s="178"/>
      <c r="I742" s="178"/>
      <c r="J742" s="59"/>
      <c r="K742" s="59"/>
      <c r="L742" s="59"/>
      <c r="M742" s="59"/>
      <c r="N742" s="59"/>
      <c r="O742" s="59"/>
      <c r="P742" s="59"/>
      <c r="Q742" s="59"/>
      <c r="R742" s="59"/>
      <c r="S742" s="59"/>
      <c r="T742" s="59"/>
      <c r="U742" s="59"/>
      <c r="V742" s="59"/>
      <c r="W742" s="59"/>
      <c r="X742" s="59"/>
      <c r="Y742" s="59"/>
    </row>
    <row r="743" ht="35.25" customHeight="1">
      <c r="A743" s="59"/>
      <c r="B743" s="59"/>
      <c r="C743" s="59"/>
      <c r="D743" s="59"/>
      <c r="E743" s="59"/>
      <c r="F743" s="59"/>
      <c r="G743" s="59"/>
      <c r="H743" s="178"/>
      <c r="I743" s="178"/>
      <c r="J743" s="59"/>
      <c r="K743" s="59"/>
      <c r="L743" s="59"/>
      <c r="M743" s="59"/>
      <c r="N743" s="59"/>
      <c r="O743" s="59"/>
      <c r="P743" s="59"/>
      <c r="Q743" s="59"/>
      <c r="R743" s="59"/>
      <c r="S743" s="59"/>
      <c r="T743" s="59"/>
      <c r="U743" s="59"/>
      <c r="V743" s="59"/>
      <c r="W743" s="59"/>
      <c r="X743" s="59"/>
      <c r="Y743" s="59"/>
    </row>
    <row r="744" ht="35.25" customHeight="1">
      <c r="A744" s="59"/>
      <c r="B744" s="59"/>
      <c r="C744" s="59"/>
      <c r="D744" s="59"/>
      <c r="E744" s="59"/>
      <c r="F744" s="59"/>
      <c r="G744" s="59"/>
      <c r="H744" s="178"/>
      <c r="I744" s="178"/>
      <c r="J744" s="59"/>
      <c r="K744" s="59"/>
      <c r="L744" s="59"/>
      <c r="M744" s="59"/>
      <c r="N744" s="59"/>
      <c r="O744" s="59"/>
      <c r="P744" s="59"/>
      <c r="Q744" s="59"/>
      <c r="R744" s="59"/>
      <c r="S744" s="59"/>
      <c r="T744" s="59"/>
      <c r="U744" s="59"/>
      <c r="V744" s="59"/>
      <c r="W744" s="59"/>
      <c r="X744" s="59"/>
      <c r="Y744" s="59"/>
    </row>
    <row r="745" ht="35.25" customHeight="1">
      <c r="A745" s="59"/>
      <c r="B745" s="59"/>
      <c r="C745" s="59"/>
      <c r="D745" s="59"/>
      <c r="E745" s="59"/>
      <c r="F745" s="59"/>
      <c r="G745" s="59"/>
      <c r="H745" s="178"/>
      <c r="I745" s="178"/>
      <c r="J745" s="59"/>
      <c r="K745" s="59"/>
      <c r="L745" s="59"/>
      <c r="M745" s="59"/>
      <c r="N745" s="59"/>
      <c r="O745" s="59"/>
      <c r="P745" s="59"/>
      <c r="Q745" s="59"/>
      <c r="R745" s="59"/>
      <c r="S745" s="59"/>
      <c r="T745" s="59"/>
      <c r="U745" s="59"/>
      <c r="V745" s="59"/>
      <c r="W745" s="59"/>
      <c r="X745" s="59"/>
      <c r="Y745" s="59"/>
    </row>
    <row r="746" ht="35.25" customHeight="1">
      <c r="A746" s="59"/>
      <c r="B746" s="59"/>
      <c r="C746" s="59"/>
      <c r="D746" s="59"/>
      <c r="E746" s="59"/>
      <c r="F746" s="59"/>
      <c r="G746" s="59"/>
      <c r="H746" s="178"/>
      <c r="I746" s="178"/>
      <c r="J746" s="59"/>
      <c r="K746" s="59"/>
      <c r="L746" s="59"/>
      <c r="M746" s="59"/>
      <c r="N746" s="59"/>
      <c r="O746" s="59"/>
      <c r="P746" s="59"/>
      <c r="Q746" s="59"/>
      <c r="R746" s="59"/>
      <c r="S746" s="59"/>
      <c r="T746" s="59"/>
      <c r="U746" s="59"/>
      <c r="V746" s="59"/>
      <c r="W746" s="59"/>
      <c r="X746" s="59"/>
      <c r="Y746" s="59"/>
    </row>
    <row r="747" ht="35.25" customHeight="1">
      <c r="A747" s="59"/>
      <c r="B747" s="59"/>
      <c r="C747" s="59"/>
      <c r="D747" s="59"/>
      <c r="E747" s="59"/>
      <c r="F747" s="59"/>
      <c r="G747" s="59"/>
      <c r="H747" s="178"/>
      <c r="I747" s="178"/>
      <c r="J747" s="59"/>
      <c r="K747" s="59"/>
      <c r="L747" s="59"/>
      <c r="M747" s="59"/>
      <c r="N747" s="59"/>
      <c r="O747" s="59"/>
      <c r="P747" s="59"/>
      <c r="Q747" s="59"/>
      <c r="R747" s="59"/>
      <c r="S747" s="59"/>
      <c r="T747" s="59"/>
      <c r="U747" s="59"/>
      <c r="V747" s="59"/>
      <c r="W747" s="59"/>
      <c r="X747" s="59"/>
      <c r="Y747" s="59"/>
    </row>
    <row r="748" ht="35.25" customHeight="1">
      <c r="A748" s="59"/>
      <c r="B748" s="59"/>
      <c r="C748" s="59"/>
      <c r="D748" s="59"/>
      <c r="E748" s="59"/>
      <c r="F748" s="59"/>
      <c r="G748" s="59"/>
      <c r="H748" s="178"/>
      <c r="I748" s="178"/>
      <c r="J748" s="59"/>
      <c r="K748" s="59"/>
      <c r="L748" s="59"/>
      <c r="M748" s="59"/>
      <c r="N748" s="59"/>
      <c r="O748" s="59"/>
      <c r="P748" s="59"/>
      <c r="Q748" s="59"/>
      <c r="R748" s="59"/>
      <c r="S748" s="59"/>
      <c r="T748" s="59"/>
      <c r="U748" s="59"/>
      <c r="V748" s="59"/>
      <c r="W748" s="59"/>
      <c r="X748" s="59"/>
      <c r="Y748" s="59"/>
    </row>
    <row r="749" ht="35.25" customHeight="1">
      <c r="A749" s="59"/>
      <c r="B749" s="59"/>
      <c r="C749" s="59"/>
      <c r="D749" s="59"/>
      <c r="E749" s="59"/>
      <c r="F749" s="59"/>
      <c r="G749" s="59"/>
      <c r="H749" s="178"/>
      <c r="I749" s="178"/>
      <c r="J749" s="59"/>
      <c r="K749" s="59"/>
      <c r="L749" s="59"/>
      <c r="M749" s="59"/>
      <c r="N749" s="59"/>
      <c r="O749" s="59"/>
      <c r="P749" s="59"/>
      <c r="Q749" s="59"/>
      <c r="R749" s="59"/>
      <c r="S749" s="59"/>
      <c r="T749" s="59"/>
      <c r="U749" s="59"/>
      <c r="V749" s="59"/>
      <c r="W749" s="59"/>
      <c r="X749" s="59"/>
      <c r="Y749" s="59"/>
    </row>
    <row r="750" ht="35.25" customHeight="1">
      <c r="A750" s="59"/>
      <c r="B750" s="59"/>
      <c r="C750" s="59"/>
      <c r="D750" s="59"/>
      <c r="E750" s="59"/>
      <c r="F750" s="59"/>
      <c r="G750" s="59"/>
      <c r="H750" s="178"/>
      <c r="I750" s="178"/>
      <c r="J750" s="59"/>
      <c r="K750" s="59"/>
      <c r="L750" s="59"/>
      <c r="M750" s="59"/>
      <c r="N750" s="59"/>
      <c r="O750" s="59"/>
      <c r="P750" s="59"/>
      <c r="Q750" s="59"/>
      <c r="R750" s="59"/>
      <c r="S750" s="59"/>
      <c r="T750" s="59"/>
      <c r="U750" s="59"/>
      <c r="V750" s="59"/>
      <c r="W750" s="59"/>
      <c r="X750" s="59"/>
      <c r="Y750" s="59"/>
    </row>
    <row r="751" ht="35.25" customHeight="1">
      <c r="A751" s="59"/>
      <c r="B751" s="59"/>
      <c r="C751" s="59"/>
      <c r="D751" s="59"/>
      <c r="E751" s="59"/>
      <c r="F751" s="59"/>
      <c r="G751" s="59"/>
      <c r="H751" s="178"/>
      <c r="I751" s="178"/>
      <c r="J751" s="59"/>
      <c r="K751" s="59"/>
      <c r="L751" s="59"/>
      <c r="M751" s="59"/>
      <c r="N751" s="59"/>
      <c r="O751" s="59"/>
      <c r="P751" s="59"/>
      <c r="Q751" s="59"/>
      <c r="R751" s="59"/>
      <c r="S751" s="59"/>
      <c r="T751" s="59"/>
      <c r="U751" s="59"/>
      <c r="V751" s="59"/>
      <c r="W751" s="59"/>
      <c r="X751" s="59"/>
      <c r="Y751" s="59"/>
    </row>
    <row r="752" ht="35.25" customHeight="1">
      <c r="A752" s="59"/>
      <c r="B752" s="59"/>
      <c r="C752" s="59"/>
      <c r="D752" s="59"/>
      <c r="E752" s="59"/>
      <c r="F752" s="59"/>
      <c r="G752" s="59"/>
      <c r="H752" s="178"/>
      <c r="I752" s="178"/>
      <c r="J752" s="59"/>
      <c r="K752" s="59"/>
      <c r="L752" s="59"/>
      <c r="M752" s="59"/>
      <c r="N752" s="59"/>
      <c r="O752" s="59"/>
      <c r="P752" s="59"/>
      <c r="Q752" s="59"/>
      <c r="R752" s="59"/>
      <c r="S752" s="59"/>
      <c r="T752" s="59"/>
      <c r="U752" s="59"/>
      <c r="V752" s="59"/>
      <c r="W752" s="59"/>
      <c r="X752" s="59"/>
      <c r="Y752" s="59"/>
    </row>
    <row r="753" ht="35.25" customHeight="1">
      <c r="A753" s="59"/>
      <c r="B753" s="59"/>
      <c r="C753" s="59"/>
      <c r="D753" s="59"/>
      <c r="E753" s="59"/>
      <c r="F753" s="59"/>
      <c r="G753" s="59"/>
      <c r="H753" s="178"/>
      <c r="I753" s="178"/>
      <c r="J753" s="59"/>
      <c r="K753" s="59"/>
      <c r="L753" s="59"/>
      <c r="M753" s="59"/>
      <c r="N753" s="59"/>
      <c r="O753" s="59"/>
      <c r="P753" s="59"/>
      <c r="Q753" s="59"/>
      <c r="R753" s="59"/>
      <c r="S753" s="59"/>
      <c r="T753" s="59"/>
      <c r="U753" s="59"/>
      <c r="V753" s="59"/>
      <c r="W753" s="59"/>
      <c r="X753" s="59"/>
      <c r="Y753" s="59"/>
    </row>
    <row r="754" ht="35.25" customHeight="1">
      <c r="A754" s="59"/>
      <c r="B754" s="59"/>
      <c r="C754" s="59"/>
      <c r="D754" s="59"/>
      <c r="E754" s="59"/>
      <c r="F754" s="59"/>
      <c r="G754" s="59"/>
      <c r="H754" s="178"/>
      <c r="I754" s="178"/>
      <c r="J754" s="59"/>
      <c r="K754" s="59"/>
      <c r="L754" s="59"/>
      <c r="M754" s="59"/>
      <c r="N754" s="59"/>
      <c r="O754" s="59"/>
      <c r="P754" s="59"/>
      <c r="Q754" s="59"/>
      <c r="R754" s="59"/>
      <c r="S754" s="59"/>
      <c r="T754" s="59"/>
      <c r="U754" s="59"/>
      <c r="V754" s="59"/>
      <c r="W754" s="59"/>
      <c r="X754" s="59"/>
      <c r="Y754" s="59"/>
    </row>
    <row r="755" ht="35.25" customHeight="1">
      <c r="A755" s="59"/>
      <c r="B755" s="59"/>
      <c r="C755" s="59"/>
      <c r="D755" s="59"/>
      <c r="E755" s="59"/>
      <c r="F755" s="59"/>
      <c r="G755" s="59"/>
      <c r="H755" s="178"/>
      <c r="I755" s="178"/>
      <c r="J755" s="59"/>
      <c r="K755" s="59"/>
      <c r="L755" s="59"/>
      <c r="M755" s="59"/>
      <c r="N755" s="59"/>
      <c r="O755" s="59"/>
      <c r="P755" s="59"/>
      <c r="Q755" s="59"/>
      <c r="R755" s="59"/>
      <c r="S755" s="59"/>
      <c r="T755" s="59"/>
      <c r="U755" s="59"/>
      <c r="V755" s="59"/>
      <c r="W755" s="59"/>
      <c r="X755" s="59"/>
      <c r="Y755" s="59"/>
    </row>
    <row r="756" ht="35.25" customHeight="1">
      <c r="A756" s="59"/>
      <c r="B756" s="59"/>
      <c r="C756" s="59"/>
      <c r="D756" s="59"/>
      <c r="E756" s="59"/>
      <c r="F756" s="59"/>
      <c r="G756" s="59"/>
      <c r="H756" s="178"/>
      <c r="I756" s="178"/>
      <c r="J756" s="59"/>
      <c r="K756" s="59"/>
      <c r="L756" s="59"/>
      <c r="M756" s="59"/>
      <c r="N756" s="59"/>
      <c r="O756" s="59"/>
      <c r="P756" s="59"/>
      <c r="Q756" s="59"/>
      <c r="R756" s="59"/>
      <c r="S756" s="59"/>
      <c r="T756" s="59"/>
      <c r="U756" s="59"/>
      <c r="V756" s="59"/>
      <c r="W756" s="59"/>
      <c r="X756" s="59"/>
      <c r="Y756" s="59"/>
    </row>
    <row r="757" ht="35.25" customHeight="1">
      <c r="A757" s="59"/>
      <c r="B757" s="59"/>
      <c r="C757" s="59"/>
      <c r="D757" s="59"/>
      <c r="E757" s="59"/>
      <c r="F757" s="59"/>
      <c r="G757" s="59"/>
      <c r="H757" s="178"/>
      <c r="I757" s="178"/>
      <c r="J757" s="59"/>
      <c r="K757" s="59"/>
      <c r="L757" s="59"/>
      <c r="M757" s="59"/>
      <c r="N757" s="59"/>
      <c r="O757" s="59"/>
      <c r="P757" s="59"/>
      <c r="Q757" s="59"/>
      <c r="R757" s="59"/>
      <c r="S757" s="59"/>
      <c r="T757" s="59"/>
      <c r="U757" s="59"/>
      <c r="V757" s="59"/>
      <c r="W757" s="59"/>
      <c r="X757" s="59"/>
      <c r="Y757" s="59"/>
    </row>
    <row r="758" ht="35.25" customHeight="1">
      <c r="A758" s="59"/>
      <c r="B758" s="59"/>
      <c r="C758" s="59"/>
      <c r="D758" s="59"/>
      <c r="E758" s="59"/>
      <c r="F758" s="59"/>
      <c r="G758" s="59"/>
      <c r="H758" s="178"/>
      <c r="I758" s="178"/>
      <c r="J758" s="59"/>
      <c r="K758" s="59"/>
      <c r="L758" s="59"/>
      <c r="M758" s="59"/>
      <c r="N758" s="59"/>
      <c r="O758" s="59"/>
      <c r="P758" s="59"/>
      <c r="Q758" s="59"/>
      <c r="R758" s="59"/>
      <c r="S758" s="59"/>
      <c r="T758" s="59"/>
      <c r="U758" s="59"/>
      <c r="V758" s="59"/>
      <c r="W758" s="59"/>
      <c r="X758" s="59"/>
      <c r="Y758" s="59"/>
    </row>
    <row r="759" ht="35.25" customHeight="1">
      <c r="A759" s="59"/>
      <c r="B759" s="59"/>
      <c r="C759" s="59"/>
      <c r="D759" s="59"/>
      <c r="E759" s="59"/>
      <c r="F759" s="59"/>
      <c r="G759" s="59"/>
      <c r="H759" s="178"/>
      <c r="I759" s="178"/>
      <c r="J759" s="59"/>
      <c r="K759" s="59"/>
      <c r="L759" s="59"/>
      <c r="M759" s="59"/>
      <c r="N759" s="59"/>
      <c r="O759" s="59"/>
      <c r="P759" s="59"/>
      <c r="Q759" s="59"/>
      <c r="R759" s="59"/>
      <c r="S759" s="59"/>
      <c r="T759" s="59"/>
      <c r="U759" s="59"/>
      <c r="V759" s="59"/>
      <c r="W759" s="59"/>
      <c r="X759" s="59"/>
      <c r="Y759" s="59"/>
    </row>
    <row r="760" ht="35.25" customHeight="1">
      <c r="A760" s="59"/>
      <c r="B760" s="59"/>
      <c r="C760" s="59"/>
      <c r="D760" s="59"/>
      <c r="E760" s="59"/>
      <c r="F760" s="59"/>
      <c r="G760" s="59"/>
      <c r="H760" s="178"/>
      <c r="I760" s="178"/>
      <c r="J760" s="59"/>
      <c r="K760" s="59"/>
      <c r="L760" s="59"/>
      <c r="M760" s="59"/>
      <c r="N760" s="59"/>
      <c r="O760" s="59"/>
      <c r="P760" s="59"/>
      <c r="Q760" s="59"/>
      <c r="R760" s="59"/>
      <c r="S760" s="59"/>
      <c r="T760" s="59"/>
      <c r="U760" s="59"/>
      <c r="V760" s="59"/>
      <c r="W760" s="59"/>
      <c r="X760" s="59"/>
      <c r="Y760" s="59"/>
    </row>
    <row r="761" ht="35.25" customHeight="1">
      <c r="A761" s="59"/>
      <c r="B761" s="59"/>
      <c r="C761" s="59"/>
      <c r="D761" s="59"/>
      <c r="E761" s="59"/>
      <c r="F761" s="59"/>
      <c r="G761" s="59"/>
      <c r="H761" s="178"/>
      <c r="I761" s="178"/>
      <c r="J761" s="59"/>
      <c r="K761" s="59"/>
      <c r="L761" s="59"/>
      <c r="M761" s="59"/>
      <c r="N761" s="59"/>
      <c r="O761" s="59"/>
      <c r="P761" s="59"/>
      <c r="Q761" s="59"/>
      <c r="R761" s="59"/>
      <c r="S761" s="59"/>
      <c r="T761" s="59"/>
      <c r="U761" s="59"/>
      <c r="V761" s="59"/>
      <c r="W761" s="59"/>
      <c r="X761" s="59"/>
      <c r="Y761" s="59"/>
    </row>
    <row r="762" ht="35.25" customHeight="1">
      <c r="A762" s="59"/>
      <c r="B762" s="59"/>
      <c r="C762" s="59"/>
      <c r="D762" s="59"/>
      <c r="E762" s="59"/>
      <c r="F762" s="59"/>
      <c r="G762" s="59"/>
      <c r="H762" s="178"/>
      <c r="I762" s="178"/>
      <c r="J762" s="59"/>
      <c r="K762" s="59"/>
      <c r="L762" s="59"/>
      <c r="M762" s="59"/>
      <c r="N762" s="59"/>
      <c r="O762" s="59"/>
      <c r="P762" s="59"/>
      <c r="Q762" s="59"/>
      <c r="R762" s="59"/>
      <c r="S762" s="59"/>
      <c r="T762" s="59"/>
      <c r="U762" s="59"/>
      <c r="V762" s="59"/>
      <c r="W762" s="59"/>
      <c r="X762" s="59"/>
      <c r="Y762" s="59"/>
    </row>
    <row r="763" ht="35.25" customHeight="1">
      <c r="A763" s="59"/>
      <c r="B763" s="59"/>
      <c r="C763" s="59"/>
      <c r="D763" s="59"/>
      <c r="E763" s="59"/>
      <c r="F763" s="59"/>
      <c r="G763" s="59"/>
      <c r="H763" s="178"/>
      <c r="I763" s="178"/>
      <c r="J763" s="59"/>
      <c r="K763" s="59"/>
      <c r="L763" s="59"/>
      <c r="M763" s="59"/>
      <c r="N763" s="59"/>
      <c r="O763" s="59"/>
      <c r="P763" s="59"/>
      <c r="Q763" s="59"/>
      <c r="R763" s="59"/>
      <c r="S763" s="59"/>
      <c r="T763" s="59"/>
      <c r="U763" s="59"/>
      <c r="V763" s="59"/>
      <c r="W763" s="59"/>
      <c r="X763" s="59"/>
      <c r="Y763" s="59"/>
    </row>
    <row r="764" ht="35.25" customHeight="1">
      <c r="A764" s="59"/>
      <c r="B764" s="59"/>
      <c r="C764" s="59"/>
      <c r="D764" s="59"/>
      <c r="E764" s="59"/>
      <c r="F764" s="59"/>
      <c r="G764" s="59"/>
      <c r="H764" s="178"/>
      <c r="I764" s="178"/>
      <c r="J764" s="59"/>
      <c r="K764" s="59"/>
      <c r="L764" s="59"/>
      <c r="M764" s="59"/>
      <c r="N764" s="59"/>
      <c r="O764" s="59"/>
      <c r="P764" s="59"/>
      <c r="Q764" s="59"/>
      <c r="R764" s="59"/>
      <c r="S764" s="59"/>
      <c r="T764" s="59"/>
      <c r="U764" s="59"/>
      <c r="V764" s="59"/>
      <c r="W764" s="59"/>
      <c r="X764" s="59"/>
      <c r="Y764" s="59"/>
    </row>
    <row r="765" ht="35.25" customHeight="1">
      <c r="A765" s="59"/>
      <c r="B765" s="59"/>
      <c r="C765" s="59"/>
      <c r="D765" s="59"/>
      <c r="E765" s="59"/>
      <c r="F765" s="59"/>
      <c r="G765" s="59"/>
      <c r="H765" s="178"/>
      <c r="I765" s="178"/>
      <c r="J765" s="59"/>
      <c r="K765" s="59"/>
      <c r="L765" s="59"/>
      <c r="M765" s="59"/>
      <c r="N765" s="59"/>
      <c r="O765" s="59"/>
      <c r="P765" s="59"/>
      <c r="Q765" s="59"/>
      <c r="R765" s="59"/>
      <c r="S765" s="59"/>
      <c r="T765" s="59"/>
      <c r="U765" s="59"/>
      <c r="V765" s="59"/>
      <c r="W765" s="59"/>
      <c r="X765" s="59"/>
      <c r="Y765" s="59"/>
    </row>
    <row r="766" ht="35.25" customHeight="1">
      <c r="A766" s="59"/>
      <c r="B766" s="59"/>
      <c r="C766" s="59"/>
      <c r="D766" s="59"/>
      <c r="E766" s="59"/>
      <c r="F766" s="59"/>
      <c r="G766" s="59"/>
      <c r="H766" s="178"/>
      <c r="I766" s="178"/>
      <c r="J766" s="59"/>
      <c r="K766" s="59"/>
      <c r="L766" s="59"/>
      <c r="M766" s="59"/>
      <c r="N766" s="59"/>
      <c r="O766" s="59"/>
      <c r="P766" s="59"/>
      <c r="Q766" s="59"/>
      <c r="R766" s="59"/>
      <c r="S766" s="59"/>
      <c r="T766" s="59"/>
      <c r="U766" s="59"/>
      <c r="V766" s="59"/>
      <c r="W766" s="59"/>
      <c r="X766" s="59"/>
      <c r="Y766" s="59"/>
    </row>
    <row r="767" ht="35.25" customHeight="1">
      <c r="A767" s="59"/>
      <c r="B767" s="59"/>
      <c r="C767" s="59"/>
      <c r="D767" s="59"/>
      <c r="E767" s="59"/>
      <c r="F767" s="59"/>
      <c r="G767" s="59"/>
      <c r="H767" s="178"/>
      <c r="I767" s="178"/>
      <c r="J767" s="59"/>
      <c r="K767" s="59"/>
      <c r="L767" s="59"/>
      <c r="M767" s="59"/>
      <c r="N767" s="59"/>
      <c r="O767" s="59"/>
      <c r="P767" s="59"/>
      <c r="Q767" s="59"/>
      <c r="R767" s="59"/>
      <c r="S767" s="59"/>
      <c r="T767" s="59"/>
      <c r="U767" s="59"/>
      <c r="V767" s="59"/>
      <c r="W767" s="59"/>
      <c r="X767" s="59"/>
      <c r="Y767" s="59"/>
    </row>
    <row r="768" ht="35.25" customHeight="1">
      <c r="A768" s="59"/>
      <c r="B768" s="59"/>
      <c r="C768" s="59"/>
      <c r="D768" s="59"/>
      <c r="E768" s="59"/>
      <c r="F768" s="59"/>
      <c r="G768" s="59"/>
      <c r="H768" s="178"/>
      <c r="I768" s="178"/>
      <c r="J768" s="59"/>
      <c r="K768" s="59"/>
      <c r="L768" s="59"/>
      <c r="M768" s="59"/>
      <c r="N768" s="59"/>
      <c r="O768" s="59"/>
      <c r="P768" s="59"/>
      <c r="Q768" s="59"/>
      <c r="R768" s="59"/>
      <c r="S768" s="59"/>
      <c r="T768" s="59"/>
      <c r="U768" s="59"/>
      <c r="V768" s="59"/>
      <c r="W768" s="59"/>
      <c r="X768" s="59"/>
      <c r="Y768" s="59"/>
    </row>
    <row r="769" ht="35.25" customHeight="1">
      <c r="A769" s="59"/>
      <c r="B769" s="59"/>
      <c r="C769" s="59"/>
      <c r="D769" s="59"/>
      <c r="E769" s="59"/>
      <c r="F769" s="59"/>
      <c r="G769" s="59"/>
      <c r="H769" s="178"/>
      <c r="I769" s="178"/>
      <c r="J769" s="59"/>
      <c r="K769" s="59"/>
      <c r="L769" s="59"/>
      <c r="M769" s="59"/>
      <c r="N769" s="59"/>
      <c r="O769" s="59"/>
      <c r="P769" s="59"/>
      <c r="Q769" s="59"/>
      <c r="R769" s="59"/>
      <c r="S769" s="59"/>
      <c r="T769" s="59"/>
      <c r="U769" s="59"/>
      <c r="V769" s="59"/>
      <c r="W769" s="59"/>
      <c r="X769" s="59"/>
      <c r="Y769" s="59"/>
    </row>
    <row r="770" ht="35.25" customHeight="1">
      <c r="A770" s="59"/>
      <c r="B770" s="59"/>
      <c r="C770" s="59"/>
      <c r="D770" s="59"/>
      <c r="E770" s="59"/>
      <c r="F770" s="59"/>
      <c r="G770" s="59"/>
      <c r="H770" s="178"/>
      <c r="I770" s="178"/>
      <c r="J770" s="59"/>
      <c r="K770" s="59"/>
      <c r="L770" s="59"/>
      <c r="M770" s="59"/>
      <c r="N770" s="59"/>
      <c r="O770" s="59"/>
      <c r="P770" s="59"/>
      <c r="Q770" s="59"/>
      <c r="R770" s="59"/>
      <c r="S770" s="59"/>
      <c r="T770" s="59"/>
      <c r="U770" s="59"/>
      <c r="V770" s="59"/>
      <c r="W770" s="59"/>
      <c r="X770" s="59"/>
      <c r="Y770" s="59"/>
    </row>
    <row r="771" ht="35.25" customHeight="1">
      <c r="A771" s="59"/>
      <c r="B771" s="59"/>
      <c r="C771" s="59"/>
      <c r="D771" s="59"/>
      <c r="E771" s="59"/>
      <c r="F771" s="59"/>
      <c r="G771" s="59"/>
      <c r="H771" s="178"/>
      <c r="I771" s="178"/>
      <c r="J771" s="59"/>
      <c r="K771" s="59"/>
      <c r="L771" s="59"/>
      <c r="M771" s="59"/>
      <c r="N771" s="59"/>
      <c r="O771" s="59"/>
      <c r="P771" s="59"/>
      <c r="Q771" s="59"/>
      <c r="R771" s="59"/>
      <c r="S771" s="59"/>
      <c r="T771" s="59"/>
      <c r="U771" s="59"/>
      <c r="V771" s="59"/>
      <c r="W771" s="59"/>
      <c r="X771" s="59"/>
      <c r="Y771" s="59"/>
    </row>
    <row r="772" ht="35.25" customHeight="1">
      <c r="A772" s="59"/>
      <c r="B772" s="59"/>
      <c r="C772" s="59"/>
      <c r="D772" s="59"/>
      <c r="E772" s="59"/>
      <c r="F772" s="59"/>
      <c r="G772" s="59"/>
      <c r="H772" s="178"/>
      <c r="I772" s="178"/>
      <c r="J772" s="59"/>
      <c r="K772" s="59"/>
      <c r="L772" s="59"/>
      <c r="M772" s="59"/>
      <c r="N772" s="59"/>
      <c r="O772" s="59"/>
      <c r="P772" s="59"/>
      <c r="Q772" s="59"/>
      <c r="R772" s="59"/>
      <c r="S772" s="59"/>
      <c r="T772" s="59"/>
      <c r="U772" s="59"/>
      <c r="V772" s="59"/>
      <c r="W772" s="59"/>
      <c r="X772" s="59"/>
      <c r="Y772" s="59"/>
    </row>
    <row r="773" ht="35.25" customHeight="1">
      <c r="A773" s="59"/>
      <c r="B773" s="59"/>
      <c r="C773" s="59"/>
      <c r="D773" s="59"/>
      <c r="E773" s="59"/>
      <c r="F773" s="59"/>
      <c r="G773" s="59"/>
      <c r="H773" s="178"/>
      <c r="I773" s="178"/>
      <c r="J773" s="59"/>
      <c r="K773" s="59"/>
      <c r="L773" s="59"/>
      <c r="M773" s="59"/>
      <c r="N773" s="59"/>
      <c r="O773" s="59"/>
      <c r="P773" s="59"/>
      <c r="Q773" s="59"/>
      <c r="R773" s="59"/>
      <c r="S773" s="59"/>
      <c r="T773" s="59"/>
      <c r="U773" s="59"/>
      <c r="V773" s="59"/>
      <c r="W773" s="59"/>
      <c r="X773" s="59"/>
      <c r="Y773" s="59"/>
    </row>
    <row r="774" ht="35.25" customHeight="1">
      <c r="A774" s="59"/>
      <c r="B774" s="59"/>
      <c r="C774" s="59"/>
      <c r="D774" s="59"/>
      <c r="E774" s="59"/>
      <c r="F774" s="59"/>
      <c r="G774" s="59"/>
      <c r="H774" s="178"/>
      <c r="I774" s="178"/>
      <c r="J774" s="59"/>
      <c r="K774" s="59"/>
      <c r="L774" s="59"/>
      <c r="M774" s="59"/>
      <c r="N774" s="59"/>
      <c r="O774" s="59"/>
      <c r="P774" s="59"/>
      <c r="Q774" s="59"/>
      <c r="R774" s="59"/>
      <c r="S774" s="59"/>
      <c r="T774" s="59"/>
      <c r="U774" s="59"/>
      <c r="V774" s="59"/>
      <c r="W774" s="59"/>
      <c r="X774" s="59"/>
      <c r="Y774" s="59"/>
    </row>
    <row r="775" ht="35.25" customHeight="1">
      <c r="A775" s="59"/>
      <c r="B775" s="59"/>
      <c r="C775" s="59"/>
      <c r="D775" s="59"/>
      <c r="E775" s="59"/>
      <c r="F775" s="59"/>
      <c r="G775" s="59"/>
      <c r="H775" s="178"/>
      <c r="I775" s="178"/>
      <c r="J775" s="59"/>
      <c r="K775" s="59"/>
      <c r="L775" s="59"/>
      <c r="M775" s="59"/>
      <c r="N775" s="59"/>
      <c r="O775" s="59"/>
      <c r="P775" s="59"/>
      <c r="Q775" s="59"/>
      <c r="R775" s="59"/>
      <c r="S775" s="59"/>
      <c r="T775" s="59"/>
      <c r="U775" s="59"/>
      <c r="V775" s="59"/>
      <c r="W775" s="59"/>
      <c r="X775" s="59"/>
      <c r="Y775" s="59"/>
    </row>
    <row r="776" ht="35.25" customHeight="1">
      <c r="A776" s="59"/>
      <c r="B776" s="59"/>
      <c r="C776" s="59"/>
      <c r="D776" s="59"/>
      <c r="E776" s="59"/>
      <c r="F776" s="59"/>
      <c r="G776" s="59"/>
      <c r="H776" s="178"/>
      <c r="I776" s="178"/>
      <c r="J776" s="59"/>
      <c r="K776" s="59"/>
      <c r="L776" s="59"/>
      <c r="M776" s="59"/>
      <c r="N776" s="59"/>
      <c r="O776" s="59"/>
      <c r="P776" s="59"/>
      <c r="Q776" s="59"/>
      <c r="R776" s="59"/>
      <c r="S776" s="59"/>
      <c r="T776" s="59"/>
      <c r="U776" s="59"/>
      <c r="V776" s="59"/>
      <c r="W776" s="59"/>
      <c r="X776" s="59"/>
      <c r="Y776" s="59"/>
    </row>
    <row r="777" ht="35.25" customHeight="1">
      <c r="A777" s="59"/>
      <c r="B777" s="59"/>
      <c r="C777" s="59"/>
      <c r="D777" s="59"/>
      <c r="E777" s="59"/>
      <c r="F777" s="59"/>
      <c r="G777" s="59"/>
      <c r="H777" s="178"/>
      <c r="I777" s="178"/>
      <c r="J777" s="59"/>
      <c r="K777" s="59"/>
      <c r="L777" s="59"/>
      <c r="M777" s="59"/>
      <c r="N777" s="59"/>
      <c r="O777" s="59"/>
      <c r="P777" s="59"/>
      <c r="Q777" s="59"/>
      <c r="R777" s="59"/>
      <c r="S777" s="59"/>
      <c r="T777" s="59"/>
      <c r="U777" s="59"/>
      <c r="V777" s="59"/>
      <c r="W777" s="59"/>
      <c r="X777" s="59"/>
      <c r="Y777" s="59"/>
    </row>
    <row r="778" ht="35.25" customHeight="1">
      <c r="A778" s="59"/>
      <c r="B778" s="59"/>
      <c r="C778" s="59"/>
      <c r="D778" s="59"/>
      <c r="E778" s="59"/>
      <c r="F778" s="59"/>
      <c r="G778" s="59"/>
      <c r="H778" s="178"/>
      <c r="I778" s="178"/>
      <c r="J778" s="59"/>
      <c r="K778" s="59"/>
      <c r="L778" s="59"/>
      <c r="M778" s="59"/>
      <c r="N778" s="59"/>
      <c r="O778" s="59"/>
      <c r="P778" s="59"/>
      <c r="Q778" s="59"/>
      <c r="R778" s="59"/>
      <c r="S778" s="59"/>
      <c r="T778" s="59"/>
      <c r="U778" s="59"/>
      <c r="V778" s="59"/>
      <c r="W778" s="59"/>
      <c r="X778" s="59"/>
      <c r="Y778" s="59"/>
    </row>
    <row r="779" ht="35.25" customHeight="1">
      <c r="A779" s="59"/>
      <c r="B779" s="59"/>
      <c r="C779" s="59"/>
      <c r="D779" s="59"/>
      <c r="E779" s="59"/>
      <c r="F779" s="59"/>
      <c r="G779" s="59"/>
      <c r="H779" s="178"/>
      <c r="I779" s="178"/>
      <c r="J779" s="59"/>
      <c r="K779" s="59"/>
      <c r="L779" s="59"/>
      <c r="M779" s="59"/>
      <c r="N779" s="59"/>
      <c r="O779" s="59"/>
      <c r="P779" s="59"/>
      <c r="Q779" s="59"/>
      <c r="R779" s="59"/>
      <c r="S779" s="59"/>
      <c r="T779" s="59"/>
      <c r="U779" s="59"/>
      <c r="V779" s="59"/>
      <c r="W779" s="59"/>
      <c r="X779" s="59"/>
      <c r="Y779" s="59"/>
    </row>
    <row r="780" ht="35.25" customHeight="1">
      <c r="A780" s="59"/>
      <c r="B780" s="59"/>
      <c r="C780" s="59"/>
      <c r="D780" s="59"/>
      <c r="E780" s="59"/>
      <c r="F780" s="59"/>
      <c r="G780" s="59"/>
      <c r="H780" s="178"/>
      <c r="I780" s="178"/>
      <c r="J780" s="59"/>
      <c r="K780" s="59"/>
      <c r="L780" s="59"/>
      <c r="M780" s="59"/>
      <c r="N780" s="59"/>
      <c r="O780" s="59"/>
      <c r="P780" s="59"/>
      <c r="Q780" s="59"/>
      <c r="R780" s="59"/>
      <c r="S780" s="59"/>
      <c r="T780" s="59"/>
      <c r="U780" s="59"/>
      <c r="V780" s="59"/>
      <c r="W780" s="59"/>
      <c r="X780" s="59"/>
      <c r="Y780" s="59"/>
    </row>
    <row r="781" ht="35.25" customHeight="1">
      <c r="A781" s="59"/>
      <c r="B781" s="59"/>
      <c r="C781" s="59"/>
      <c r="D781" s="59"/>
      <c r="E781" s="59"/>
      <c r="F781" s="59"/>
      <c r="G781" s="59"/>
      <c r="H781" s="178"/>
      <c r="I781" s="178"/>
      <c r="J781" s="59"/>
      <c r="K781" s="59"/>
      <c r="L781" s="59"/>
      <c r="M781" s="59"/>
      <c r="N781" s="59"/>
      <c r="O781" s="59"/>
      <c r="P781" s="59"/>
      <c r="Q781" s="59"/>
      <c r="R781" s="59"/>
      <c r="S781" s="59"/>
      <c r="T781" s="59"/>
      <c r="U781" s="59"/>
      <c r="V781" s="59"/>
      <c r="W781" s="59"/>
      <c r="X781" s="59"/>
      <c r="Y781" s="59"/>
    </row>
    <row r="782" ht="35.25" customHeight="1">
      <c r="A782" s="59"/>
      <c r="B782" s="59"/>
      <c r="C782" s="59"/>
      <c r="D782" s="59"/>
      <c r="E782" s="59"/>
      <c r="F782" s="59"/>
      <c r="G782" s="59"/>
      <c r="H782" s="178"/>
      <c r="I782" s="178"/>
      <c r="J782" s="59"/>
      <c r="K782" s="59"/>
      <c r="L782" s="59"/>
      <c r="M782" s="59"/>
      <c r="N782" s="59"/>
      <c r="O782" s="59"/>
      <c r="P782" s="59"/>
      <c r="Q782" s="59"/>
      <c r="R782" s="59"/>
      <c r="S782" s="59"/>
      <c r="T782" s="59"/>
      <c r="U782" s="59"/>
      <c r="V782" s="59"/>
      <c r="W782" s="59"/>
      <c r="X782" s="59"/>
      <c r="Y782" s="59"/>
    </row>
    <row r="783" ht="35.25" customHeight="1">
      <c r="A783" s="59"/>
      <c r="B783" s="59"/>
      <c r="C783" s="59"/>
      <c r="D783" s="59"/>
      <c r="E783" s="59"/>
      <c r="F783" s="59"/>
      <c r="G783" s="59"/>
      <c r="H783" s="178"/>
      <c r="I783" s="178"/>
      <c r="J783" s="59"/>
      <c r="K783" s="59"/>
      <c r="L783" s="59"/>
      <c r="M783" s="59"/>
      <c r="N783" s="59"/>
      <c r="O783" s="59"/>
      <c r="P783" s="59"/>
      <c r="Q783" s="59"/>
      <c r="R783" s="59"/>
      <c r="S783" s="59"/>
      <c r="T783" s="59"/>
      <c r="U783" s="59"/>
      <c r="V783" s="59"/>
      <c r="W783" s="59"/>
      <c r="X783" s="59"/>
      <c r="Y783" s="59"/>
    </row>
    <row r="784" ht="35.25" customHeight="1">
      <c r="A784" s="59"/>
      <c r="B784" s="59"/>
      <c r="C784" s="59"/>
      <c r="D784" s="59"/>
      <c r="E784" s="59"/>
      <c r="F784" s="59"/>
      <c r="G784" s="59"/>
      <c r="H784" s="178"/>
      <c r="I784" s="178"/>
      <c r="J784" s="59"/>
      <c r="K784" s="59"/>
      <c r="L784" s="59"/>
      <c r="M784" s="59"/>
      <c r="N784" s="59"/>
      <c r="O784" s="59"/>
      <c r="P784" s="59"/>
      <c r="Q784" s="59"/>
      <c r="R784" s="59"/>
      <c r="S784" s="59"/>
      <c r="T784" s="59"/>
      <c r="U784" s="59"/>
      <c r="V784" s="59"/>
      <c r="W784" s="59"/>
      <c r="X784" s="59"/>
      <c r="Y784" s="59"/>
    </row>
    <row r="785" ht="35.25" customHeight="1">
      <c r="A785" s="59"/>
      <c r="B785" s="59"/>
      <c r="C785" s="59"/>
      <c r="D785" s="59"/>
      <c r="E785" s="59"/>
      <c r="F785" s="59"/>
      <c r="G785" s="59"/>
      <c r="H785" s="178"/>
      <c r="I785" s="178"/>
      <c r="J785" s="59"/>
      <c r="K785" s="59"/>
      <c r="L785" s="59"/>
      <c r="M785" s="59"/>
      <c r="N785" s="59"/>
      <c r="O785" s="59"/>
      <c r="P785" s="59"/>
      <c r="Q785" s="59"/>
      <c r="R785" s="59"/>
      <c r="S785" s="59"/>
      <c r="T785" s="59"/>
      <c r="U785" s="59"/>
      <c r="V785" s="59"/>
      <c r="W785" s="59"/>
      <c r="X785" s="59"/>
      <c r="Y785" s="59"/>
    </row>
    <row r="786" ht="35.25" customHeight="1">
      <c r="A786" s="59"/>
      <c r="B786" s="59"/>
      <c r="C786" s="59"/>
      <c r="D786" s="59"/>
      <c r="E786" s="59"/>
      <c r="F786" s="59"/>
      <c r="G786" s="59"/>
      <c r="H786" s="178"/>
      <c r="I786" s="178"/>
      <c r="J786" s="59"/>
      <c r="K786" s="59"/>
      <c r="L786" s="59"/>
      <c r="M786" s="59"/>
      <c r="N786" s="59"/>
      <c r="O786" s="59"/>
      <c r="P786" s="59"/>
      <c r="Q786" s="59"/>
      <c r="R786" s="59"/>
      <c r="S786" s="59"/>
      <c r="T786" s="59"/>
      <c r="U786" s="59"/>
      <c r="V786" s="59"/>
      <c r="W786" s="59"/>
      <c r="X786" s="59"/>
      <c r="Y786" s="59"/>
    </row>
    <row r="787" ht="35.25" customHeight="1">
      <c r="A787" s="59"/>
      <c r="B787" s="59"/>
      <c r="C787" s="59"/>
      <c r="D787" s="59"/>
      <c r="E787" s="59"/>
      <c r="F787" s="59"/>
      <c r="G787" s="59"/>
      <c r="H787" s="178"/>
      <c r="I787" s="178"/>
      <c r="J787" s="59"/>
      <c r="K787" s="59"/>
      <c r="L787" s="59"/>
      <c r="M787" s="59"/>
      <c r="N787" s="59"/>
      <c r="O787" s="59"/>
      <c r="P787" s="59"/>
      <c r="Q787" s="59"/>
      <c r="R787" s="59"/>
      <c r="S787" s="59"/>
      <c r="T787" s="59"/>
      <c r="U787" s="59"/>
      <c r="V787" s="59"/>
      <c r="W787" s="59"/>
      <c r="X787" s="59"/>
      <c r="Y787" s="59"/>
    </row>
    <row r="788" ht="35.25" customHeight="1">
      <c r="A788" s="59"/>
      <c r="B788" s="59"/>
      <c r="C788" s="59"/>
      <c r="D788" s="59"/>
      <c r="E788" s="59"/>
      <c r="F788" s="59"/>
      <c r="G788" s="59"/>
      <c r="H788" s="178"/>
      <c r="I788" s="178"/>
      <c r="J788" s="59"/>
      <c r="K788" s="59"/>
      <c r="L788" s="59"/>
      <c r="M788" s="59"/>
      <c r="N788" s="59"/>
      <c r="O788" s="59"/>
      <c r="P788" s="59"/>
      <c r="Q788" s="59"/>
      <c r="R788" s="59"/>
      <c r="S788" s="59"/>
      <c r="T788" s="59"/>
      <c r="U788" s="59"/>
      <c r="V788" s="59"/>
      <c r="W788" s="59"/>
      <c r="X788" s="59"/>
      <c r="Y788" s="59"/>
    </row>
    <row r="789" ht="35.25" customHeight="1">
      <c r="A789" s="59"/>
      <c r="B789" s="59"/>
      <c r="C789" s="59"/>
      <c r="D789" s="59"/>
      <c r="E789" s="59"/>
      <c r="F789" s="59"/>
      <c r="G789" s="59"/>
      <c r="H789" s="178"/>
      <c r="I789" s="178"/>
      <c r="J789" s="59"/>
      <c r="K789" s="59"/>
      <c r="L789" s="59"/>
      <c r="M789" s="59"/>
      <c r="N789" s="59"/>
      <c r="O789" s="59"/>
      <c r="P789" s="59"/>
      <c r="Q789" s="59"/>
      <c r="R789" s="59"/>
      <c r="S789" s="59"/>
      <c r="T789" s="59"/>
      <c r="U789" s="59"/>
      <c r="V789" s="59"/>
      <c r="W789" s="59"/>
      <c r="X789" s="59"/>
      <c r="Y789" s="59"/>
    </row>
    <row r="790" ht="35.25" customHeight="1">
      <c r="A790" s="59"/>
      <c r="B790" s="59"/>
      <c r="C790" s="59"/>
      <c r="D790" s="59"/>
      <c r="E790" s="59"/>
      <c r="F790" s="59"/>
      <c r="G790" s="59"/>
      <c r="H790" s="178"/>
      <c r="I790" s="178"/>
      <c r="J790" s="59"/>
      <c r="K790" s="59"/>
      <c r="L790" s="59"/>
      <c r="M790" s="59"/>
      <c r="N790" s="59"/>
      <c r="O790" s="59"/>
      <c r="P790" s="59"/>
      <c r="Q790" s="59"/>
      <c r="R790" s="59"/>
      <c r="S790" s="59"/>
      <c r="T790" s="59"/>
      <c r="U790" s="59"/>
      <c r="V790" s="59"/>
      <c r="W790" s="59"/>
      <c r="X790" s="59"/>
      <c r="Y790" s="59"/>
    </row>
    <row r="791" ht="35.25" customHeight="1">
      <c r="A791" s="59"/>
      <c r="B791" s="59"/>
      <c r="C791" s="59"/>
      <c r="D791" s="59"/>
      <c r="E791" s="59"/>
      <c r="F791" s="59"/>
      <c r="G791" s="59"/>
      <c r="H791" s="178"/>
      <c r="I791" s="178"/>
      <c r="J791" s="59"/>
      <c r="K791" s="59"/>
      <c r="L791" s="59"/>
      <c r="M791" s="59"/>
      <c r="N791" s="59"/>
      <c r="O791" s="59"/>
      <c r="P791" s="59"/>
      <c r="Q791" s="59"/>
      <c r="R791" s="59"/>
      <c r="S791" s="59"/>
      <c r="T791" s="59"/>
      <c r="U791" s="59"/>
      <c r="V791" s="59"/>
      <c r="W791" s="59"/>
      <c r="X791" s="59"/>
      <c r="Y791" s="59"/>
    </row>
    <row r="792" ht="35.25" customHeight="1">
      <c r="A792" s="59"/>
      <c r="B792" s="59"/>
      <c r="C792" s="59"/>
      <c r="D792" s="59"/>
      <c r="E792" s="59"/>
      <c r="F792" s="59"/>
      <c r="G792" s="59"/>
      <c r="H792" s="178"/>
      <c r="I792" s="178"/>
      <c r="J792" s="59"/>
      <c r="K792" s="59"/>
      <c r="L792" s="59"/>
      <c r="M792" s="59"/>
      <c r="N792" s="59"/>
      <c r="O792" s="59"/>
      <c r="P792" s="59"/>
      <c r="Q792" s="59"/>
      <c r="R792" s="59"/>
      <c r="S792" s="59"/>
      <c r="T792" s="59"/>
      <c r="U792" s="59"/>
      <c r="V792" s="59"/>
      <c r="W792" s="59"/>
      <c r="X792" s="59"/>
      <c r="Y792" s="59"/>
    </row>
    <row r="793" ht="35.25" customHeight="1">
      <c r="A793" s="59"/>
      <c r="B793" s="59"/>
      <c r="C793" s="59"/>
      <c r="D793" s="59"/>
      <c r="E793" s="59"/>
      <c r="F793" s="59"/>
      <c r="G793" s="59"/>
      <c r="H793" s="178"/>
      <c r="I793" s="178"/>
      <c r="J793" s="59"/>
      <c r="K793" s="59"/>
      <c r="L793" s="59"/>
      <c r="M793" s="59"/>
      <c r="N793" s="59"/>
      <c r="O793" s="59"/>
      <c r="P793" s="59"/>
      <c r="Q793" s="59"/>
      <c r="R793" s="59"/>
      <c r="S793" s="59"/>
      <c r="T793" s="59"/>
      <c r="U793" s="59"/>
      <c r="V793" s="59"/>
      <c r="W793" s="59"/>
      <c r="X793" s="59"/>
      <c r="Y793" s="59"/>
    </row>
    <row r="794" ht="35.25" customHeight="1">
      <c r="A794" s="59"/>
      <c r="B794" s="59"/>
      <c r="C794" s="59"/>
      <c r="D794" s="59"/>
      <c r="E794" s="59"/>
      <c r="F794" s="59"/>
      <c r="G794" s="59"/>
      <c r="H794" s="178"/>
      <c r="I794" s="178"/>
      <c r="J794" s="59"/>
      <c r="K794" s="59"/>
      <c r="L794" s="59"/>
      <c r="M794" s="59"/>
      <c r="N794" s="59"/>
      <c r="O794" s="59"/>
      <c r="P794" s="59"/>
      <c r="Q794" s="59"/>
      <c r="R794" s="59"/>
      <c r="S794" s="59"/>
      <c r="T794" s="59"/>
      <c r="U794" s="59"/>
      <c r="V794" s="59"/>
      <c r="W794" s="59"/>
      <c r="X794" s="59"/>
      <c r="Y794" s="59"/>
    </row>
    <row r="795" ht="35.25" customHeight="1">
      <c r="A795" s="59"/>
      <c r="B795" s="59"/>
      <c r="C795" s="59"/>
      <c r="D795" s="59"/>
      <c r="E795" s="59"/>
      <c r="F795" s="59"/>
      <c r="G795" s="59"/>
      <c r="H795" s="178"/>
      <c r="I795" s="178"/>
      <c r="J795" s="59"/>
      <c r="K795" s="59"/>
      <c r="L795" s="59"/>
      <c r="M795" s="59"/>
      <c r="N795" s="59"/>
      <c r="O795" s="59"/>
      <c r="P795" s="59"/>
      <c r="Q795" s="59"/>
      <c r="R795" s="59"/>
      <c r="S795" s="59"/>
      <c r="T795" s="59"/>
      <c r="U795" s="59"/>
      <c r="V795" s="59"/>
      <c r="W795" s="59"/>
      <c r="X795" s="59"/>
      <c r="Y795" s="59"/>
    </row>
    <row r="796" ht="35.25" customHeight="1">
      <c r="A796" s="59"/>
      <c r="B796" s="59"/>
      <c r="C796" s="59"/>
      <c r="D796" s="59"/>
      <c r="E796" s="59"/>
      <c r="F796" s="59"/>
      <c r="G796" s="59"/>
      <c r="H796" s="178"/>
      <c r="I796" s="178"/>
      <c r="J796" s="59"/>
      <c r="K796" s="59"/>
      <c r="L796" s="59"/>
      <c r="M796" s="59"/>
      <c r="N796" s="59"/>
      <c r="O796" s="59"/>
      <c r="P796" s="59"/>
      <c r="Q796" s="59"/>
      <c r="R796" s="59"/>
      <c r="S796" s="59"/>
      <c r="T796" s="59"/>
      <c r="U796" s="59"/>
      <c r="V796" s="59"/>
      <c r="W796" s="59"/>
      <c r="X796" s="59"/>
      <c r="Y796" s="59"/>
    </row>
    <row r="797" ht="35.25" customHeight="1">
      <c r="A797" s="59"/>
      <c r="B797" s="59"/>
      <c r="C797" s="59"/>
      <c r="D797" s="59"/>
      <c r="E797" s="59"/>
      <c r="F797" s="59"/>
      <c r="G797" s="59"/>
      <c r="H797" s="178"/>
      <c r="I797" s="178"/>
      <c r="J797" s="59"/>
      <c r="K797" s="59"/>
      <c r="L797" s="59"/>
      <c r="M797" s="59"/>
      <c r="N797" s="59"/>
      <c r="O797" s="59"/>
      <c r="P797" s="59"/>
      <c r="Q797" s="59"/>
      <c r="R797" s="59"/>
      <c r="S797" s="59"/>
      <c r="T797" s="59"/>
      <c r="U797" s="59"/>
      <c r="V797" s="59"/>
      <c r="W797" s="59"/>
      <c r="X797" s="59"/>
      <c r="Y797" s="59"/>
    </row>
    <row r="798" ht="35.25" customHeight="1">
      <c r="A798" s="59"/>
      <c r="B798" s="59"/>
      <c r="C798" s="59"/>
      <c r="D798" s="59"/>
      <c r="E798" s="59"/>
      <c r="F798" s="59"/>
      <c r="G798" s="59"/>
      <c r="H798" s="178"/>
      <c r="I798" s="178"/>
      <c r="J798" s="59"/>
      <c r="K798" s="59"/>
      <c r="L798" s="59"/>
      <c r="M798" s="59"/>
      <c r="N798" s="59"/>
      <c r="O798" s="59"/>
      <c r="P798" s="59"/>
      <c r="Q798" s="59"/>
      <c r="R798" s="59"/>
      <c r="S798" s="59"/>
      <c r="T798" s="59"/>
      <c r="U798" s="59"/>
      <c r="V798" s="59"/>
      <c r="W798" s="59"/>
      <c r="X798" s="59"/>
      <c r="Y798" s="59"/>
    </row>
    <row r="799" ht="35.25" customHeight="1">
      <c r="A799" s="59"/>
      <c r="B799" s="59"/>
      <c r="C799" s="59"/>
      <c r="D799" s="59"/>
      <c r="E799" s="59"/>
      <c r="F799" s="59"/>
      <c r="G799" s="59"/>
      <c r="H799" s="178"/>
      <c r="I799" s="178"/>
      <c r="J799" s="59"/>
      <c r="K799" s="59"/>
      <c r="L799" s="59"/>
      <c r="M799" s="59"/>
      <c r="N799" s="59"/>
      <c r="O799" s="59"/>
      <c r="P799" s="59"/>
      <c r="Q799" s="59"/>
      <c r="R799" s="59"/>
      <c r="S799" s="59"/>
      <c r="T799" s="59"/>
      <c r="U799" s="59"/>
      <c r="V799" s="59"/>
      <c r="W799" s="59"/>
      <c r="X799" s="59"/>
      <c r="Y799" s="59"/>
    </row>
    <row r="800" ht="35.25" customHeight="1">
      <c r="A800" s="59"/>
      <c r="B800" s="59"/>
      <c r="C800" s="59"/>
      <c r="D800" s="59"/>
      <c r="E800" s="59"/>
      <c r="F800" s="59"/>
      <c r="G800" s="59"/>
      <c r="H800" s="178"/>
      <c r="I800" s="178"/>
      <c r="J800" s="59"/>
      <c r="K800" s="59"/>
      <c r="L800" s="59"/>
      <c r="M800" s="59"/>
      <c r="N800" s="59"/>
      <c r="O800" s="59"/>
      <c r="P800" s="59"/>
      <c r="Q800" s="59"/>
      <c r="R800" s="59"/>
      <c r="S800" s="59"/>
      <c r="T800" s="59"/>
      <c r="U800" s="59"/>
      <c r="V800" s="59"/>
      <c r="W800" s="59"/>
      <c r="X800" s="59"/>
      <c r="Y800" s="59"/>
    </row>
    <row r="801" ht="35.25" customHeight="1">
      <c r="A801" s="59"/>
      <c r="B801" s="59"/>
      <c r="C801" s="59"/>
      <c r="D801" s="59"/>
      <c r="E801" s="59"/>
      <c r="F801" s="59"/>
      <c r="G801" s="59"/>
      <c r="H801" s="178"/>
      <c r="I801" s="178"/>
      <c r="J801" s="59"/>
      <c r="K801" s="59"/>
      <c r="L801" s="59"/>
      <c r="M801" s="59"/>
      <c r="N801" s="59"/>
      <c r="O801" s="59"/>
      <c r="P801" s="59"/>
      <c r="Q801" s="59"/>
      <c r="R801" s="59"/>
      <c r="S801" s="59"/>
      <c r="T801" s="59"/>
      <c r="U801" s="59"/>
      <c r="V801" s="59"/>
      <c r="W801" s="59"/>
      <c r="X801" s="59"/>
      <c r="Y801" s="59"/>
    </row>
    <row r="802" ht="35.25" customHeight="1">
      <c r="A802" s="59"/>
      <c r="B802" s="59"/>
      <c r="C802" s="59"/>
      <c r="D802" s="59"/>
      <c r="E802" s="59"/>
      <c r="F802" s="59"/>
      <c r="G802" s="59"/>
      <c r="H802" s="178"/>
      <c r="I802" s="178"/>
      <c r="J802" s="59"/>
      <c r="K802" s="59"/>
      <c r="L802" s="59"/>
      <c r="M802" s="59"/>
      <c r="N802" s="59"/>
      <c r="O802" s="59"/>
      <c r="P802" s="59"/>
      <c r="Q802" s="59"/>
      <c r="R802" s="59"/>
      <c r="S802" s="59"/>
      <c r="T802" s="59"/>
      <c r="U802" s="59"/>
      <c r="V802" s="59"/>
      <c r="W802" s="59"/>
      <c r="X802" s="59"/>
      <c r="Y802" s="59"/>
    </row>
    <row r="803" ht="35.25" customHeight="1">
      <c r="A803" s="59"/>
      <c r="B803" s="59"/>
      <c r="C803" s="59"/>
      <c r="D803" s="59"/>
      <c r="E803" s="59"/>
      <c r="F803" s="59"/>
      <c r="G803" s="59"/>
      <c r="H803" s="178"/>
      <c r="I803" s="178"/>
      <c r="J803" s="59"/>
      <c r="K803" s="59"/>
      <c r="L803" s="59"/>
      <c r="M803" s="59"/>
      <c r="N803" s="59"/>
      <c r="O803" s="59"/>
      <c r="P803" s="59"/>
      <c r="Q803" s="59"/>
      <c r="R803" s="59"/>
      <c r="S803" s="59"/>
      <c r="T803" s="59"/>
      <c r="U803" s="59"/>
      <c r="V803" s="59"/>
      <c r="W803" s="59"/>
      <c r="X803" s="59"/>
      <c r="Y803" s="59"/>
    </row>
    <row r="804" ht="35.25" customHeight="1">
      <c r="A804" s="59"/>
      <c r="B804" s="59"/>
      <c r="C804" s="59"/>
      <c r="D804" s="59"/>
      <c r="E804" s="59"/>
      <c r="F804" s="59"/>
      <c r="G804" s="59"/>
      <c r="H804" s="178"/>
      <c r="I804" s="178"/>
      <c r="J804" s="59"/>
      <c r="K804" s="59"/>
      <c r="L804" s="59"/>
      <c r="M804" s="59"/>
      <c r="N804" s="59"/>
      <c r="O804" s="59"/>
      <c r="P804" s="59"/>
      <c r="Q804" s="59"/>
      <c r="R804" s="59"/>
      <c r="S804" s="59"/>
      <c r="T804" s="59"/>
      <c r="U804" s="59"/>
      <c r="V804" s="59"/>
      <c r="W804" s="59"/>
      <c r="X804" s="59"/>
      <c r="Y804" s="59"/>
    </row>
    <row r="805" ht="35.25" customHeight="1">
      <c r="A805" s="59"/>
      <c r="B805" s="59"/>
      <c r="C805" s="59"/>
      <c r="D805" s="59"/>
      <c r="E805" s="59"/>
      <c r="F805" s="59"/>
      <c r="G805" s="59"/>
      <c r="H805" s="178"/>
      <c r="I805" s="178"/>
      <c r="J805" s="59"/>
      <c r="K805" s="59"/>
      <c r="L805" s="59"/>
      <c r="M805" s="59"/>
      <c r="N805" s="59"/>
      <c r="O805" s="59"/>
      <c r="P805" s="59"/>
      <c r="Q805" s="59"/>
      <c r="R805" s="59"/>
      <c r="S805" s="59"/>
      <c r="T805" s="59"/>
      <c r="U805" s="59"/>
      <c r="V805" s="59"/>
      <c r="W805" s="59"/>
      <c r="X805" s="59"/>
      <c r="Y805" s="59"/>
    </row>
    <row r="806" ht="35.25" customHeight="1">
      <c r="A806" s="59"/>
      <c r="B806" s="59"/>
      <c r="C806" s="59"/>
      <c r="D806" s="59"/>
      <c r="E806" s="59"/>
      <c r="F806" s="59"/>
      <c r="G806" s="59"/>
      <c r="H806" s="178"/>
      <c r="I806" s="178"/>
      <c r="J806" s="59"/>
      <c r="K806" s="59"/>
      <c r="L806" s="59"/>
      <c r="M806" s="59"/>
      <c r="N806" s="59"/>
      <c r="O806" s="59"/>
      <c r="P806" s="59"/>
      <c r="Q806" s="59"/>
      <c r="R806" s="59"/>
      <c r="S806" s="59"/>
      <c r="T806" s="59"/>
      <c r="U806" s="59"/>
      <c r="V806" s="59"/>
      <c r="W806" s="59"/>
      <c r="X806" s="59"/>
      <c r="Y806" s="59"/>
    </row>
    <row r="807" ht="35.25" customHeight="1">
      <c r="A807" s="59"/>
      <c r="B807" s="59"/>
      <c r="C807" s="59"/>
      <c r="D807" s="59"/>
      <c r="E807" s="59"/>
      <c r="F807" s="59"/>
      <c r="G807" s="59"/>
      <c r="H807" s="178"/>
      <c r="I807" s="178"/>
      <c r="J807" s="59"/>
      <c r="K807" s="59"/>
      <c r="L807" s="59"/>
      <c r="M807" s="59"/>
      <c r="N807" s="59"/>
      <c r="O807" s="59"/>
      <c r="P807" s="59"/>
      <c r="Q807" s="59"/>
      <c r="R807" s="59"/>
      <c r="S807" s="59"/>
      <c r="T807" s="59"/>
      <c r="U807" s="59"/>
      <c r="V807" s="59"/>
      <c r="W807" s="59"/>
      <c r="X807" s="59"/>
      <c r="Y807" s="59"/>
    </row>
    <row r="808" ht="35.25" customHeight="1">
      <c r="A808" s="59"/>
      <c r="B808" s="59"/>
      <c r="C808" s="59"/>
      <c r="D808" s="59"/>
      <c r="E808" s="59"/>
      <c r="F808" s="59"/>
      <c r="G808" s="59"/>
      <c r="H808" s="178"/>
      <c r="I808" s="178"/>
      <c r="J808" s="59"/>
      <c r="K808" s="59"/>
      <c r="L808" s="59"/>
      <c r="M808" s="59"/>
      <c r="N808" s="59"/>
      <c r="O808" s="59"/>
      <c r="P808" s="59"/>
      <c r="Q808" s="59"/>
      <c r="R808" s="59"/>
      <c r="S808" s="59"/>
      <c r="T808" s="59"/>
      <c r="U808" s="59"/>
      <c r="V808" s="59"/>
      <c r="W808" s="59"/>
      <c r="X808" s="59"/>
      <c r="Y808" s="59"/>
    </row>
    <row r="809" ht="35.25" customHeight="1">
      <c r="A809" s="59"/>
      <c r="B809" s="59"/>
      <c r="C809" s="59"/>
      <c r="D809" s="59"/>
      <c r="E809" s="59"/>
      <c r="F809" s="59"/>
      <c r="G809" s="59"/>
      <c r="H809" s="178"/>
      <c r="I809" s="178"/>
      <c r="J809" s="59"/>
      <c r="K809" s="59"/>
      <c r="L809" s="59"/>
      <c r="M809" s="59"/>
      <c r="N809" s="59"/>
      <c r="O809" s="59"/>
      <c r="P809" s="59"/>
      <c r="Q809" s="59"/>
      <c r="R809" s="59"/>
      <c r="S809" s="59"/>
      <c r="T809" s="59"/>
      <c r="U809" s="59"/>
      <c r="V809" s="59"/>
      <c r="W809" s="59"/>
      <c r="X809" s="59"/>
      <c r="Y809" s="59"/>
    </row>
    <row r="810" ht="35.25" customHeight="1">
      <c r="A810" s="59"/>
      <c r="B810" s="59"/>
      <c r="C810" s="59"/>
      <c r="D810" s="59"/>
      <c r="E810" s="59"/>
      <c r="F810" s="59"/>
      <c r="G810" s="59"/>
      <c r="H810" s="178"/>
      <c r="I810" s="178"/>
      <c r="J810" s="59"/>
      <c r="K810" s="59"/>
      <c r="L810" s="59"/>
      <c r="M810" s="59"/>
      <c r="N810" s="59"/>
      <c r="O810" s="59"/>
      <c r="P810" s="59"/>
      <c r="Q810" s="59"/>
      <c r="R810" s="59"/>
      <c r="S810" s="59"/>
      <c r="T810" s="59"/>
      <c r="U810" s="59"/>
      <c r="V810" s="59"/>
      <c r="W810" s="59"/>
      <c r="X810" s="59"/>
      <c r="Y810" s="59"/>
    </row>
    <row r="811" ht="35.25" customHeight="1">
      <c r="A811" s="59"/>
      <c r="B811" s="59"/>
      <c r="C811" s="59"/>
      <c r="D811" s="59"/>
      <c r="E811" s="59"/>
      <c r="F811" s="59"/>
      <c r="G811" s="59"/>
      <c r="H811" s="178"/>
      <c r="I811" s="178"/>
      <c r="J811" s="59"/>
      <c r="K811" s="59"/>
      <c r="L811" s="59"/>
      <c r="M811" s="59"/>
      <c r="N811" s="59"/>
      <c r="O811" s="59"/>
      <c r="P811" s="59"/>
      <c r="Q811" s="59"/>
      <c r="R811" s="59"/>
      <c r="S811" s="59"/>
      <c r="T811" s="59"/>
      <c r="U811" s="59"/>
      <c r="V811" s="59"/>
      <c r="W811" s="59"/>
      <c r="X811" s="59"/>
      <c r="Y811" s="59"/>
    </row>
    <row r="812" ht="35.25" customHeight="1">
      <c r="A812" s="59"/>
      <c r="B812" s="59"/>
      <c r="C812" s="59"/>
      <c r="D812" s="59"/>
      <c r="E812" s="59"/>
      <c r="F812" s="59"/>
      <c r="G812" s="59"/>
      <c r="H812" s="178"/>
      <c r="I812" s="178"/>
      <c r="J812" s="59"/>
      <c r="K812" s="59"/>
      <c r="L812" s="59"/>
      <c r="M812" s="59"/>
      <c r="N812" s="59"/>
      <c r="O812" s="59"/>
      <c r="P812" s="59"/>
      <c r="Q812" s="59"/>
      <c r="R812" s="59"/>
      <c r="S812" s="59"/>
      <c r="T812" s="59"/>
      <c r="U812" s="59"/>
      <c r="V812" s="59"/>
      <c r="W812" s="59"/>
      <c r="X812" s="59"/>
      <c r="Y812" s="59"/>
    </row>
    <row r="813" ht="35.25" customHeight="1">
      <c r="A813" s="59"/>
      <c r="B813" s="59"/>
      <c r="C813" s="59"/>
      <c r="D813" s="59"/>
      <c r="E813" s="59"/>
      <c r="F813" s="59"/>
      <c r="G813" s="59"/>
      <c r="H813" s="178"/>
      <c r="I813" s="178"/>
      <c r="J813" s="59"/>
      <c r="K813" s="59"/>
      <c r="L813" s="59"/>
      <c r="M813" s="59"/>
      <c r="N813" s="59"/>
      <c r="O813" s="59"/>
      <c r="P813" s="59"/>
      <c r="Q813" s="59"/>
      <c r="R813" s="59"/>
      <c r="S813" s="59"/>
      <c r="T813" s="59"/>
      <c r="U813" s="59"/>
      <c r="V813" s="59"/>
      <c r="W813" s="59"/>
      <c r="X813" s="59"/>
      <c r="Y813" s="59"/>
    </row>
    <row r="814" ht="35.25" customHeight="1">
      <c r="A814" s="59"/>
      <c r="B814" s="59"/>
      <c r="C814" s="59"/>
      <c r="D814" s="59"/>
      <c r="E814" s="59"/>
      <c r="F814" s="59"/>
      <c r="G814" s="59"/>
      <c r="H814" s="178"/>
      <c r="I814" s="178"/>
      <c r="J814" s="59"/>
      <c r="K814" s="59"/>
      <c r="L814" s="59"/>
      <c r="M814" s="59"/>
      <c r="N814" s="59"/>
      <c r="O814" s="59"/>
      <c r="P814" s="59"/>
      <c r="Q814" s="59"/>
      <c r="R814" s="59"/>
      <c r="S814" s="59"/>
      <c r="T814" s="59"/>
      <c r="U814" s="59"/>
      <c r="V814" s="59"/>
      <c r="W814" s="59"/>
      <c r="X814" s="59"/>
      <c r="Y814" s="59"/>
    </row>
    <row r="815" ht="35.25" customHeight="1">
      <c r="A815" s="59"/>
      <c r="B815" s="59"/>
      <c r="C815" s="59"/>
      <c r="D815" s="59"/>
      <c r="E815" s="59"/>
      <c r="F815" s="59"/>
      <c r="G815" s="59"/>
      <c r="H815" s="178"/>
      <c r="I815" s="178"/>
      <c r="J815" s="59"/>
      <c r="K815" s="59"/>
      <c r="L815" s="59"/>
      <c r="M815" s="59"/>
      <c r="N815" s="59"/>
      <c r="O815" s="59"/>
      <c r="P815" s="59"/>
      <c r="Q815" s="59"/>
      <c r="R815" s="59"/>
      <c r="S815" s="59"/>
      <c r="T815" s="59"/>
      <c r="U815" s="59"/>
      <c r="V815" s="59"/>
      <c r="W815" s="59"/>
      <c r="X815" s="59"/>
      <c r="Y815" s="59"/>
    </row>
    <row r="816" ht="35.25" customHeight="1">
      <c r="A816" s="59"/>
      <c r="B816" s="59"/>
      <c r="C816" s="59"/>
      <c r="D816" s="59"/>
      <c r="E816" s="59"/>
      <c r="F816" s="59"/>
      <c r="G816" s="59"/>
      <c r="H816" s="178"/>
      <c r="I816" s="178"/>
      <c r="J816" s="59"/>
      <c r="K816" s="59"/>
      <c r="L816" s="59"/>
      <c r="M816" s="59"/>
      <c r="N816" s="59"/>
      <c r="O816" s="59"/>
      <c r="P816" s="59"/>
      <c r="Q816" s="59"/>
      <c r="R816" s="59"/>
      <c r="S816" s="59"/>
      <c r="T816" s="59"/>
      <c r="U816" s="59"/>
      <c r="V816" s="59"/>
      <c r="W816" s="59"/>
      <c r="X816" s="59"/>
      <c r="Y816" s="59"/>
    </row>
    <row r="817" ht="35.25" customHeight="1">
      <c r="A817" s="59"/>
      <c r="B817" s="59"/>
      <c r="C817" s="59"/>
      <c r="D817" s="59"/>
      <c r="E817" s="59"/>
      <c r="F817" s="59"/>
      <c r="G817" s="59"/>
      <c r="H817" s="178"/>
      <c r="I817" s="178"/>
      <c r="J817" s="59"/>
      <c r="K817" s="59"/>
      <c r="L817" s="59"/>
      <c r="M817" s="59"/>
      <c r="N817" s="59"/>
      <c r="O817" s="59"/>
      <c r="P817" s="59"/>
      <c r="Q817" s="59"/>
      <c r="R817" s="59"/>
      <c r="S817" s="59"/>
      <c r="T817" s="59"/>
      <c r="U817" s="59"/>
      <c r="V817" s="59"/>
      <c r="W817" s="59"/>
      <c r="X817" s="59"/>
      <c r="Y817" s="59"/>
    </row>
    <row r="818" ht="35.25" customHeight="1">
      <c r="A818" s="59"/>
      <c r="B818" s="59"/>
      <c r="C818" s="59"/>
      <c r="D818" s="59"/>
      <c r="E818" s="59"/>
      <c r="F818" s="59"/>
      <c r="G818" s="59"/>
      <c r="H818" s="178"/>
      <c r="I818" s="178"/>
      <c r="J818" s="59"/>
      <c r="K818" s="59"/>
      <c r="L818" s="59"/>
      <c r="M818" s="59"/>
      <c r="N818" s="59"/>
      <c r="O818" s="59"/>
      <c r="P818" s="59"/>
      <c r="Q818" s="59"/>
      <c r="R818" s="59"/>
      <c r="S818" s="59"/>
      <c r="T818" s="59"/>
      <c r="U818" s="59"/>
      <c r="V818" s="59"/>
      <c r="W818" s="59"/>
      <c r="X818" s="59"/>
      <c r="Y818" s="59"/>
    </row>
    <row r="819" ht="35.25" customHeight="1">
      <c r="A819" s="59"/>
      <c r="B819" s="59"/>
      <c r="C819" s="59"/>
      <c r="D819" s="59"/>
      <c r="E819" s="59"/>
      <c r="F819" s="59"/>
      <c r="G819" s="59"/>
      <c r="H819" s="178"/>
      <c r="I819" s="178"/>
      <c r="J819" s="59"/>
      <c r="K819" s="59"/>
      <c r="L819" s="59"/>
      <c r="M819" s="59"/>
      <c r="N819" s="59"/>
      <c r="O819" s="59"/>
      <c r="P819" s="59"/>
      <c r="Q819" s="59"/>
      <c r="R819" s="59"/>
      <c r="S819" s="59"/>
      <c r="T819" s="59"/>
      <c r="U819" s="59"/>
      <c r="V819" s="59"/>
      <c r="W819" s="59"/>
      <c r="X819" s="59"/>
      <c r="Y819" s="59"/>
    </row>
    <row r="820" ht="35.25" customHeight="1">
      <c r="A820" s="59"/>
      <c r="B820" s="59"/>
      <c r="C820" s="59"/>
      <c r="D820" s="59"/>
      <c r="E820" s="59"/>
      <c r="F820" s="59"/>
      <c r="G820" s="59"/>
      <c r="H820" s="178"/>
      <c r="I820" s="178"/>
      <c r="J820" s="59"/>
      <c r="K820" s="59"/>
      <c r="L820" s="59"/>
      <c r="M820" s="59"/>
      <c r="N820" s="59"/>
      <c r="O820" s="59"/>
      <c r="P820" s="59"/>
      <c r="Q820" s="59"/>
      <c r="R820" s="59"/>
      <c r="S820" s="59"/>
      <c r="T820" s="59"/>
      <c r="U820" s="59"/>
      <c r="V820" s="59"/>
      <c r="W820" s="59"/>
      <c r="X820" s="59"/>
      <c r="Y820" s="59"/>
    </row>
    <row r="821" ht="35.25" customHeight="1">
      <c r="A821" s="59"/>
      <c r="B821" s="59"/>
      <c r="C821" s="59"/>
      <c r="D821" s="59"/>
      <c r="E821" s="59"/>
      <c r="F821" s="59"/>
      <c r="G821" s="59"/>
      <c r="H821" s="178"/>
      <c r="I821" s="178"/>
      <c r="J821" s="59"/>
      <c r="K821" s="59"/>
      <c r="L821" s="59"/>
      <c r="M821" s="59"/>
      <c r="N821" s="59"/>
      <c r="O821" s="59"/>
      <c r="P821" s="59"/>
      <c r="Q821" s="59"/>
      <c r="R821" s="59"/>
      <c r="S821" s="59"/>
      <c r="T821" s="59"/>
      <c r="U821" s="59"/>
      <c r="V821" s="59"/>
      <c r="W821" s="59"/>
      <c r="X821" s="59"/>
      <c r="Y821" s="59"/>
    </row>
    <row r="822" ht="35.25" customHeight="1">
      <c r="A822" s="59"/>
      <c r="B822" s="59"/>
      <c r="C822" s="59"/>
      <c r="D822" s="59"/>
      <c r="E822" s="59"/>
      <c r="F822" s="59"/>
      <c r="G822" s="59"/>
      <c r="H822" s="178"/>
      <c r="I822" s="178"/>
      <c r="J822" s="59"/>
      <c r="K822" s="59"/>
      <c r="L822" s="59"/>
      <c r="M822" s="59"/>
      <c r="N822" s="59"/>
      <c r="O822" s="59"/>
      <c r="P822" s="59"/>
      <c r="Q822" s="59"/>
      <c r="R822" s="59"/>
      <c r="S822" s="59"/>
      <c r="T822" s="59"/>
      <c r="U822" s="59"/>
      <c r="V822" s="59"/>
      <c r="W822" s="59"/>
      <c r="X822" s="59"/>
      <c r="Y822" s="59"/>
    </row>
    <row r="823" ht="35.25" customHeight="1">
      <c r="A823" s="59"/>
      <c r="B823" s="59"/>
      <c r="C823" s="59"/>
      <c r="D823" s="59"/>
      <c r="E823" s="59"/>
      <c r="F823" s="59"/>
      <c r="G823" s="59"/>
      <c r="H823" s="178"/>
      <c r="I823" s="178"/>
      <c r="J823" s="59"/>
      <c r="K823" s="59"/>
      <c r="L823" s="59"/>
      <c r="M823" s="59"/>
      <c r="N823" s="59"/>
      <c r="O823" s="59"/>
      <c r="P823" s="59"/>
      <c r="Q823" s="59"/>
      <c r="R823" s="59"/>
      <c r="S823" s="59"/>
      <c r="T823" s="59"/>
      <c r="U823" s="59"/>
      <c r="V823" s="59"/>
      <c r="W823" s="59"/>
      <c r="X823" s="59"/>
      <c r="Y823" s="59"/>
    </row>
    <row r="824" ht="35.25" customHeight="1">
      <c r="A824" s="59"/>
      <c r="B824" s="59"/>
      <c r="C824" s="59"/>
      <c r="D824" s="59"/>
      <c r="E824" s="59"/>
      <c r="F824" s="59"/>
      <c r="G824" s="59"/>
      <c r="H824" s="178"/>
      <c r="I824" s="178"/>
      <c r="J824" s="59"/>
      <c r="K824" s="59"/>
      <c r="L824" s="59"/>
      <c r="M824" s="59"/>
      <c r="N824" s="59"/>
      <c r="O824" s="59"/>
      <c r="P824" s="59"/>
      <c r="Q824" s="59"/>
      <c r="R824" s="59"/>
      <c r="S824" s="59"/>
      <c r="T824" s="59"/>
      <c r="U824" s="59"/>
      <c r="V824" s="59"/>
      <c r="W824" s="59"/>
      <c r="X824" s="59"/>
      <c r="Y824" s="59"/>
    </row>
    <row r="825" ht="35.25" customHeight="1">
      <c r="A825" s="59"/>
      <c r="B825" s="59"/>
      <c r="C825" s="59"/>
      <c r="D825" s="59"/>
      <c r="E825" s="59"/>
      <c r="F825" s="59"/>
      <c r="G825" s="59"/>
      <c r="H825" s="178"/>
      <c r="I825" s="178"/>
      <c r="J825" s="59"/>
      <c r="K825" s="59"/>
      <c r="L825" s="59"/>
      <c r="M825" s="59"/>
      <c r="N825" s="59"/>
      <c r="O825" s="59"/>
      <c r="P825" s="59"/>
      <c r="Q825" s="59"/>
      <c r="R825" s="59"/>
      <c r="S825" s="59"/>
      <c r="T825" s="59"/>
      <c r="U825" s="59"/>
      <c r="V825" s="59"/>
      <c r="W825" s="59"/>
      <c r="X825" s="59"/>
      <c r="Y825" s="59"/>
    </row>
    <row r="826" ht="35.25" customHeight="1">
      <c r="A826" s="59"/>
      <c r="B826" s="59"/>
      <c r="C826" s="59"/>
      <c r="D826" s="59"/>
      <c r="E826" s="59"/>
      <c r="F826" s="59"/>
      <c r="G826" s="59"/>
      <c r="H826" s="178"/>
      <c r="I826" s="178"/>
      <c r="J826" s="59"/>
      <c r="K826" s="59"/>
      <c r="L826" s="59"/>
      <c r="M826" s="59"/>
      <c r="N826" s="59"/>
      <c r="O826" s="59"/>
      <c r="P826" s="59"/>
      <c r="Q826" s="59"/>
      <c r="R826" s="59"/>
      <c r="S826" s="59"/>
      <c r="T826" s="59"/>
      <c r="U826" s="59"/>
      <c r="V826" s="59"/>
      <c r="W826" s="59"/>
      <c r="X826" s="59"/>
      <c r="Y826" s="59"/>
    </row>
    <row r="827" ht="35.25" customHeight="1">
      <c r="A827" s="59"/>
      <c r="B827" s="59"/>
      <c r="C827" s="59"/>
      <c r="D827" s="59"/>
      <c r="E827" s="59"/>
      <c r="F827" s="59"/>
      <c r="G827" s="59"/>
      <c r="H827" s="178"/>
      <c r="I827" s="178"/>
      <c r="J827" s="59"/>
      <c r="K827" s="59"/>
      <c r="L827" s="59"/>
      <c r="M827" s="59"/>
      <c r="N827" s="59"/>
      <c r="O827" s="59"/>
      <c r="P827" s="59"/>
      <c r="Q827" s="59"/>
      <c r="R827" s="59"/>
      <c r="S827" s="59"/>
      <c r="T827" s="59"/>
      <c r="U827" s="59"/>
      <c r="V827" s="59"/>
      <c r="W827" s="59"/>
      <c r="X827" s="59"/>
      <c r="Y827" s="59"/>
    </row>
    <row r="828" ht="35.25" customHeight="1">
      <c r="A828" s="59"/>
      <c r="B828" s="59"/>
      <c r="C828" s="59"/>
      <c r="D828" s="59"/>
      <c r="E828" s="59"/>
      <c r="F828" s="59"/>
      <c r="G828" s="59"/>
      <c r="H828" s="178"/>
      <c r="I828" s="178"/>
      <c r="J828" s="59"/>
      <c r="K828" s="59"/>
      <c r="L828" s="59"/>
      <c r="M828" s="59"/>
      <c r="N828" s="59"/>
      <c r="O828" s="59"/>
      <c r="P828" s="59"/>
      <c r="Q828" s="59"/>
      <c r="R828" s="59"/>
      <c r="S828" s="59"/>
      <c r="T828" s="59"/>
      <c r="U828" s="59"/>
      <c r="V828" s="59"/>
      <c r="W828" s="59"/>
      <c r="X828" s="59"/>
      <c r="Y828" s="59"/>
    </row>
    <row r="829" ht="35.25" customHeight="1">
      <c r="A829" s="59"/>
      <c r="B829" s="59"/>
      <c r="C829" s="59"/>
      <c r="D829" s="59"/>
      <c r="E829" s="59"/>
      <c r="F829" s="59"/>
      <c r="G829" s="59"/>
      <c r="H829" s="178"/>
      <c r="I829" s="178"/>
      <c r="J829" s="59"/>
      <c r="K829" s="59"/>
      <c r="L829" s="59"/>
      <c r="M829" s="59"/>
      <c r="N829" s="59"/>
      <c r="O829" s="59"/>
      <c r="P829" s="59"/>
      <c r="Q829" s="59"/>
      <c r="R829" s="59"/>
      <c r="S829" s="59"/>
      <c r="T829" s="59"/>
      <c r="U829" s="59"/>
      <c r="V829" s="59"/>
      <c r="W829" s="59"/>
      <c r="X829" s="59"/>
      <c r="Y829" s="59"/>
    </row>
    <row r="830" ht="35.25" customHeight="1">
      <c r="A830" s="59"/>
      <c r="B830" s="59"/>
      <c r="C830" s="59"/>
      <c r="D830" s="59"/>
      <c r="E830" s="59"/>
      <c r="F830" s="59"/>
      <c r="G830" s="59"/>
      <c r="H830" s="178"/>
      <c r="I830" s="178"/>
      <c r="J830" s="59"/>
      <c r="K830" s="59"/>
      <c r="L830" s="59"/>
      <c r="M830" s="59"/>
      <c r="N830" s="59"/>
      <c r="O830" s="59"/>
      <c r="P830" s="59"/>
      <c r="Q830" s="59"/>
      <c r="R830" s="59"/>
      <c r="S830" s="59"/>
      <c r="T830" s="59"/>
      <c r="U830" s="59"/>
      <c r="V830" s="59"/>
      <c r="W830" s="59"/>
      <c r="X830" s="59"/>
      <c r="Y830" s="59"/>
    </row>
    <row r="831" ht="35.25" customHeight="1">
      <c r="A831" s="59"/>
      <c r="B831" s="59"/>
      <c r="C831" s="59"/>
      <c r="D831" s="59"/>
      <c r="E831" s="59"/>
      <c r="F831" s="59"/>
      <c r="G831" s="59"/>
      <c r="H831" s="178"/>
      <c r="I831" s="178"/>
      <c r="J831" s="59"/>
      <c r="K831" s="59"/>
      <c r="L831" s="59"/>
      <c r="M831" s="59"/>
      <c r="N831" s="59"/>
      <c r="O831" s="59"/>
      <c r="P831" s="59"/>
      <c r="Q831" s="59"/>
      <c r="R831" s="59"/>
      <c r="S831" s="59"/>
      <c r="T831" s="59"/>
      <c r="U831" s="59"/>
      <c r="V831" s="59"/>
      <c r="W831" s="59"/>
      <c r="X831" s="59"/>
      <c r="Y831" s="59"/>
    </row>
    <row r="832" ht="35.25" customHeight="1">
      <c r="A832" s="59"/>
      <c r="B832" s="59"/>
      <c r="C832" s="59"/>
      <c r="D832" s="59"/>
      <c r="E832" s="59"/>
      <c r="F832" s="59"/>
      <c r="G832" s="59"/>
      <c r="H832" s="178"/>
      <c r="I832" s="178"/>
      <c r="J832" s="59"/>
      <c r="K832" s="59"/>
      <c r="L832" s="59"/>
      <c r="M832" s="59"/>
      <c r="N832" s="59"/>
      <c r="O832" s="59"/>
      <c r="P832" s="59"/>
      <c r="Q832" s="59"/>
      <c r="R832" s="59"/>
      <c r="S832" s="59"/>
      <c r="T832" s="59"/>
      <c r="U832" s="59"/>
      <c r="V832" s="59"/>
      <c r="W832" s="59"/>
      <c r="X832" s="59"/>
      <c r="Y832" s="59"/>
    </row>
    <row r="833" ht="35.25" customHeight="1">
      <c r="A833" s="59"/>
      <c r="B833" s="59"/>
      <c r="C833" s="59"/>
      <c r="D833" s="59"/>
      <c r="E833" s="59"/>
      <c r="F833" s="59"/>
      <c r="G833" s="59"/>
      <c r="H833" s="178"/>
      <c r="I833" s="178"/>
      <c r="J833" s="59"/>
      <c r="K833" s="59"/>
      <c r="L833" s="59"/>
      <c r="M833" s="59"/>
      <c r="N833" s="59"/>
      <c r="O833" s="59"/>
      <c r="P833" s="59"/>
      <c r="Q833" s="59"/>
      <c r="R833" s="59"/>
      <c r="S833" s="59"/>
      <c r="T833" s="59"/>
      <c r="U833" s="59"/>
      <c r="V833" s="59"/>
      <c r="W833" s="59"/>
      <c r="X833" s="59"/>
      <c r="Y833" s="59"/>
    </row>
    <row r="834" ht="35.25" customHeight="1">
      <c r="A834" s="59"/>
      <c r="B834" s="59"/>
      <c r="C834" s="59"/>
      <c r="D834" s="59"/>
      <c r="E834" s="59"/>
      <c r="F834" s="59"/>
      <c r="G834" s="59"/>
      <c r="H834" s="178"/>
      <c r="I834" s="178"/>
      <c r="J834" s="59"/>
      <c r="K834" s="59"/>
      <c r="L834" s="59"/>
      <c r="M834" s="59"/>
      <c r="N834" s="59"/>
      <c r="O834" s="59"/>
      <c r="P834" s="59"/>
      <c r="Q834" s="59"/>
      <c r="R834" s="59"/>
      <c r="S834" s="59"/>
      <c r="T834" s="59"/>
      <c r="U834" s="59"/>
      <c r="V834" s="59"/>
      <c r="W834" s="59"/>
      <c r="X834" s="59"/>
      <c r="Y834" s="59"/>
    </row>
    <row r="835" ht="35.25" customHeight="1">
      <c r="A835" s="59"/>
      <c r="B835" s="59"/>
      <c r="C835" s="59"/>
      <c r="D835" s="59"/>
      <c r="E835" s="59"/>
      <c r="F835" s="59"/>
      <c r="G835" s="59"/>
      <c r="H835" s="178"/>
      <c r="I835" s="178"/>
      <c r="J835" s="59"/>
      <c r="K835" s="59"/>
      <c r="L835" s="59"/>
      <c r="M835" s="59"/>
      <c r="N835" s="59"/>
      <c r="O835" s="59"/>
      <c r="P835" s="59"/>
      <c r="Q835" s="59"/>
      <c r="R835" s="59"/>
      <c r="S835" s="59"/>
      <c r="T835" s="59"/>
      <c r="U835" s="59"/>
      <c r="V835" s="59"/>
      <c r="W835" s="59"/>
      <c r="X835" s="59"/>
      <c r="Y835" s="59"/>
    </row>
    <row r="836" ht="35.25" customHeight="1">
      <c r="A836" s="59"/>
      <c r="B836" s="59"/>
      <c r="C836" s="59"/>
      <c r="D836" s="59"/>
      <c r="E836" s="59"/>
      <c r="F836" s="59"/>
      <c r="G836" s="59"/>
      <c r="H836" s="178"/>
      <c r="I836" s="178"/>
      <c r="J836" s="59"/>
      <c r="K836" s="59"/>
      <c r="L836" s="59"/>
      <c r="M836" s="59"/>
      <c r="N836" s="59"/>
      <c r="O836" s="59"/>
      <c r="P836" s="59"/>
      <c r="Q836" s="59"/>
      <c r="R836" s="59"/>
      <c r="S836" s="59"/>
      <c r="T836" s="59"/>
      <c r="U836" s="59"/>
      <c r="V836" s="59"/>
      <c r="W836" s="59"/>
      <c r="X836" s="59"/>
      <c r="Y836" s="59"/>
    </row>
    <row r="837" ht="35.25" customHeight="1">
      <c r="A837" s="59"/>
      <c r="B837" s="59"/>
      <c r="C837" s="59"/>
      <c r="D837" s="59"/>
      <c r="E837" s="59"/>
      <c r="F837" s="59"/>
      <c r="G837" s="59"/>
      <c r="H837" s="178"/>
      <c r="I837" s="178"/>
      <c r="J837" s="59"/>
      <c r="K837" s="59"/>
      <c r="L837" s="59"/>
      <c r="M837" s="59"/>
      <c r="N837" s="59"/>
      <c r="O837" s="59"/>
      <c r="P837" s="59"/>
      <c r="Q837" s="59"/>
      <c r="R837" s="59"/>
      <c r="S837" s="59"/>
      <c r="T837" s="59"/>
      <c r="U837" s="59"/>
      <c r="V837" s="59"/>
      <c r="W837" s="59"/>
      <c r="X837" s="59"/>
      <c r="Y837" s="59"/>
    </row>
    <row r="838" ht="35.25" customHeight="1">
      <c r="A838" s="59"/>
      <c r="B838" s="59"/>
      <c r="C838" s="59"/>
      <c r="D838" s="59"/>
      <c r="E838" s="59"/>
      <c r="F838" s="59"/>
      <c r="G838" s="59"/>
      <c r="H838" s="178"/>
      <c r="I838" s="178"/>
      <c r="J838" s="59"/>
      <c r="K838" s="59"/>
      <c r="L838" s="59"/>
      <c r="M838" s="59"/>
      <c r="N838" s="59"/>
      <c r="O838" s="59"/>
      <c r="P838" s="59"/>
      <c r="Q838" s="59"/>
      <c r="R838" s="59"/>
      <c r="S838" s="59"/>
      <c r="T838" s="59"/>
      <c r="U838" s="59"/>
      <c r="V838" s="59"/>
      <c r="W838" s="59"/>
      <c r="X838" s="59"/>
      <c r="Y838" s="59"/>
    </row>
    <row r="839" ht="35.25" customHeight="1">
      <c r="A839" s="59"/>
      <c r="B839" s="59"/>
      <c r="C839" s="59"/>
      <c r="D839" s="59"/>
      <c r="E839" s="59"/>
      <c r="F839" s="59"/>
      <c r="G839" s="59"/>
      <c r="H839" s="178"/>
      <c r="I839" s="178"/>
      <c r="J839" s="59"/>
      <c r="K839" s="59"/>
      <c r="L839" s="59"/>
      <c r="M839" s="59"/>
      <c r="N839" s="59"/>
      <c r="O839" s="59"/>
      <c r="P839" s="59"/>
      <c r="Q839" s="59"/>
      <c r="R839" s="59"/>
      <c r="S839" s="59"/>
      <c r="T839" s="59"/>
      <c r="U839" s="59"/>
      <c r="V839" s="59"/>
      <c r="W839" s="59"/>
      <c r="X839" s="59"/>
      <c r="Y839" s="59"/>
    </row>
    <row r="840" ht="35.25" customHeight="1">
      <c r="A840" s="59"/>
      <c r="B840" s="59"/>
      <c r="C840" s="59"/>
      <c r="D840" s="59"/>
      <c r="E840" s="59"/>
      <c r="F840" s="59"/>
      <c r="G840" s="59"/>
      <c r="H840" s="178"/>
      <c r="I840" s="178"/>
      <c r="J840" s="59"/>
      <c r="K840" s="59"/>
      <c r="L840" s="59"/>
      <c r="M840" s="59"/>
      <c r="N840" s="59"/>
      <c r="O840" s="59"/>
      <c r="P840" s="59"/>
      <c r="Q840" s="59"/>
      <c r="R840" s="59"/>
      <c r="S840" s="59"/>
      <c r="T840" s="59"/>
      <c r="U840" s="59"/>
      <c r="V840" s="59"/>
      <c r="W840" s="59"/>
      <c r="X840" s="59"/>
      <c r="Y840" s="59"/>
    </row>
    <row r="841" ht="35.25" customHeight="1">
      <c r="A841" s="59"/>
      <c r="B841" s="59"/>
      <c r="C841" s="59"/>
      <c r="D841" s="59"/>
      <c r="E841" s="59"/>
      <c r="F841" s="59"/>
      <c r="G841" s="59"/>
      <c r="H841" s="178"/>
      <c r="I841" s="178"/>
      <c r="J841" s="59"/>
      <c r="K841" s="59"/>
      <c r="L841" s="59"/>
      <c r="M841" s="59"/>
      <c r="N841" s="59"/>
      <c r="O841" s="59"/>
      <c r="P841" s="59"/>
      <c r="Q841" s="59"/>
      <c r="R841" s="59"/>
      <c r="S841" s="59"/>
      <c r="T841" s="59"/>
      <c r="U841" s="59"/>
      <c r="V841" s="59"/>
      <c r="W841" s="59"/>
      <c r="X841" s="59"/>
      <c r="Y841" s="59"/>
    </row>
    <row r="842" ht="35.25" customHeight="1">
      <c r="A842" s="59"/>
      <c r="B842" s="59"/>
      <c r="C842" s="59"/>
      <c r="D842" s="59"/>
      <c r="E842" s="59"/>
      <c r="F842" s="59"/>
      <c r="G842" s="59"/>
      <c r="H842" s="178"/>
      <c r="I842" s="178"/>
      <c r="J842" s="59"/>
      <c r="K842" s="59"/>
      <c r="L842" s="59"/>
      <c r="M842" s="59"/>
      <c r="N842" s="59"/>
      <c r="O842" s="59"/>
      <c r="P842" s="59"/>
      <c r="Q842" s="59"/>
      <c r="R842" s="59"/>
      <c r="S842" s="59"/>
      <c r="T842" s="59"/>
      <c r="U842" s="59"/>
      <c r="V842" s="59"/>
      <c r="W842" s="59"/>
      <c r="X842" s="59"/>
      <c r="Y842" s="59"/>
    </row>
    <row r="843" ht="35.25" customHeight="1">
      <c r="A843" s="59"/>
      <c r="B843" s="59"/>
      <c r="C843" s="59"/>
      <c r="D843" s="59"/>
      <c r="E843" s="59"/>
      <c r="F843" s="59"/>
      <c r="G843" s="59"/>
      <c r="H843" s="178"/>
      <c r="I843" s="178"/>
      <c r="J843" s="59"/>
      <c r="K843" s="59"/>
      <c r="L843" s="59"/>
      <c r="M843" s="59"/>
      <c r="N843" s="59"/>
      <c r="O843" s="59"/>
      <c r="P843" s="59"/>
      <c r="Q843" s="59"/>
      <c r="R843" s="59"/>
      <c r="S843" s="59"/>
      <c r="T843" s="59"/>
      <c r="U843" s="59"/>
      <c r="V843" s="59"/>
      <c r="W843" s="59"/>
      <c r="X843" s="59"/>
      <c r="Y843" s="59"/>
    </row>
    <row r="844" ht="35.25" customHeight="1">
      <c r="A844" s="59"/>
      <c r="B844" s="59"/>
      <c r="C844" s="59"/>
      <c r="D844" s="59"/>
      <c r="E844" s="59"/>
      <c r="F844" s="59"/>
      <c r="G844" s="59"/>
      <c r="H844" s="178"/>
      <c r="I844" s="178"/>
      <c r="J844" s="59"/>
      <c r="K844" s="59"/>
      <c r="L844" s="59"/>
      <c r="M844" s="59"/>
      <c r="N844" s="59"/>
      <c r="O844" s="59"/>
      <c r="P844" s="59"/>
      <c r="Q844" s="59"/>
      <c r="R844" s="59"/>
      <c r="S844" s="59"/>
      <c r="T844" s="59"/>
      <c r="U844" s="59"/>
      <c r="V844" s="59"/>
      <c r="W844" s="59"/>
      <c r="X844" s="59"/>
      <c r="Y844" s="59"/>
    </row>
    <row r="845" ht="35.25" customHeight="1">
      <c r="A845" s="59"/>
      <c r="B845" s="59"/>
      <c r="C845" s="59"/>
      <c r="D845" s="59"/>
      <c r="E845" s="59"/>
      <c r="F845" s="59"/>
      <c r="G845" s="59"/>
      <c r="H845" s="178"/>
      <c r="I845" s="178"/>
      <c r="J845" s="59"/>
      <c r="K845" s="59"/>
      <c r="L845" s="59"/>
      <c r="M845" s="59"/>
      <c r="N845" s="59"/>
      <c r="O845" s="59"/>
      <c r="P845" s="59"/>
      <c r="Q845" s="59"/>
      <c r="R845" s="59"/>
      <c r="S845" s="59"/>
      <c r="T845" s="59"/>
      <c r="U845" s="59"/>
      <c r="V845" s="59"/>
      <c r="W845" s="59"/>
      <c r="X845" s="59"/>
      <c r="Y845" s="59"/>
    </row>
    <row r="846" ht="35.25" customHeight="1">
      <c r="A846" s="59"/>
      <c r="B846" s="59"/>
      <c r="C846" s="59"/>
      <c r="D846" s="59"/>
      <c r="E846" s="59"/>
      <c r="F846" s="59"/>
      <c r="G846" s="59"/>
      <c r="H846" s="178"/>
      <c r="I846" s="178"/>
      <c r="J846" s="59"/>
      <c r="K846" s="59"/>
      <c r="L846" s="59"/>
      <c r="M846" s="59"/>
      <c r="N846" s="59"/>
      <c r="O846" s="59"/>
      <c r="P846" s="59"/>
      <c r="Q846" s="59"/>
      <c r="R846" s="59"/>
      <c r="S846" s="59"/>
      <c r="T846" s="59"/>
      <c r="U846" s="59"/>
      <c r="V846" s="59"/>
      <c r="W846" s="59"/>
      <c r="X846" s="59"/>
      <c r="Y846" s="59"/>
    </row>
    <row r="847" ht="35.25" customHeight="1">
      <c r="A847" s="59"/>
      <c r="B847" s="59"/>
      <c r="C847" s="59"/>
      <c r="D847" s="59"/>
      <c r="E847" s="59"/>
      <c r="F847" s="59"/>
      <c r="G847" s="59"/>
      <c r="H847" s="178"/>
      <c r="I847" s="178"/>
      <c r="J847" s="59"/>
      <c r="K847" s="59"/>
      <c r="L847" s="59"/>
      <c r="M847" s="59"/>
      <c r="N847" s="59"/>
      <c r="O847" s="59"/>
      <c r="P847" s="59"/>
      <c r="Q847" s="59"/>
      <c r="R847" s="59"/>
      <c r="S847" s="59"/>
      <c r="T847" s="59"/>
      <c r="U847" s="59"/>
      <c r="V847" s="59"/>
      <c r="W847" s="59"/>
      <c r="X847" s="59"/>
      <c r="Y847" s="59"/>
    </row>
    <row r="848" ht="35.25" customHeight="1">
      <c r="A848" s="59"/>
      <c r="B848" s="59"/>
      <c r="C848" s="59"/>
      <c r="D848" s="59"/>
      <c r="E848" s="59"/>
      <c r="F848" s="59"/>
      <c r="G848" s="59"/>
      <c r="H848" s="178"/>
      <c r="I848" s="178"/>
      <c r="J848" s="59"/>
      <c r="K848" s="59"/>
      <c r="L848" s="59"/>
      <c r="M848" s="59"/>
      <c r="N848" s="59"/>
      <c r="O848" s="59"/>
      <c r="P848" s="59"/>
      <c r="Q848" s="59"/>
      <c r="R848" s="59"/>
      <c r="S848" s="59"/>
      <c r="T848" s="59"/>
      <c r="U848" s="59"/>
      <c r="V848" s="59"/>
      <c r="W848" s="59"/>
      <c r="X848" s="59"/>
      <c r="Y848" s="59"/>
    </row>
    <row r="849" ht="35.25" customHeight="1">
      <c r="A849" s="59"/>
      <c r="B849" s="59"/>
      <c r="C849" s="59"/>
      <c r="D849" s="59"/>
      <c r="E849" s="59"/>
      <c r="F849" s="59"/>
      <c r="G849" s="59"/>
      <c r="H849" s="178"/>
      <c r="I849" s="178"/>
      <c r="J849" s="59"/>
      <c r="K849" s="59"/>
      <c r="L849" s="59"/>
      <c r="M849" s="59"/>
      <c r="N849" s="59"/>
      <c r="O849" s="59"/>
      <c r="P849" s="59"/>
      <c r="Q849" s="59"/>
      <c r="R849" s="59"/>
      <c r="S849" s="59"/>
      <c r="T849" s="59"/>
      <c r="U849" s="59"/>
      <c r="V849" s="59"/>
      <c r="W849" s="59"/>
      <c r="X849" s="59"/>
      <c r="Y849" s="59"/>
    </row>
    <row r="850" ht="35.25" customHeight="1">
      <c r="A850" s="59"/>
      <c r="B850" s="59"/>
      <c r="C850" s="59"/>
      <c r="D850" s="59"/>
      <c r="E850" s="59"/>
      <c r="F850" s="59"/>
      <c r="G850" s="59"/>
      <c r="H850" s="178"/>
      <c r="I850" s="178"/>
      <c r="J850" s="59"/>
      <c r="K850" s="59"/>
      <c r="L850" s="59"/>
      <c r="M850" s="59"/>
      <c r="N850" s="59"/>
      <c r="O850" s="59"/>
      <c r="P850" s="59"/>
      <c r="Q850" s="59"/>
      <c r="R850" s="59"/>
      <c r="S850" s="59"/>
      <c r="T850" s="59"/>
      <c r="U850" s="59"/>
      <c r="V850" s="59"/>
      <c r="W850" s="59"/>
      <c r="X850" s="59"/>
      <c r="Y850" s="59"/>
    </row>
    <row r="851" ht="35.25" customHeight="1">
      <c r="A851" s="59"/>
      <c r="B851" s="59"/>
      <c r="C851" s="59"/>
      <c r="D851" s="59"/>
      <c r="E851" s="59"/>
      <c r="F851" s="59"/>
      <c r="G851" s="59"/>
      <c r="H851" s="178"/>
      <c r="I851" s="178"/>
      <c r="J851" s="59"/>
      <c r="K851" s="59"/>
      <c r="L851" s="59"/>
      <c r="M851" s="59"/>
      <c r="N851" s="59"/>
      <c r="O851" s="59"/>
      <c r="P851" s="59"/>
      <c r="Q851" s="59"/>
      <c r="R851" s="59"/>
      <c r="S851" s="59"/>
      <c r="T851" s="59"/>
      <c r="U851" s="59"/>
      <c r="V851" s="59"/>
      <c r="W851" s="59"/>
      <c r="X851" s="59"/>
      <c r="Y851" s="59"/>
    </row>
    <row r="852" ht="35.25" customHeight="1">
      <c r="A852" s="59"/>
      <c r="B852" s="59"/>
      <c r="C852" s="59"/>
      <c r="D852" s="59"/>
      <c r="E852" s="59"/>
      <c r="F852" s="59"/>
      <c r="G852" s="59"/>
      <c r="H852" s="178"/>
      <c r="I852" s="178"/>
      <c r="J852" s="59"/>
      <c r="K852" s="59"/>
      <c r="L852" s="59"/>
      <c r="M852" s="59"/>
      <c r="N852" s="59"/>
      <c r="O852" s="59"/>
      <c r="P852" s="59"/>
      <c r="Q852" s="59"/>
      <c r="R852" s="59"/>
      <c r="S852" s="59"/>
      <c r="T852" s="59"/>
      <c r="U852" s="59"/>
      <c r="V852" s="59"/>
      <c r="W852" s="59"/>
      <c r="X852" s="59"/>
      <c r="Y852" s="59"/>
    </row>
    <row r="853" ht="35.25" customHeight="1">
      <c r="A853" s="59"/>
      <c r="B853" s="59"/>
      <c r="C853" s="59"/>
      <c r="D853" s="59"/>
      <c r="E853" s="59"/>
      <c r="F853" s="59"/>
      <c r="G853" s="59"/>
      <c r="H853" s="178"/>
      <c r="I853" s="178"/>
      <c r="J853" s="59"/>
      <c r="K853" s="59"/>
      <c r="L853" s="59"/>
      <c r="M853" s="59"/>
      <c r="N853" s="59"/>
      <c r="O853" s="59"/>
      <c r="P853" s="59"/>
      <c r="Q853" s="59"/>
      <c r="R853" s="59"/>
      <c r="S853" s="59"/>
      <c r="T853" s="59"/>
      <c r="U853" s="59"/>
      <c r="V853" s="59"/>
      <c r="W853" s="59"/>
      <c r="X853" s="59"/>
      <c r="Y853" s="59"/>
    </row>
    <row r="854" ht="35.25" customHeight="1">
      <c r="A854" s="59"/>
      <c r="B854" s="59"/>
      <c r="C854" s="59"/>
      <c r="D854" s="59"/>
      <c r="E854" s="59"/>
      <c r="F854" s="59"/>
      <c r="G854" s="59"/>
      <c r="H854" s="178"/>
      <c r="I854" s="178"/>
      <c r="J854" s="59"/>
      <c r="K854" s="59"/>
      <c r="L854" s="59"/>
      <c r="M854" s="59"/>
      <c r="N854" s="59"/>
      <c r="O854" s="59"/>
      <c r="P854" s="59"/>
      <c r="Q854" s="59"/>
      <c r="R854" s="59"/>
      <c r="S854" s="59"/>
      <c r="T854" s="59"/>
      <c r="U854" s="59"/>
      <c r="V854" s="59"/>
      <c r="W854" s="59"/>
      <c r="X854" s="59"/>
      <c r="Y854" s="59"/>
    </row>
    <row r="855" ht="35.25" customHeight="1">
      <c r="A855" s="59"/>
      <c r="B855" s="59"/>
      <c r="C855" s="59"/>
      <c r="D855" s="59"/>
      <c r="E855" s="59"/>
      <c r="F855" s="59"/>
      <c r="G855" s="59"/>
      <c r="H855" s="178"/>
      <c r="I855" s="178"/>
      <c r="J855" s="59"/>
      <c r="K855" s="59"/>
      <c r="L855" s="59"/>
      <c r="M855" s="59"/>
      <c r="N855" s="59"/>
      <c r="O855" s="59"/>
      <c r="P855" s="59"/>
      <c r="Q855" s="59"/>
      <c r="R855" s="59"/>
      <c r="S855" s="59"/>
      <c r="T855" s="59"/>
      <c r="U855" s="59"/>
      <c r="V855" s="59"/>
      <c r="W855" s="59"/>
      <c r="X855" s="59"/>
      <c r="Y855" s="59"/>
    </row>
    <row r="856" ht="35.25" customHeight="1">
      <c r="A856" s="59"/>
      <c r="B856" s="59"/>
      <c r="C856" s="59"/>
      <c r="D856" s="59"/>
      <c r="E856" s="59"/>
      <c r="F856" s="59"/>
      <c r="G856" s="59"/>
      <c r="H856" s="178"/>
      <c r="I856" s="178"/>
      <c r="J856" s="59"/>
      <c r="K856" s="59"/>
      <c r="L856" s="59"/>
      <c r="M856" s="59"/>
      <c r="N856" s="59"/>
      <c r="O856" s="59"/>
      <c r="P856" s="59"/>
      <c r="Q856" s="59"/>
      <c r="R856" s="59"/>
      <c r="S856" s="59"/>
      <c r="T856" s="59"/>
      <c r="U856" s="59"/>
      <c r="V856" s="59"/>
      <c r="W856" s="59"/>
      <c r="X856" s="59"/>
      <c r="Y856" s="59"/>
    </row>
    <row r="857" ht="35.25" customHeight="1">
      <c r="A857" s="59"/>
      <c r="B857" s="59"/>
      <c r="C857" s="59"/>
      <c r="D857" s="59"/>
      <c r="E857" s="59"/>
      <c r="F857" s="59"/>
      <c r="G857" s="59"/>
      <c r="H857" s="178"/>
      <c r="I857" s="178"/>
      <c r="J857" s="59"/>
      <c r="K857" s="59"/>
      <c r="L857" s="59"/>
      <c r="M857" s="59"/>
      <c r="N857" s="59"/>
      <c r="O857" s="59"/>
      <c r="P857" s="59"/>
      <c r="Q857" s="59"/>
      <c r="R857" s="59"/>
      <c r="S857" s="59"/>
      <c r="T857" s="59"/>
      <c r="U857" s="59"/>
      <c r="V857" s="59"/>
      <c r="W857" s="59"/>
      <c r="X857" s="59"/>
      <c r="Y857" s="59"/>
    </row>
    <row r="858" ht="35.25" customHeight="1">
      <c r="A858" s="59"/>
      <c r="B858" s="59"/>
      <c r="C858" s="59"/>
      <c r="D858" s="59"/>
      <c r="E858" s="59"/>
      <c r="F858" s="59"/>
      <c r="G858" s="59"/>
      <c r="H858" s="178"/>
      <c r="I858" s="178"/>
      <c r="J858" s="59"/>
      <c r="K858" s="59"/>
      <c r="L858" s="59"/>
      <c r="M858" s="59"/>
      <c r="N858" s="59"/>
      <c r="O858" s="59"/>
      <c r="P858" s="59"/>
      <c r="Q858" s="59"/>
      <c r="R858" s="59"/>
      <c r="S858" s="59"/>
      <c r="T858" s="59"/>
      <c r="U858" s="59"/>
      <c r="V858" s="59"/>
      <c r="W858" s="59"/>
      <c r="X858" s="59"/>
      <c r="Y858" s="59"/>
    </row>
    <row r="859" ht="35.25" customHeight="1">
      <c r="A859" s="59"/>
      <c r="B859" s="59"/>
      <c r="C859" s="59"/>
      <c r="D859" s="59"/>
      <c r="E859" s="59"/>
      <c r="F859" s="59"/>
      <c r="G859" s="59"/>
      <c r="H859" s="178"/>
      <c r="I859" s="178"/>
      <c r="J859" s="59"/>
      <c r="K859" s="59"/>
      <c r="L859" s="59"/>
      <c r="M859" s="59"/>
      <c r="N859" s="59"/>
      <c r="O859" s="59"/>
      <c r="P859" s="59"/>
      <c r="Q859" s="59"/>
      <c r="R859" s="59"/>
      <c r="S859" s="59"/>
      <c r="T859" s="59"/>
      <c r="U859" s="59"/>
      <c r="V859" s="59"/>
      <c r="W859" s="59"/>
      <c r="X859" s="59"/>
      <c r="Y859" s="59"/>
    </row>
    <row r="860" ht="35.25" customHeight="1">
      <c r="A860" s="59"/>
      <c r="B860" s="59"/>
      <c r="C860" s="59"/>
      <c r="D860" s="59"/>
      <c r="E860" s="59"/>
      <c r="F860" s="59"/>
      <c r="G860" s="59"/>
      <c r="H860" s="178"/>
      <c r="I860" s="178"/>
      <c r="J860" s="59"/>
      <c r="K860" s="59"/>
      <c r="L860" s="59"/>
      <c r="M860" s="59"/>
      <c r="N860" s="59"/>
      <c r="O860" s="59"/>
      <c r="P860" s="59"/>
      <c r="Q860" s="59"/>
      <c r="R860" s="59"/>
      <c r="S860" s="59"/>
      <c r="T860" s="59"/>
      <c r="U860" s="59"/>
      <c r="V860" s="59"/>
      <c r="W860" s="59"/>
      <c r="X860" s="59"/>
      <c r="Y860" s="59"/>
    </row>
    <row r="861" ht="35.25" customHeight="1">
      <c r="A861" s="59"/>
      <c r="B861" s="59"/>
      <c r="C861" s="59"/>
      <c r="D861" s="59"/>
      <c r="E861" s="59"/>
      <c r="F861" s="59"/>
      <c r="G861" s="59"/>
      <c r="H861" s="178"/>
      <c r="I861" s="178"/>
      <c r="J861" s="59"/>
      <c r="K861" s="59"/>
      <c r="L861" s="59"/>
      <c r="M861" s="59"/>
      <c r="N861" s="59"/>
      <c r="O861" s="59"/>
      <c r="P861" s="59"/>
      <c r="Q861" s="59"/>
      <c r="R861" s="59"/>
      <c r="S861" s="59"/>
      <c r="T861" s="59"/>
      <c r="U861" s="59"/>
      <c r="V861" s="59"/>
      <c r="W861" s="59"/>
      <c r="X861" s="59"/>
      <c r="Y861" s="59"/>
    </row>
    <row r="862" ht="35.25" customHeight="1">
      <c r="A862" s="59"/>
      <c r="B862" s="59"/>
      <c r="C862" s="59"/>
      <c r="D862" s="59"/>
      <c r="E862" s="59"/>
      <c r="F862" s="59"/>
      <c r="G862" s="59"/>
      <c r="H862" s="178"/>
      <c r="I862" s="178"/>
      <c r="J862" s="59"/>
      <c r="K862" s="59"/>
      <c r="L862" s="59"/>
      <c r="M862" s="59"/>
      <c r="N862" s="59"/>
      <c r="O862" s="59"/>
      <c r="P862" s="59"/>
      <c r="Q862" s="59"/>
      <c r="R862" s="59"/>
      <c r="S862" s="59"/>
      <c r="T862" s="59"/>
      <c r="U862" s="59"/>
      <c r="V862" s="59"/>
      <c r="W862" s="59"/>
      <c r="X862" s="59"/>
      <c r="Y862" s="59"/>
    </row>
    <row r="863" ht="35.25" customHeight="1">
      <c r="A863" s="59"/>
      <c r="B863" s="59"/>
      <c r="C863" s="59"/>
      <c r="D863" s="59"/>
      <c r="E863" s="59"/>
      <c r="F863" s="59"/>
      <c r="G863" s="59"/>
      <c r="H863" s="178"/>
      <c r="I863" s="178"/>
      <c r="J863" s="59"/>
      <c r="K863" s="59"/>
      <c r="L863" s="59"/>
      <c r="M863" s="59"/>
      <c r="N863" s="59"/>
      <c r="O863" s="59"/>
      <c r="P863" s="59"/>
      <c r="Q863" s="59"/>
      <c r="R863" s="59"/>
      <c r="S863" s="59"/>
      <c r="T863" s="59"/>
      <c r="U863" s="59"/>
      <c r="V863" s="59"/>
      <c r="W863" s="59"/>
      <c r="X863" s="59"/>
      <c r="Y863" s="59"/>
    </row>
    <row r="864" ht="35.25" customHeight="1">
      <c r="A864" s="59"/>
      <c r="B864" s="59"/>
      <c r="C864" s="59"/>
      <c r="D864" s="59"/>
      <c r="E864" s="59"/>
      <c r="F864" s="59"/>
      <c r="G864" s="59"/>
      <c r="H864" s="178"/>
      <c r="I864" s="178"/>
      <c r="J864" s="59"/>
      <c r="K864" s="59"/>
      <c r="L864" s="59"/>
      <c r="M864" s="59"/>
      <c r="N864" s="59"/>
      <c r="O864" s="59"/>
      <c r="P864" s="59"/>
      <c r="Q864" s="59"/>
      <c r="R864" s="59"/>
      <c r="S864" s="59"/>
      <c r="T864" s="59"/>
      <c r="U864" s="59"/>
      <c r="V864" s="59"/>
      <c r="W864" s="59"/>
      <c r="X864" s="59"/>
      <c r="Y864" s="59"/>
    </row>
    <row r="865" ht="35.25" customHeight="1">
      <c r="A865" s="59"/>
      <c r="B865" s="59"/>
      <c r="C865" s="59"/>
      <c r="D865" s="59"/>
      <c r="E865" s="59"/>
      <c r="F865" s="59"/>
      <c r="G865" s="59"/>
      <c r="H865" s="178"/>
      <c r="I865" s="178"/>
      <c r="J865" s="59"/>
      <c r="K865" s="59"/>
      <c r="L865" s="59"/>
      <c r="M865" s="59"/>
      <c r="N865" s="59"/>
      <c r="O865" s="59"/>
      <c r="P865" s="59"/>
      <c r="Q865" s="59"/>
      <c r="R865" s="59"/>
      <c r="S865" s="59"/>
      <c r="T865" s="59"/>
      <c r="U865" s="59"/>
      <c r="V865" s="59"/>
      <c r="W865" s="59"/>
      <c r="X865" s="59"/>
      <c r="Y865" s="59"/>
    </row>
    <row r="866" ht="35.25" customHeight="1">
      <c r="A866" s="59"/>
      <c r="B866" s="59"/>
      <c r="C866" s="59"/>
      <c r="D866" s="59"/>
      <c r="E866" s="59"/>
      <c r="F866" s="59"/>
      <c r="G866" s="59"/>
      <c r="H866" s="178"/>
      <c r="I866" s="178"/>
      <c r="J866" s="59"/>
      <c r="K866" s="59"/>
      <c r="L866" s="59"/>
      <c r="M866" s="59"/>
      <c r="N866" s="59"/>
      <c r="O866" s="59"/>
      <c r="P866" s="59"/>
      <c r="Q866" s="59"/>
      <c r="R866" s="59"/>
      <c r="S866" s="59"/>
      <c r="T866" s="59"/>
      <c r="U866" s="59"/>
      <c r="V866" s="59"/>
      <c r="W866" s="59"/>
      <c r="X866" s="59"/>
      <c r="Y866" s="59"/>
    </row>
    <row r="867" ht="35.25" customHeight="1">
      <c r="A867" s="59"/>
      <c r="B867" s="59"/>
      <c r="C867" s="59"/>
      <c r="D867" s="59"/>
      <c r="E867" s="59"/>
      <c r="F867" s="59"/>
      <c r="G867" s="59"/>
      <c r="H867" s="178"/>
      <c r="I867" s="178"/>
      <c r="J867" s="59"/>
      <c r="K867" s="59"/>
      <c r="L867" s="59"/>
      <c r="M867" s="59"/>
      <c r="N867" s="59"/>
      <c r="O867" s="59"/>
      <c r="P867" s="59"/>
      <c r="Q867" s="59"/>
      <c r="R867" s="59"/>
      <c r="S867" s="59"/>
      <c r="T867" s="59"/>
      <c r="U867" s="59"/>
      <c r="V867" s="59"/>
      <c r="W867" s="59"/>
      <c r="X867" s="59"/>
      <c r="Y867" s="59"/>
    </row>
    <row r="868" ht="35.25" customHeight="1">
      <c r="A868" s="59"/>
      <c r="B868" s="59"/>
      <c r="C868" s="59"/>
      <c r="D868" s="59"/>
      <c r="E868" s="59"/>
      <c r="F868" s="59"/>
      <c r="G868" s="59"/>
      <c r="H868" s="178"/>
      <c r="I868" s="178"/>
      <c r="J868" s="59"/>
      <c r="K868" s="59"/>
      <c r="L868" s="59"/>
      <c r="M868" s="59"/>
      <c r="N868" s="59"/>
      <c r="O868" s="59"/>
      <c r="P868" s="59"/>
      <c r="Q868" s="59"/>
      <c r="R868" s="59"/>
      <c r="S868" s="59"/>
      <c r="T868" s="59"/>
      <c r="U868" s="59"/>
      <c r="V868" s="59"/>
      <c r="W868" s="59"/>
      <c r="X868" s="59"/>
      <c r="Y868" s="59"/>
    </row>
    <row r="869" ht="35.25" customHeight="1">
      <c r="A869" s="59"/>
      <c r="B869" s="59"/>
      <c r="C869" s="59"/>
      <c r="D869" s="59"/>
      <c r="E869" s="59"/>
      <c r="F869" s="59"/>
      <c r="G869" s="59"/>
      <c r="H869" s="178"/>
      <c r="I869" s="178"/>
      <c r="J869" s="59"/>
      <c r="K869" s="59"/>
      <c r="L869" s="59"/>
      <c r="M869" s="59"/>
      <c r="N869" s="59"/>
      <c r="O869" s="59"/>
      <c r="P869" s="59"/>
      <c r="Q869" s="59"/>
      <c r="R869" s="59"/>
      <c r="S869" s="59"/>
      <c r="T869" s="59"/>
      <c r="U869" s="59"/>
      <c r="V869" s="59"/>
      <c r="W869" s="59"/>
      <c r="X869" s="59"/>
      <c r="Y869" s="59"/>
    </row>
    <row r="870" ht="35.25" customHeight="1">
      <c r="A870" s="59"/>
      <c r="B870" s="59"/>
      <c r="C870" s="59"/>
      <c r="D870" s="59"/>
      <c r="E870" s="59"/>
      <c r="F870" s="59"/>
      <c r="G870" s="59"/>
      <c r="H870" s="178"/>
      <c r="I870" s="178"/>
      <c r="J870" s="59"/>
      <c r="K870" s="59"/>
      <c r="L870" s="59"/>
      <c r="M870" s="59"/>
      <c r="N870" s="59"/>
      <c r="O870" s="59"/>
      <c r="P870" s="59"/>
      <c r="Q870" s="59"/>
      <c r="R870" s="59"/>
      <c r="S870" s="59"/>
      <c r="T870" s="59"/>
      <c r="U870" s="59"/>
      <c r="V870" s="59"/>
      <c r="W870" s="59"/>
      <c r="X870" s="59"/>
      <c r="Y870" s="59"/>
    </row>
    <row r="871" ht="35.25" customHeight="1">
      <c r="A871" s="59"/>
      <c r="B871" s="59"/>
      <c r="C871" s="59"/>
      <c r="D871" s="59"/>
      <c r="E871" s="59"/>
      <c r="F871" s="59"/>
      <c r="G871" s="59"/>
      <c r="H871" s="178"/>
      <c r="I871" s="178"/>
      <c r="J871" s="59"/>
      <c r="K871" s="59"/>
      <c r="L871" s="59"/>
      <c r="M871" s="59"/>
      <c r="N871" s="59"/>
      <c r="O871" s="59"/>
      <c r="P871" s="59"/>
      <c r="Q871" s="59"/>
      <c r="R871" s="59"/>
      <c r="S871" s="59"/>
      <c r="T871" s="59"/>
      <c r="U871" s="59"/>
      <c r="V871" s="59"/>
      <c r="W871" s="59"/>
      <c r="X871" s="59"/>
      <c r="Y871" s="59"/>
    </row>
    <row r="872" ht="35.25" customHeight="1">
      <c r="A872" s="59"/>
      <c r="B872" s="59"/>
      <c r="C872" s="59"/>
      <c r="D872" s="59"/>
      <c r="E872" s="59"/>
      <c r="F872" s="59"/>
      <c r="G872" s="59"/>
      <c r="H872" s="178"/>
      <c r="I872" s="178"/>
      <c r="J872" s="59"/>
      <c r="K872" s="59"/>
      <c r="L872" s="59"/>
      <c r="M872" s="59"/>
      <c r="N872" s="59"/>
      <c r="O872" s="59"/>
      <c r="P872" s="59"/>
      <c r="Q872" s="59"/>
      <c r="R872" s="59"/>
      <c r="S872" s="59"/>
      <c r="T872" s="59"/>
      <c r="U872" s="59"/>
      <c r="V872" s="59"/>
      <c r="W872" s="59"/>
      <c r="X872" s="59"/>
      <c r="Y872" s="59"/>
    </row>
    <row r="873" ht="35.25" customHeight="1">
      <c r="A873" s="59"/>
      <c r="B873" s="59"/>
      <c r="C873" s="59"/>
      <c r="D873" s="59"/>
      <c r="E873" s="59"/>
      <c r="F873" s="59"/>
      <c r="G873" s="59"/>
      <c r="H873" s="178"/>
      <c r="I873" s="178"/>
      <c r="J873" s="59"/>
      <c r="K873" s="59"/>
      <c r="L873" s="59"/>
      <c r="M873" s="59"/>
      <c r="N873" s="59"/>
      <c r="O873" s="59"/>
      <c r="P873" s="59"/>
      <c r="Q873" s="59"/>
      <c r="R873" s="59"/>
      <c r="S873" s="59"/>
      <c r="T873" s="59"/>
      <c r="U873" s="59"/>
      <c r="V873" s="59"/>
      <c r="W873" s="59"/>
      <c r="X873" s="59"/>
      <c r="Y873" s="59"/>
    </row>
    <row r="874" ht="35.25" customHeight="1">
      <c r="A874" s="59"/>
      <c r="B874" s="59"/>
      <c r="C874" s="59"/>
      <c r="D874" s="59"/>
      <c r="E874" s="59"/>
      <c r="F874" s="59"/>
      <c r="G874" s="59"/>
      <c r="H874" s="178"/>
      <c r="I874" s="178"/>
      <c r="J874" s="59"/>
      <c r="K874" s="59"/>
      <c r="L874" s="59"/>
      <c r="M874" s="59"/>
      <c r="N874" s="59"/>
      <c r="O874" s="59"/>
      <c r="P874" s="59"/>
      <c r="Q874" s="59"/>
      <c r="R874" s="59"/>
      <c r="S874" s="59"/>
      <c r="T874" s="59"/>
      <c r="U874" s="59"/>
      <c r="V874" s="59"/>
      <c r="W874" s="59"/>
      <c r="X874" s="59"/>
      <c r="Y874" s="59"/>
    </row>
    <row r="875" ht="35.25" customHeight="1">
      <c r="A875" s="59"/>
      <c r="B875" s="59"/>
      <c r="C875" s="59"/>
      <c r="D875" s="59"/>
      <c r="E875" s="59"/>
      <c r="F875" s="59"/>
      <c r="G875" s="59"/>
      <c r="H875" s="178"/>
      <c r="I875" s="178"/>
      <c r="J875" s="59"/>
      <c r="K875" s="59"/>
      <c r="L875" s="59"/>
      <c r="M875" s="59"/>
      <c r="N875" s="59"/>
      <c r="O875" s="59"/>
      <c r="P875" s="59"/>
      <c r="Q875" s="59"/>
      <c r="R875" s="59"/>
      <c r="S875" s="59"/>
      <c r="T875" s="59"/>
      <c r="U875" s="59"/>
      <c r="V875" s="59"/>
      <c r="W875" s="59"/>
      <c r="X875" s="59"/>
      <c r="Y875" s="59"/>
    </row>
    <row r="876" ht="35.25" customHeight="1">
      <c r="A876" s="59"/>
      <c r="B876" s="59"/>
      <c r="C876" s="59"/>
      <c r="D876" s="59"/>
      <c r="E876" s="59"/>
      <c r="F876" s="59"/>
      <c r="G876" s="59"/>
      <c r="H876" s="178"/>
      <c r="I876" s="178"/>
      <c r="J876" s="59"/>
      <c r="K876" s="59"/>
      <c r="L876" s="59"/>
      <c r="M876" s="59"/>
      <c r="N876" s="59"/>
      <c r="O876" s="59"/>
      <c r="P876" s="59"/>
      <c r="Q876" s="59"/>
      <c r="R876" s="59"/>
      <c r="S876" s="59"/>
      <c r="T876" s="59"/>
      <c r="U876" s="59"/>
      <c r="V876" s="59"/>
      <c r="W876" s="59"/>
      <c r="X876" s="59"/>
      <c r="Y876" s="59"/>
    </row>
    <row r="877" ht="35.25" customHeight="1">
      <c r="A877" s="59"/>
      <c r="B877" s="59"/>
      <c r="C877" s="59"/>
      <c r="D877" s="59"/>
      <c r="E877" s="59"/>
      <c r="F877" s="59"/>
      <c r="G877" s="59"/>
      <c r="H877" s="178"/>
      <c r="I877" s="178"/>
      <c r="J877" s="59"/>
      <c r="K877" s="59"/>
      <c r="L877" s="59"/>
      <c r="M877" s="59"/>
      <c r="N877" s="59"/>
      <c r="O877" s="59"/>
      <c r="P877" s="59"/>
      <c r="Q877" s="59"/>
      <c r="R877" s="59"/>
      <c r="S877" s="59"/>
      <c r="T877" s="59"/>
      <c r="U877" s="59"/>
      <c r="V877" s="59"/>
      <c r="W877" s="59"/>
      <c r="X877" s="59"/>
      <c r="Y877" s="59"/>
    </row>
    <row r="878" ht="35.25" customHeight="1">
      <c r="A878" s="59"/>
      <c r="B878" s="59"/>
      <c r="C878" s="59"/>
      <c r="D878" s="59"/>
      <c r="E878" s="59"/>
      <c r="F878" s="59"/>
      <c r="G878" s="59"/>
      <c r="H878" s="178"/>
      <c r="I878" s="178"/>
      <c r="J878" s="59"/>
      <c r="K878" s="59"/>
      <c r="L878" s="59"/>
      <c r="M878" s="59"/>
      <c r="N878" s="59"/>
      <c r="O878" s="59"/>
      <c r="P878" s="59"/>
      <c r="Q878" s="59"/>
      <c r="R878" s="59"/>
      <c r="S878" s="59"/>
      <c r="T878" s="59"/>
      <c r="U878" s="59"/>
      <c r="V878" s="59"/>
      <c r="W878" s="59"/>
      <c r="X878" s="59"/>
      <c r="Y878" s="59"/>
    </row>
    <row r="879" ht="35.25" customHeight="1">
      <c r="A879" s="59"/>
      <c r="B879" s="59"/>
      <c r="C879" s="59"/>
      <c r="D879" s="59"/>
      <c r="E879" s="59"/>
      <c r="F879" s="59"/>
      <c r="G879" s="59"/>
      <c r="H879" s="178"/>
      <c r="I879" s="178"/>
      <c r="J879" s="59"/>
      <c r="K879" s="59"/>
      <c r="L879" s="59"/>
      <c r="M879" s="59"/>
      <c r="N879" s="59"/>
      <c r="O879" s="59"/>
      <c r="P879" s="59"/>
      <c r="Q879" s="59"/>
      <c r="R879" s="59"/>
      <c r="S879" s="59"/>
      <c r="T879" s="59"/>
      <c r="U879" s="59"/>
      <c r="V879" s="59"/>
      <c r="W879" s="59"/>
      <c r="X879" s="59"/>
      <c r="Y879" s="59"/>
    </row>
    <row r="880" ht="35.25" customHeight="1">
      <c r="A880" s="59"/>
      <c r="B880" s="59"/>
      <c r="C880" s="59"/>
      <c r="D880" s="59"/>
      <c r="E880" s="59"/>
      <c r="F880" s="59"/>
      <c r="G880" s="59"/>
      <c r="H880" s="178"/>
      <c r="I880" s="178"/>
      <c r="J880" s="59"/>
      <c r="K880" s="59"/>
      <c r="L880" s="59"/>
      <c r="M880" s="59"/>
      <c r="N880" s="59"/>
      <c r="O880" s="59"/>
      <c r="P880" s="59"/>
      <c r="Q880" s="59"/>
      <c r="R880" s="59"/>
      <c r="S880" s="59"/>
      <c r="T880" s="59"/>
      <c r="U880" s="59"/>
      <c r="V880" s="59"/>
      <c r="W880" s="59"/>
      <c r="X880" s="59"/>
      <c r="Y880" s="59"/>
    </row>
    <row r="881" ht="35.25" customHeight="1">
      <c r="A881" s="59"/>
      <c r="B881" s="59"/>
      <c r="C881" s="59"/>
      <c r="D881" s="59"/>
      <c r="E881" s="59"/>
      <c r="F881" s="59"/>
      <c r="G881" s="59"/>
      <c r="H881" s="178"/>
      <c r="I881" s="178"/>
      <c r="J881" s="59"/>
      <c r="K881" s="59"/>
      <c r="L881" s="59"/>
      <c r="M881" s="59"/>
      <c r="N881" s="59"/>
      <c r="O881" s="59"/>
      <c r="P881" s="59"/>
      <c r="Q881" s="59"/>
      <c r="R881" s="59"/>
      <c r="S881" s="59"/>
      <c r="T881" s="59"/>
      <c r="U881" s="59"/>
      <c r="V881" s="59"/>
      <c r="W881" s="59"/>
      <c r="X881" s="59"/>
      <c r="Y881" s="59"/>
    </row>
    <row r="882" ht="35.25" customHeight="1">
      <c r="A882" s="59"/>
      <c r="B882" s="59"/>
      <c r="C882" s="59"/>
      <c r="D882" s="59"/>
      <c r="E882" s="59"/>
      <c r="F882" s="59"/>
      <c r="G882" s="59"/>
      <c r="H882" s="178"/>
      <c r="I882" s="178"/>
      <c r="J882" s="59"/>
      <c r="K882" s="59"/>
      <c r="L882" s="59"/>
      <c r="M882" s="59"/>
      <c r="N882" s="59"/>
      <c r="O882" s="59"/>
      <c r="P882" s="59"/>
      <c r="Q882" s="59"/>
      <c r="R882" s="59"/>
      <c r="S882" s="59"/>
      <c r="T882" s="59"/>
      <c r="U882" s="59"/>
      <c r="V882" s="59"/>
      <c r="W882" s="59"/>
      <c r="X882" s="59"/>
      <c r="Y882" s="59"/>
    </row>
    <row r="883" ht="35.25" customHeight="1">
      <c r="A883" s="59"/>
      <c r="B883" s="59"/>
      <c r="C883" s="59"/>
      <c r="D883" s="59"/>
      <c r="E883" s="59"/>
      <c r="F883" s="59"/>
      <c r="G883" s="59"/>
      <c r="H883" s="178"/>
      <c r="I883" s="178"/>
      <c r="J883" s="59"/>
      <c r="K883" s="59"/>
      <c r="L883" s="59"/>
      <c r="M883" s="59"/>
      <c r="N883" s="59"/>
      <c r="O883" s="59"/>
      <c r="P883" s="59"/>
      <c r="Q883" s="59"/>
      <c r="R883" s="59"/>
      <c r="S883" s="59"/>
      <c r="T883" s="59"/>
      <c r="U883" s="59"/>
      <c r="V883" s="59"/>
      <c r="W883" s="59"/>
      <c r="X883" s="59"/>
      <c r="Y883" s="59"/>
    </row>
    <row r="884" ht="35.25" customHeight="1">
      <c r="A884" s="59"/>
      <c r="B884" s="59"/>
      <c r="C884" s="59"/>
      <c r="D884" s="59"/>
      <c r="E884" s="59"/>
      <c r="F884" s="59"/>
      <c r="G884" s="59"/>
      <c r="H884" s="178"/>
      <c r="I884" s="178"/>
      <c r="J884" s="59"/>
      <c r="K884" s="59"/>
      <c r="L884" s="59"/>
      <c r="M884" s="59"/>
      <c r="N884" s="59"/>
      <c r="O884" s="59"/>
      <c r="P884" s="59"/>
      <c r="Q884" s="59"/>
      <c r="R884" s="59"/>
      <c r="S884" s="59"/>
      <c r="T884" s="59"/>
      <c r="U884" s="59"/>
      <c r="V884" s="59"/>
      <c r="W884" s="59"/>
      <c r="X884" s="59"/>
      <c r="Y884" s="59"/>
    </row>
    <row r="885" ht="35.25" customHeight="1">
      <c r="A885" s="59"/>
      <c r="B885" s="59"/>
      <c r="C885" s="59"/>
      <c r="D885" s="59"/>
      <c r="E885" s="59"/>
      <c r="F885" s="59"/>
      <c r="G885" s="59"/>
      <c r="H885" s="178"/>
      <c r="I885" s="178"/>
      <c r="J885" s="59"/>
      <c r="K885" s="59"/>
      <c r="L885" s="59"/>
      <c r="M885" s="59"/>
      <c r="N885" s="59"/>
      <c r="O885" s="59"/>
      <c r="P885" s="59"/>
      <c r="Q885" s="59"/>
      <c r="R885" s="59"/>
      <c r="S885" s="59"/>
      <c r="T885" s="59"/>
      <c r="U885" s="59"/>
      <c r="V885" s="59"/>
      <c r="W885" s="59"/>
      <c r="X885" s="59"/>
      <c r="Y885" s="59"/>
    </row>
    <row r="886" ht="35.25" customHeight="1">
      <c r="A886" s="59"/>
      <c r="B886" s="59"/>
      <c r="C886" s="59"/>
      <c r="D886" s="59"/>
      <c r="E886" s="59"/>
      <c r="F886" s="59"/>
      <c r="G886" s="59"/>
      <c r="H886" s="178"/>
      <c r="I886" s="178"/>
      <c r="J886" s="59"/>
      <c r="K886" s="59"/>
      <c r="L886" s="59"/>
      <c r="M886" s="59"/>
      <c r="N886" s="59"/>
      <c r="O886" s="59"/>
      <c r="P886" s="59"/>
      <c r="Q886" s="59"/>
      <c r="R886" s="59"/>
      <c r="S886" s="59"/>
      <c r="T886" s="59"/>
      <c r="U886" s="59"/>
      <c r="V886" s="59"/>
      <c r="W886" s="59"/>
      <c r="X886" s="59"/>
      <c r="Y886" s="59"/>
    </row>
    <row r="887" ht="35.25" customHeight="1">
      <c r="A887" s="59"/>
      <c r="B887" s="59"/>
      <c r="C887" s="59"/>
      <c r="D887" s="59"/>
      <c r="E887" s="59"/>
      <c r="F887" s="59"/>
      <c r="G887" s="59"/>
      <c r="H887" s="178"/>
      <c r="I887" s="178"/>
      <c r="J887" s="59"/>
      <c r="K887" s="59"/>
      <c r="L887" s="59"/>
      <c r="M887" s="59"/>
      <c r="N887" s="59"/>
      <c r="O887" s="59"/>
      <c r="P887" s="59"/>
      <c r="Q887" s="59"/>
      <c r="R887" s="59"/>
      <c r="S887" s="59"/>
      <c r="T887" s="59"/>
      <c r="U887" s="59"/>
      <c r="V887" s="59"/>
      <c r="W887" s="59"/>
      <c r="X887" s="59"/>
      <c r="Y887" s="59"/>
    </row>
    <row r="888" ht="35.25" customHeight="1">
      <c r="A888" s="59"/>
      <c r="B888" s="59"/>
      <c r="C888" s="59"/>
      <c r="D888" s="59"/>
      <c r="E888" s="59"/>
      <c r="F888" s="59"/>
      <c r="G888" s="59"/>
      <c r="H888" s="178"/>
      <c r="I888" s="178"/>
      <c r="J888" s="59"/>
      <c r="K888" s="59"/>
      <c r="L888" s="59"/>
      <c r="M888" s="59"/>
      <c r="N888" s="59"/>
      <c r="O888" s="59"/>
      <c r="P888" s="59"/>
      <c r="Q888" s="59"/>
      <c r="R888" s="59"/>
      <c r="S888" s="59"/>
      <c r="T888" s="59"/>
      <c r="U888" s="59"/>
      <c r="V888" s="59"/>
      <c r="W888" s="59"/>
      <c r="X888" s="59"/>
      <c r="Y888" s="59"/>
    </row>
    <row r="889" ht="35.25" customHeight="1">
      <c r="A889" s="59"/>
      <c r="B889" s="59"/>
      <c r="C889" s="59"/>
      <c r="D889" s="59"/>
      <c r="E889" s="59"/>
      <c r="F889" s="59"/>
      <c r="G889" s="59"/>
      <c r="H889" s="178"/>
      <c r="I889" s="178"/>
      <c r="J889" s="59"/>
      <c r="K889" s="59"/>
      <c r="L889" s="59"/>
      <c r="M889" s="59"/>
      <c r="N889" s="59"/>
      <c r="O889" s="59"/>
      <c r="P889" s="59"/>
      <c r="Q889" s="59"/>
      <c r="R889" s="59"/>
      <c r="S889" s="59"/>
      <c r="T889" s="59"/>
      <c r="U889" s="59"/>
      <c r="V889" s="59"/>
      <c r="W889" s="59"/>
      <c r="X889" s="59"/>
      <c r="Y889" s="59"/>
    </row>
    <row r="890" ht="35.25" customHeight="1">
      <c r="A890" s="59"/>
      <c r="B890" s="59"/>
      <c r="C890" s="59"/>
      <c r="D890" s="59"/>
      <c r="E890" s="59"/>
      <c r="F890" s="59"/>
      <c r="G890" s="59"/>
      <c r="H890" s="178"/>
      <c r="I890" s="178"/>
      <c r="J890" s="59"/>
      <c r="K890" s="59"/>
      <c r="L890" s="59"/>
      <c r="M890" s="59"/>
      <c r="N890" s="59"/>
      <c r="O890" s="59"/>
      <c r="P890" s="59"/>
      <c r="Q890" s="59"/>
      <c r="R890" s="59"/>
      <c r="S890" s="59"/>
      <c r="T890" s="59"/>
      <c r="U890" s="59"/>
      <c r="V890" s="59"/>
      <c r="W890" s="59"/>
      <c r="X890" s="59"/>
      <c r="Y890" s="59"/>
    </row>
    <row r="891" ht="35.25" customHeight="1">
      <c r="A891" s="59"/>
      <c r="B891" s="59"/>
      <c r="C891" s="59"/>
      <c r="D891" s="59"/>
      <c r="E891" s="59"/>
      <c r="F891" s="59"/>
      <c r="G891" s="59"/>
      <c r="H891" s="178"/>
      <c r="I891" s="178"/>
      <c r="J891" s="59"/>
      <c r="K891" s="59"/>
      <c r="L891" s="59"/>
      <c r="M891" s="59"/>
      <c r="N891" s="59"/>
      <c r="O891" s="59"/>
      <c r="P891" s="59"/>
      <c r="Q891" s="59"/>
      <c r="R891" s="59"/>
      <c r="S891" s="59"/>
      <c r="T891" s="59"/>
      <c r="U891" s="59"/>
      <c r="V891" s="59"/>
      <c r="W891" s="59"/>
      <c r="X891" s="59"/>
      <c r="Y891" s="59"/>
    </row>
    <row r="892" ht="35.25" customHeight="1">
      <c r="A892" s="59"/>
      <c r="B892" s="59"/>
      <c r="C892" s="59"/>
      <c r="D892" s="59"/>
      <c r="E892" s="59"/>
      <c r="F892" s="59"/>
      <c r="G892" s="59"/>
      <c r="H892" s="178"/>
      <c r="I892" s="178"/>
      <c r="J892" s="59"/>
      <c r="K892" s="59"/>
      <c r="L892" s="59"/>
      <c r="M892" s="59"/>
      <c r="N892" s="59"/>
      <c r="O892" s="59"/>
      <c r="P892" s="59"/>
      <c r="Q892" s="59"/>
      <c r="R892" s="59"/>
      <c r="S892" s="59"/>
      <c r="T892" s="59"/>
      <c r="U892" s="59"/>
      <c r="V892" s="59"/>
      <c r="W892" s="59"/>
      <c r="X892" s="59"/>
      <c r="Y892" s="59"/>
    </row>
    <row r="893" ht="35.25" customHeight="1">
      <c r="A893" s="59"/>
      <c r="B893" s="59"/>
      <c r="C893" s="59"/>
      <c r="D893" s="59"/>
      <c r="E893" s="59"/>
      <c r="F893" s="59"/>
      <c r="G893" s="59"/>
      <c r="H893" s="178"/>
      <c r="I893" s="178"/>
      <c r="J893" s="59"/>
      <c r="K893" s="59"/>
      <c r="L893" s="59"/>
      <c r="M893" s="59"/>
      <c r="N893" s="59"/>
      <c r="O893" s="59"/>
      <c r="P893" s="59"/>
      <c r="Q893" s="59"/>
      <c r="R893" s="59"/>
      <c r="S893" s="59"/>
      <c r="T893" s="59"/>
      <c r="U893" s="59"/>
      <c r="V893" s="59"/>
      <c r="W893" s="59"/>
      <c r="X893" s="59"/>
      <c r="Y893" s="59"/>
    </row>
    <row r="894" ht="35.25" customHeight="1">
      <c r="A894" s="59"/>
      <c r="B894" s="59"/>
      <c r="C894" s="59"/>
      <c r="D894" s="59"/>
      <c r="E894" s="59"/>
      <c r="F894" s="59"/>
      <c r="G894" s="59"/>
      <c r="H894" s="178"/>
      <c r="I894" s="178"/>
      <c r="J894" s="59"/>
      <c r="K894" s="59"/>
      <c r="L894" s="59"/>
      <c r="M894" s="59"/>
      <c r="N894" s="59"/>
      <c r="O894" s="59"/>
      <c r="P894" s="59"/>
      <c r="Q894" s="59"/>
      <c r="R894" s="59"/>
      <c r="S894" s="59"/>
      <c r="T894" s="59"/>
      <c r="U894" s="59"/>
      <c r="V894" s="59"/>
      <c r="W894" s="59"/>
      <c r="X894" s="59"/>
      <c r="Y894" s="59"/>
    </row>
    <row r="895" ht="35.25" customHeight="1">
      <c r="A895" s="59"/>
      <c r="B895" s="59"/>
      <c r="C895" s="59"/>
      <c r="D895" s="59"/>
      <c r="E895" s="59"/>
      <c r="F895" s="59"/>
      <c r="G895" s="59"/>
      <c r="H895" s="178"/>
      <c r="I895" s="178"/>
      <c r="J895" s="59"/>
      <c r="K895" s="59"/>
      <c r="L895" s="59"/>
      <c r="M895" s="59"/>
      <c r="N895" s="59"/>
      <c r="O895" s="59"/>
      <c r="P895" s="59"/>
      <c r="Q895" s="59"/>
      <c r="R895" s="59"/>
      <c r="S895" s="59"/>
      <c r="T895" s="59"/>
      <c r="U895" s="59"/>
      <c r="V895" s="59"/>
      <c r="W895" s="59"/>
      <c r="X895" s="59"/>
      <c r="Y895" s="59"/>
    </row>
    <row r="896" ht="35.25" customHeight="1">
      <c r="A896" s="59"/>
      <c r="B896" s="59"/>
      <c r="C896" s="59"/>
      <c r="D896" s="59"/>
      <c r="E896" s="59"/>
      <c r="F896" s="59"/>
      <c r="G896" s="59"/>
      <c r="H896" s="178"/>
      <c r="I896" s="178"/>
      <c r="J896" s="59"/>
      <c r="K896" s="59"/>
      <c r="L896" s="59"/>
      <c r="M896" s="59"/>
      <c r="N896" s="59"/>
      <c r="O896" s="59"/>
      <c r="P896" s="59"/>
      <c r="Q896" s="59"/>
      <c r="R896" s="59"/>
      <c r="S896" s="59"/>
      <c r="T896" s="59"/>
      <c r="U896" s="59"/>
      <c r="V896" s="59"/>
      <c r="W896" s="59"/>
      <c r="X896" s="59"/>
      <c r="Y896" s="59"/>
    </row>
    <row r="897" ht="35.25" customHeight="1">
      <c r="A897" s="59"/>
      <c r="B897" s="59"/>
      <c r="C897" s="59"/>
      <c r="D897" s="59"/>
      <c r="E897" s="59"/>
      <c r="F897" s="59"/>
      <c r="G897" s="59"/>
      <c r="H897" s="178"/>
      <c r="I897" s="178"/>
      <c r="J897" s="59"/>
      <c r="K897" s="59"/>
      <c r="L897" s="59"/>
      <c r="M897" s="59"/>
      <c r="N897" s="59"/>
      <c r="O897" s="59"/>
      <c r="P897" s="59"/>
      <c r="Q897" s="59"/>
      <c r="R897" s="59"/>
      <c r="S897" s="59"/>
      <c r="T897" s="59"/>
      <c r="U897" s="59"/>
      <c r="V897" s="59"/>
      <c r="W897" s="59"/>
      <c r="X897" s="59"/>
      <c r="Y897" s="59"/>
    </row>
    <row r="898" ht="35.25" customHeight="1">
      <c r="A898" s="59"/>
      <c r="B898" s="59"/>
      <c r="C898" s="59"/>
      <c r="D898" s="59"/>
      <c r="E898" s="59"/>
      <c r="F898" s="59"/>
      <c r="G898" s="59"/>
      <c r="H898" s="178"/>
      <c r="I898" s="178"/>
      <c r="J898" s="59"/>
      <c r="K898" s="59"/>
      <c r="L898" s="59"/>
      <c r="M898" s="59"/>
      <c r="N898" s="59"/>
      <c r="O898" s="59"/>
      <c r="P898" s="59"/>
      <c r="Q898" s="59"/>
      <c r="R898" s="59"/>
      <c r="S898" s="59"/>
      <c r="T898" s="59"/>
      <c r="U898" s="59"/>
      <c r="V898" s="59"/>
      <c r="W898" s="59"/>
      <c r="X898" s="59"/>
      <c r="Y898" s="59"/>
    </row>
    <row r="899" ht="35.25" customHeight="1">
      <c r="A899" s="59"/>
      <c r="B899" s="59"/>
      <c r="C899" s="59"/>
      <c r="D899" s="59"/>
      <c r="E899" s="59"/>
      <c r="F899" s="59"/>
      <c r="G899" s="59"/>
      <c r="H899" s="178"/>
      <c r="I899" s="178"/>
      <c r="J899" s="59"/>
      <c r="K899" s="59"/>
      <c r="L899" s="59"/>
      <c r="M899" s="59"/>
      <c r="N899" s="59"/>
      <c r="O899" s="59"/>
      <c r="P899" s="59"/>
      <c r="Q899" s="59"/>
      <c r="R899" s="59"/>
      <c r="S899" s="59"/>
      <c r="T899" s="59"/>
      <c r="U899" s="59"/>
      <c r="V899" s="59"/>
      <c r="W899" s="59"/>
      <c r="X899" s="59"/>
      <c r="Y899" s="59"/>
    </row>
    <row r="900" ht="35.25" customHeight="1">
      <c r="A900" s="59"/>
      <c r="B900" s="59"/>
      <c r="C900" s="59"/>
      <c r="D900" s="59"/>
      <c r="E900" s="59"/>
      <c r="F900" s="59"/>
      <c r="G900" s="59"/>
      <c r="H900" s="178"/>
      <c r="I900" s="178"/>
      <c r="J900" s="59"/>
      <c r="K900" s="59"/>
      <c r="L900" s="59"/>
      <c r="M900" s="59"/>
      <c r="N900" s="59"/>
      <c r="O900" s="59"/>
      <c r="P900" s="59"/>
      <c r="Q900" s="59"/>
      <c r="R900" s="59"/>
      <c r="S900" s="59"/>
      <c r="T900" s="59"/>
      <c r="U900" s="59"/>
      <c r="V900" s="59"/>
      <c r="W900" s="59"/>
      <c r="X900" s="59"/>
      <c r="Y900" s="59"/>
    </row>
    <row r="901" ht="35.25" customHeight="1">
      <c r="A901" s="59"/>
      <c r="B901" s="59"/>
      <c r="C901" s="59"/>
      <c r="D901" s="59"/>
      <c r="E901" s="59"/>
      <c r="F901" s="59"/>
      <c r="G901" s="59"/>
      <c r="H901" s="178"/>
      <c r="I901" s="178"/>
      <c r="J901" s="59"/>
      <c r="K901" s="59"/>
      <c r="L901" s="59"/>
      <c r="M901" s="59"/>
      <c r="N901" s="59"/>
      <c r="O901" s="59"/>
      <c r="P901" s="59"/>
      <c r="Q901" s="59"/>
      <c r="R901" s="59"/>
      <c r="S901" s="59"/>
      <c r="T901" s="59"/>
      <c r="U901" s="59"/>
      <c r="V901" s="59"/>
      <c r="W901" s="59"/>
      <c r="X901" s="59"/>
      <c r="Y901" s="59"/>
    </row>
    <row r="902" ht="35.25" customHeight="1">
      <c r="A902" s="59"/>
      <c r="B902" s="59"/>
      <c r="C902" s="59"/>
      <c r="D902" s="59"/>
      <c r="E902" s="59"/>
      <c r="F902" s="59"/>
      <c r="G902" s="59"/>
      <c r="H902" s="178"/>
      <c r="I902" s="178"/>
      <c r="J902" s="59"/>
      <c r="K902" s="59"/>
      <c r="L902" s="59"/>
      <c r="M902" s="59"/>
      <c r="N902" s="59"/>
      <c r="O902" s="59"/>
      <c r="P902" s="59"/>
      <c r="Q902" s="59"/>
      <c r="R902" s="59"/>
      <c r="S902" s="59"/>
      <c r="T902" s="59"/>
      <c r="U902" s="59"/>
      <c r="V902" s="59"/>
      <c r="W902" s="59"/>
      <c r="X902" s="59"/>
      <c r="Y902" s="59"/>
    </row>
    <row r="903" ht="35.25" customHeight="1">
      <c r="A903" s="59"/>
      <c r="B903" s="59"/>
      <c r="C903" s="59"/>
      <c r="D903" s="59"/>
      <c r="E903" s="59"/>
      <c r="F903" s="59"/>
      <c r="G903" s="59"/>
      <c r="H903" s="178"/>
      <c r="I903" s="178"/>
      <c r="J903" s="59"/>
      <c r="K903" s="59"/>
      <c r="L903" s="59"/>
      <c r="M903" s="59"/>
      <c r="N903" s="59"/>
      <c r="O903" s="59"/>
      <c r="P903" s="59"/>
      <c r="Q903" s="59"/>
      <c r="R903" s="59"/>
      <c r="S903" s="59"/>
      <c r="T903" s="59"/>
      <c r="U903" s="59"/>
      <c r="V903" s="59"/>
      <c r="W903" s="59"/>
      <c r="X903" s="59"/>
      <c r="Y903" s="59"/>
    </row>
    <row r="904" ht="35.25" customHeight="1">
      <c r="A904" s="59"/>
      <c r="B904" s="59"/>
      <c r="C904" s="59"/>
      <c r="D904" s="59"/>
      <c r="E904" s="59"/>
      <c r="F904" s="59"/>
      <c r="G904" s="59"/>
      <c r="H904" s="178"/>
      <c r="I904" s="178"/>
      <c r="J904" s="59"/>
      <c r="K904" s="59"/>
      <c r="L904" s="59"/>
      <c r="M904" s="59"/>
      <c r="N904" s="59"/>
      <c r="O904" s="59"/>
      <c r="P904" s="59"/>
      <c r="Q904" s="59"/>
      <c r="R904" s="59"/>
      <c r="S904" s="59"/>
      <c r="T904" s="59"/>
      <c r="U904" s="59"/>
      <c r="V904" s="59"/>
      <c r="W904" s="59"/>
      <c r="X904" s="59"/>
      <c r="Y904" s="59"/>
    </row>
    <row r="905" ht="35.25" customHeight="1">
      <c r="A905" s="59"/>
      <c r="B905" s="59"/>
      <c r="C905" s="59"/>
      <c r="D905" s="59"/>
      <c r="E905" s="59"/>
      <c r="F905" s="59"/>
      <c r="G905" s="59"/>
      <c r="H905" s="178"/>
      <c r="I905" s="178"/>
      <c r="J905" s="59"/>
      <c r="K905" s="59"/>
      <c r="L905" s="59"/>
      <c r="M905" s="59"/>
      <c r="N905" s="59"/>
      <c r="O905" s="59"/>
      <c r="P905" s="59"/>
      <c r="Q905" s="59"/>
      <c r="R905" s="59"/>
      <c r="S905" s="59"/>
      <c r="T905" s="59"/>
      <c r="U905" s="59"/>
      <c r="V905" s="59"/>
      <c r="W905" s="59"/>
      <c r="X905" s="59"/>
      <c r="Y905" s="59"/>
    </row>
    <row r="906" ht="35.25" customHeight="1">
      <c r="A906" s="59"/>
      <c r="B906" s="59"/>
      <c r="C906" s="59"/>
      <c r="D906" s="59"/>
      <c r="E906" s="59"/>
      <c r="F906" s="59"/>
      <c r="G906" s="59"/>
      <c r="H906" s="178"/>
      <c r="I906" s="178"/>
      <c r="J906" s="59"/>
      <c r="K906" s="59"/>
      <c r="L906" s="59"/>
      <c r="M906" s="59"/>
      <c r="N906" s="59"/>
      <c r="O906" s="59"/>
      <c r="P906" s="59"/>
      <c r="Q906" s="59"/>
      <c r="R906" s="59"/>
      <c r="S906" s="59"/>
      <c r="T906" s="59"/>
      <c r="U906" s="59"/>
      <c r="V906" s="59"/>
      <c r="W906" s="59"/>
      <c r="X906" s="59"/>
      <c r="Y906" s="59"/>
    </row>
    <row r="907" ht="35.25" customHeight="1">
      <c r="A907" s="59"/>
      <c r="B907" s="59"/>
      <c r="C907" s="59"/>
      <c r="D907" s="59"/>
      <c r="E907" s="59"/>
      <c r="F907" s="59"/>
      <c r="G907" s="59"/>
      <c r="H907" s="178"/>
      <c r="I907" s="178"/>
      <c r="J907" s="59"/>
      <c r="K907" s="59"/>
      <c r="L907" s="59"/>
      <c r="M907" s="59"/>
      <c r="N907" s="59"/>
      <c r="O907" s="59"/>
      <c r="P907" s="59"/>
      <c r="Q907" s="59"/>
      <c r="R907" s="59"/>
      <c r="S907" s="59"/>
      <c r="T907" s="59"/>
      <c r="U907" s="59"/>
      <c r="V907" s="59"/>
      <c r="W907" s="59"/>
      <c r="X907" s="59"/>
      <c r="Y907" s="59"/>
    </row>
    <row r="908" ht="35.25" customHeight="1">
      <c r="A908" s="59"/>
      <c r="B908" s="59"/>
      <c r="C908" s="59"/>
      <c r="D908" s="59"/>
      <c r="E908" s="59"/>
      <c r="F908" s="59"/>
      <c r="G908" s="59"/>
      <c r="H908" s="178"/>
      <c r="I908" s="178"/>
      <c r="J908" s="59"/>
      <c r="K908" s="59"/>
      <c r="L908" s="59"/>
      <c r="M908" s="59"/>
      <c r="N908" s="59"/>
      <c r="O908" s="59"/>
      <c r="P908" s="59"/>
      <c r="Q908" s="59"/>
      <c r="R908" s="59"/>
      <c r="S908" s="59"/>
      <c r="T908" s="59"/>
      <c r="U908" s="59"/>
      <c r="V908" s="59"/>
      <c r="W908" s="59"/>
      <c r="X908" s="59"/>
      <c r="Y908" s="59"/>
    </row>
    <row r="909" ht="35.25" customHeight="1">
      <c r="A909" s="59"/>
      <c r="B909" s="59"/>
      <c r="C909" s="59"/>
      <c r="D909" s="59"/>
      <c r="E909" s="59"/>
      <c r="F909" s="59"/>
      <c r="G909" s="59"/>
      <c r="H909" s="178"/>
      <c r="I909" s="178"/>
      <c r="J909" s="59"/>
      <c r="K909" s="59"/>
      <c r="L909" s="59"/>
      <c r="M909" s="59"/>
      <c r="N909" s="59"/>
      <c r="O909" s="59"/>
      <c r="P909" s="59"/>
      <c r="Q909" s="59"/>
      <c r="R909" s="59"/>
      <c r="S909" s="59"/>
      <c r="T909" s="59"/>
      <c r="U909" s="59"/>
      <c r="V909" s="59"/>
      <c r="W909" s="59"/>
      <c r="X909" s="59"/>
      <c r="Y909" s="59"/>
    </row>
    <row r="910" ht="35.25" customHeight="1">
      <c r="A910" s="59"/>
      <c r="B910" s="59"/>
      <c r="C910" s="59"/>
      <c r="D910" s="59"/>
      <c r="E910" s="59"/>
      <c r="F910" s="59"/>
      <c r="G910" s="59"/>
      <c r="H910" s="178"/>
      <c r="I910" s="178"/>
      <c r="J910" s="59"/>
      <c r="K910" s="59"/>
      <c r="L910" s="59"/>
      <c r="M910" s="59"/>
      <c r="N910" s="59"/>
      <c r="O910" s="59"/>
      <c r="P910" s="59"/>
      <c r="Q910" s="59"/>
      <c r="R910" s="59"/>
      <c r="S910" s="59"/>
      <c r="T910" s="59"/>
      <c r="U910" s="59"/>
      <c r="V910" s="59"/>
      <c r="W910" s="59"/>
      <c r="X910" s="59"/>
      <c r="Y910" s="59"/>
    </row>
    <row r="911" ht="35.25" customHeight="1">
      <c r="A911" s="59"/>
      <c r="B911" s="59"/>
      <c r="C911" s="59"/>
      <c r="D911" s="59"/>
      <c r="E911" s="59"/>
      <c r="F911" s="59"/>
      <c r="G911" s="59"/>
      <c r="H911" s="178"/>
      <c r="I911" s="178"/>
      <c r="J911" s="59"/>
      <c r="K911" s="59"/>
      <c r="L911" s="59"/>
      <c r="M911" s="59"/>
      <c r="N911" s="59"/>
      <c r="O911" s="59"/>
      <c r="P911" s="59"/>
      <c r="Q911" s="59"/>
      <c r="R911" s="59"/>
      <c r="S911" s="59"/>
      <c r="T911" s="59"/>
      <c r="U911" s="59"/>
      <c r="V911" s="59"/>
      <c r="W911" s="59"/>
      <c r="X911" s="59"/>
      <c r="Y911" s="59"/>
    </row>
    <row r="912" ht="35.25" customHeight="1">
      <c r="A912" s="59"/>
      <c r="B912" s="59"/>
      <c r="C912" s="59"/>
      <c r="D912" s="59"/>
      <c r="E912" s="59"/>
      <c r="F912" s="59"/>
      <c r="G912" s="59"/>
      <c r="H912" s="178"/>
      <c r="I912" s="178"/>
      <c r="J912" s="59"/>
      <c r="K912" s="59"/>
      <c r="L912" s="59"/>
      <c r="M912" s="59"/>
      <c r="N912" s="59"/>
      <c r="O912" s="59"/>
      <c r="P912" s="59"/>
      <c r="Q912" s="59"/>
      <c r="R912" s="59"/>
      <c r="S912" s="59"/>
      <c r="T912" s="59"/>
      <c r="U912" s="59"/>
      <c r="V912" s="59"/>
      <c r="W912" s="59"/>
      <c r="X912" s="59"/>
      <c r="Y912" s="59"/>
    </row>
    <row r="913" ht="35.25" customHeight="1">
      <c r="A913" s="59"/>
      <c r="B913" s="59"/>
      <c r="C913" s="59"/>
      <c r="D913" s="59"/>
      <c r="E913" s="59"/>
      <c r="F913" s="59"/>
      <c r="G913" s="59"/>
      <c r="H913" s="178"/>
      <c r="I913" s="178"/>
      <c r="J913" s="59"/>
      <c r="K913" s="59"/>
      <c r="L913" s="59"/>
      <c r="M913" s="59"/>
      <c r="N913" s="59"/>
      <c r="O913" s="59"/>
      <c r="P913" s="59"/>
      <c r="Q913" s="59"/>
      <c r="R913" s="59"/>
      <c r="S913" s="59"/>
      <c r="T913" s="59"/>
      <c r="U913" s="59"/>
      <c r="V913" s="59"/>
      <c r="W913" s="59"/>
      <c r="X913" s="59"/>
      <c r="Y913" s="59"/>
    </row>
    <row r="914" ht="35.25" customHeight="1">
      <c r="A914" s="59"/>
      <c r="B914" s="59"/>
      <c r="C914" s="59"/>
      <c r="D914" s="59"/>
      <c r="E914" s="59"/>
      <c r="F914" s="59"/>
      <c r="G914" s="59"/>
      <c r="H914" s="178"/>
      <c r="I914" s="178"/>
      <c r="J914" s="59"/>
      <c r="K914" s="59"/>
      <c r="L914" s="59"/>
      <c r="M914" s="59"/>
      <c r="N914" s="59"/>
      <c r="O914" s="59"/>
      <c r="P914" s="59"/>
      <c r="Q914" s="59"/>
      <c r="R914" s="59"/>
      <c r="S914" s="59"/>
      <c r="T914" s="59"/>
      <c r="U914" s="59"/>
      <c r="V914" s="59"/>
      <c r="W914" s="59"/>
      <c r="X914" s="59"/>
      <c r="Y914" s="59"/>
    </row>
    <row r="915" ht="35.25" customHeight="1">
      <c r="A915" s="59"/>
      <c r="B915" s="59"/>
      <c r="C915" s="59"/>
      <c r="D915" s="59"/>
      <c r="E915" s="59"/>
      <c r="F915" s="59"/>
      <c r="G915" s="59"/>
      <c r="H915" s="178"/>
      <c r="I915" s="178"/>
      <c r="J915" s="59"/>
      <c r="K915" s="59"/>
      <c r="L915" s="59"/>
      <c r="M915" s="59"/>
      <c r="N915" s="59"/>
      <c r="O915" s="59"/>
      <c r="P915" s="59"/>
      <c r="Q915" s="59"/>
      <c r="R915" s="59"/>
      <c r="S915" s="59"/>
      <c r="T915" s="59"/>
      <c r="U915" s="59"/>
      <c r="V915" s="59"/>
      <c r="W915" s="59"/>
      <c r="X915" s="59"/>
      <c r="Y915" s="59"/>
    </row>
    <row r="916" ht="35.25" customHeight="1">
      <c r="A916" s="59"/>
      <c r="B916" s="59"/>
      <c r="C916" s="59"/>
      <c r="D916" s="59"/>
      <c r="E916" s="59"/>
      <c r="F916" s="59"/>
      <c r="G916" s="59"/>
      <c r="H916" s="178"/>
      <c r="I916" s="178"/>
      <c r="J916" s="59"/>
      <c r="K916" s="59"/>
      <c r="L916" s="59"/>
      <c r="M916" s="59"/>
      <c r="N916" s="59"/>
      <c r="O916" s="59"/>
      <c r="P916" s="59"/>
      <c r="Q916" s="59"/>
      <c r="R916" s="59"/>
      <c r="S916" s="59"/>
      <c r="T916" s="59"/>
      <c r="U916" s="59"/>
      <c r="V916" s="59"/>
      <c r="W916" s="59"/>
      <c r="X916" s="59"/>
      <c r="Y916" s="59"/>
    </row>
    <row r="917" ht="35.25" customHeight="1">
      <c r="A917" s="59"/>
      <c r="B917" s="59"/>
      <c r="C917" s="59"/>
      <c r="D917" s="59"/>
      <c r="E917" s="59"/>
      <c r="F917" s="59"/>
      <c r="G917" s="59"/>
      <c r="H917" s="178"/>
      <c r="I917" s="178"/>
      <c r="J917" s="59"/>
      <c r="K917" s="59"/>
      <c r="L917" s="59"/>
      <c r="M917" s="59"/>
      <c r="N917" s="59"/>
      <c r="O917" s="59"/>
      <c r="P917" s="59"/>
      <c r="Q917" s="59"/>
      <c r="R917" s="59"/>
      <c r="S917" s="59"/>
      <c r="T917" s="59"/>
      <c r="U917" s="59"/>
      <c r="V917" s="59"/>
      <c r="W917" s="59"/>
      <c r="X917" s="59"/>
      <c r="Y917" s="59"/>
    </row>
    <row r="918" ht="35.25" customHeight="1">
      <c r="A918" s="59"/>
      <c r="B918" s="59"/>
      <c r="C918" s="59"/>
      <c r="D918" s="59"/>
      <c r="E918" s="59"/>
      <c r="F918" s="59"/>
      <c r="G918" s="59"/>
      <c r="H918" s="178"/>
      <c r="I918" s="178"/>
      <c r="J918" s="59"/>
      <c r="K918" s="59"/>
      <c r="L918" s="59"/>
      <c r="M918" s="59"/>
      <c r="N918" s="59"/>
      <c r="O918" s="59"/>
      <c r="P918" s="59"/>
      <c r="Q918" s="59"/>
      <c r="R918" s="59"/>
      <c r="S918" s="59"/>
      <c r="T918" s="59"/>
      <c r="U918" s="59"/>
      <c r="V918" s="59"/>
      <c r="W918" s="59"/>
      <c r="X918" s="59"/>
      <c r="Y918" s="59"/>
    </row>
    <row r="919" ht="35.25" customHeight="1">
      <c r="A919" s="59"/>
      <c r="B919" s="59"/>
      <c r="C919" s="59"/>
      <c r="D919" s="59"/>
      <c r="E919" s="59"/>
      <c r="F919" s="59"/>
      <c r="G919" s="59"/>
      <c r="H919" s="178"/>
      <c r="I919" s="178"/>
      <c r="J919" s="59"/>
      <c r="K919" s="59"/>
      <c r="L919" s="59"/>
      <c r="M919" s="59"/>
      <c r="N919" s="59"/>
      <c r="O919" s="59"/>
      <c r="P919" s="59"/>
      <c r="Q919" s="59"/>
      <c r="R919" s="59"/>
      <c r="S919" s="59"/>
      <c r="T919" s="59"/>
      <c r="U919" s="59"/>
      <c r="V919" s="59"/>
      <c r="W919" s="59"/>
      <c r="X919" s="59"/>
      <c r="Y919" s="59"/>
    </row>
    <row r="920" ht="35.25" customHeight="1">
      <c r="A920" s="59"/>
      <c r="B920" s="59"/>
      <c r="C920" s="59"/>
      <c r="D920" s="59"/>
      <c r="E920" s="59"/>
      <c r="F920" s="59"/>
      <c r="G920" s="59"/>
      <c r="H920" s="178"/>
      <c r="I920" s="178"/>
      <c r="J920" s="59"/>
      <c r="K920" s="59"/>
      <c r="L920" s="59"/>
      <c r="M920" s="59"/>
      <c r="N920" s="59"/>
      <c r="O920" s="59"/>
      <c r="P920" s="59"/>
      <c r="Q920" s="59"/>
      <c r="R920" s="59"/>
      <c r="S920" s="59"/>
      <c r="T920" s="59"/>
      <c r="U920" s="59"/>
      <c r="V920" s="59"/>
      <c r="W920" s="59"/>
      <c r="X920" s="59"/>
      <c r="Y920" s="59"/>
    </row>
    <row r="921" ht="35.25" customHeight="1">
      <c r="A921" s="59"/>
      <c r="B921" s="59"/>
      <c r="C921" s="59"/>
      <c r="D921" s="59"/>
      <c r="E921" s="59"/>
      <c r="F921" s="59"/>
      <c r="G921" s="59"/>
      <c r="H921" s="178"/>
      <c r="I921" s="178"/>
      <c r="J921" s="59"/>
      <c r="K921" s="59"/>
      <c r="L921" s="59"/>
      <c r="M921" s="59"/>
      <c r="N921" s="59"/>
      <c r="O921" s="59"/>
      <c r="P921" s="59"/>
      <c r="Q921" s="59"/>
      <c r="R921" s="59"/>
      <c r="S921" s="59"/>
      <c r="T921" s="59"/>
      <c r="U921" s="59"/>
      <c r="V921" s="59"/>
      <c r="W921" s="59"/>
      <c r="X921" s="59"/>
      <c r="Y921" s="59"/>
    </row>
    <row r="922" ht="35.25" customHeight="1">
      <c r="A922" s="59"/>
      <c r="B922" s="59"/>
      <c r="C922" s="59"/>
      <c r="D922" s="59"/>
      <c r="E922" s="59"/>
      <c r="F922" s="59"/>
      <c r="G922" s="59"/>
      <c r="H922" s="178"/>
      <c r="I922" s="178"/>
      <c r="J922" s="59"/>
      <c r="K922" s="59"/>
      <c r="L922" s="59"/>
      <c r="M922" s="59"/>
      <c r="N922" s="59"/>
      <c r="O922" s="59"/>
      <c r="P922" s="59"/>
      <c r="Q922" s="59"/>
      <c r="R922" s="59"/>
      <c r="S922" s="59"/>
      <c r="T922" s="59"/>
      <c r="U922" s="59"/>
      <c r="V922" s="59"/>
      <c r="W922" s="59"/>
      <c r="X922" s="59"/>
      <c r="Y922" s="59"/>
    </row>
    <row r="923" ht="35.25" customHeight="1">
      <c r="A923" s="59"/>
      <c r="B923" s="59"/>
      <c r="C923" s="59"/>
      <c r="D923" s="59"/>
      <c r="E923" s="59"/>
      <c r="F923" s="59"/>
      <c r="G923" s="59"/>
      <c r="H923" s="178"/>
      <c r="I923" s="178"/>
      <c r="J923" s="59"/>
      <c r="K923" s="59"/>
      <c r="L923" s="59"/>
      <c r="M923" s="59"/>
      <c r="N923" s="59"/>
      <c r="O923" s="59"/>
      <c r="P923" s="59"/>
      <c r="Q923" s="59"/>
      <c r="R923" s="59"/>
      <c r="S923" s="59"/>
      <c r="T923" s="59"/>
      <c r="U923" s="59"/>
      <c r="V923" s="59"/>
      <c r="W923" s="59"/>
      <c r="X923" s="59"/>
      <c r="Y923" s="59"/>
    </row>
    <row r="924" ht="35.25" customHeight="1">
      <c r="A924" s="59"/>
      <c r="B924" s="59"/>
      <c r="C924" s="59"/>
      <c r="D924" s="59"/>
      <c r="E924" s="59"/>
      <c r="F924" s="59"/>
      <c r="G924" s="59"/>
      <c r="H924" s="178"/>
      <c r="I924" s="178"/>
      <c r="J924" s="59"/>
      <c r="K924" s="59"/>
      <c r="L924" s="59"/>
      <c r="M924" s="59"/>
      <c r="N924" s="59"/>
      <c r="O924" s="59"/>
      <c r="P924" s="59"/>
      <c r="Q924" s="59"/>
      <c r="R924" s="59"/>
      <c r="S924" s="59"/>
      <c r="T924" s="59"/>
      <c r="U924" s="59"/>
      <c r="V924" s="59"/>
      <c r="W924" s="59"/>
      <c r="X924" s="59"/>
      <c r="Y924" s="59"/>
    </row>
    <row r="925" ht="35.25" customHeight="1">
      <c r="A925" s="59"/>
      <c r="B925" s="59"/>
      <c r="C925" s="59"/>
      <c r="D925" s="59"/>
      <c r="E925" s="59"/>
      <c r="F925" s="59"/>
      <c r="G925" s="59"/>
      <c r="H925" s="178"/>
      <c r="I925" s="178"/>
      <c r="J925" s="59"/>
      <c r="K925" s="59"/>
      <c r="L925" s="59"/>
      <c r="M925" s="59"/>
      <c r="N925" s="59"/>
      <c r="O925" s="59"/>
      <c r="P925" s="59"/>
      <c r="Q925" s="59"/>
      <c r="R925" s="59"/>
      <c r="S925" s="59"/>
      <c r="T925" s="59"/>
      <c r="U925" s="59"/>
      <c r="V925" s="59"/>
      <c r="W925" s="59"/>
      <c r="X925" s="59"/>
      <c r="Y925" s="59"/>
    </row>
    <row r="926" ht="35.25" customHeight="1">
      <c r="A926" s="59"/>
      <c r="B926" s="59"/>
      <c r="C926" s="59"/>
      <c r="D926" s="59"/>
      <c r="E926" s="59"/>
      <c r="F926" s="59"/>
      <c r="G926" s="59"/>
      <c r="H926" s="178"/>
      <c r="I926" s="178"/>
      <c r="J926" s="59"/>
      <c r="K926" s="59"/>
      <c r="L926" s="59"/>
      <c r="M926" s="59"/>
      <c r="N926" s="59"/>
      <c r="O926" s="59"/>
      <c r="P926" s="59"/>
      <c r="Q926" s="59"/>
      <c r="R926" s="59"/>
      <c r="S926" s="59"/>
      <c r="T926" s="59"/>
      <c r="U926" s="59"/>
      <c r="V926" s="59"/>
      <c r="W926" s="59"/>
      <c r="X926" s="59"/>
      <c r="Y926" s="59"/>
    </row>
    <row r="927" ht="35.25" customHeight="1">
      <c r="A927" s="59"/>
      <c r="B927" s="59"/>
      <c r="C927" s="59"/>
      <c r="D927" s="59"/>
      <c r="E927" s="59"/>
      <c r="F927" s="59"/>
      <c r="G927" s="59"/>
      <c r="H927" s="178"/>
      <c r="I927" s="178"/>
      <c r="J927" s="59"/>
      <c r="K927" s="59"/>
      <c r="L927" s="59"/>
      <c r="M927" s="59"/>
      <c r="N927" s="59"/>
      <c r="O927" s="59"/>
      <c r="P927" s="59"/>
      <c r="Q927" s="59"/>
      <c r="R927" s="59"/>
      <c r="S927" s="59"/>
      <c r="T927" s="59"/>
      <c r="U927" s="59"/>
      <c r="V927" s="59"/>
      <c r="W927" s="59"/>
      <c r="X927" s="59"/>
      <c r="Y927" s="59"/>
    </row>
    <row r="928" ht="35.25" customHeight="1">
      <c r="A928" s="59"/>
      <c r="B928" s="59"/>
      <c r="C928" s="59"/>
      <c r="D928" s="59"/>
      <c r="E928" s="59"/>
      <c r="F928" s="59"/>
      <c r="G928" s="59"/>
      <c r="H928" s="178"/>
      <c r="I928" s="178"/>
      <c r="J928" s="59"/>
      <c r="K928" s="59"/>
      <c r="L928" s="59"/>
      <c r="M928" s="59"/>
      <c r="N928" s="59"/>
      <c r="O928" s="59"/>
      <c r="P928" s="59"/>
      <c r="Q928" s="59"/>
      <c r="R928" s="59"/>
      <c r="S928" s="59"/>
      <c r="T928" s="59"/>
      <c r="U928" s="59"/>
      <c r="V928" s="59"/>
      <c r="W928" s="59"/>
      <c r="X928" s="59"/>
      <c r="Y928" s="59"/>
    </row>
    <row r="929" ht="35.25" customHeight="1">
      <c r="A929" s="59"/>
      <c r="B929" s="59"/>
      <c r="C929" s="59"/>
      <c r="D929" s="59"/>
      <c r="E929" s="59"/>
      <c r="F929" s="59"/>
      <c r="G929" s="59"/>
      <c r="H929" s="178"/>
      <c r="I929" s="178"/>
      <c r="J929" s="59"/>
      <c r="K929" s="59"/>
      <c r="L929" s="59"/>
      <c r="M929" s="59"/>
      <c r="N929" s="59"/>
      <c r="O929" s="59"/>
      <c r="P929" s="59"/>
      <c r="Q929" s="59"/>
      <c r="R929" s="59"/>
      <c r="S929" s="59"/>
      <c r="T929" s="59"/>
      <c r="U929" s="59"/>
      <c r="V929" s="59"/>
      <c r="W929" s="59"/>
      <c r="X929" s="59"/>
      <c r="Y929" s="59"/>
    </row>
    <row r="930" ht="35.25" customHeight="1">
      <c r="A930" s="59"/>
      <c r="B930" s="59"/>
      <c r="C930" s="59"/>
      <c r="D930" s="59"/>
      <c r="E930" s="59"/>
      <c r="F930" s="59"/>
      <c r="G930" s="59"/>
      <c r="H930" s="178"/>
      <c r="I930" s="178"/>
      <c r="J930" s="59"/>
      <c r="K930" s="59"/>
      <c r="L930" s="59"/>
      <c r="M930" s="59"/>
      <c r="N930" s="59"/>
      <c r="O930" s="59"/>
      <c r="P930" s="59"/>
      <c r="Q930" s="59"/>
      <c r="R930" s="59"/>
      <c r="S930" s="59"/>
      <c r="T930" s="59"/>
      <c r="U930" s="59"/>
      <c r="V930" s="59"/>
      <c r="W930" s="59"/>
      <c r="X930" s="59"/>
      <c r="Y930" s="59"/>
    </row>
    <row r="931" ht="35.25" customHeight="1">
      <c r="A931" s="59"/>
      <c r="B931" s="59"/>
      <c r="C931" s="59"/>
      <c r="D931" s="59"/>
      <c r="E931" s="59"/>
      <c r="F931" s="59"/>
      <c r="G931" s="59"/>
      <c r="H931" s="178"/>
      <c r="I931" s="178"/>
      <c r="J931" s="59"/>
      <c r="K931" s="59"/>
      <c r="L931" s="59"/>
      <c r="M931" s="59"/>
      <c r="N931" s="59"/>
      <c r="O931" s="59"/>
      <c r="P931" s="59"/>
      <c r="Q931" s="59"/>
      <c r="R931" s="59"/>
      <c r="S931" s="59"/>
      <c r="T931" s="59"/>
      <c r="U931" s="59"/>
      <c r="V931" s="59"/>
      <c r="W931" s="59"/>
      <c r="X931" s="59"/>
      <c r="Y931" s="59"/>
    </row>
    <row r="932" ht="35.25" customHeight="1">
      <c r="A932" s="59"/>
      <c r="B932" s="59"/>
      <c r="C932" s="59"/>
      <c r="D932" s="59"/>
      <c r="E932" s="59"/>
      <c r="F932" s="59"/>
      <c r="G932" s="59"/>
      <c r="H932" s="178"/>
      <c r="I932" s="178"/>
      <c r="J932" s="59"/>
      <c r="K932" s="59"/>
      <c r="L932" s="59"/>
      <c r="M932" s="59"/>
      <c r="N932" s="59"/>
      <c r="O932" s="59"/>
      <c r="P932" s="59"/>
      <c r="Q932" s="59"/>
      <c r="R932" s="59"/>
      <c r="S932" s="59"/>
      <c r="T932" s="59"/>
      <c r="U932" s="59"/>
      <c r="V932" s="59"/>
      <c r="W932" s="59"/>
      <c r="X932" s="59"/>
      <c r="Y932" s="59"/>
    </row>
    <row r="933" ht="35.25" customHeight="1">
      <c r="A933" s="59"/>
      <c r="B933" s="59"/>
      <c r="C933" s="59"/>
      <c r="D933" s="59"/>
      <c r="E933" s="59"/>
      <c r="F933" s="59"/>
      <c r="G933" s="59"/>
      <c r="H933" s="178"/>
      <c r="I933" s="178"/>
      <c r="J933" s="59"/>
      <c r="K933" s="59"/>
      <c r="L933" s="59"/>
      <c r="M933" s="59"/>
      <c r="N933" s="59"/>
      <c r="O933" s="59"/>
      <c r="P933" s="59"/>
      <c r="Q933" s="59"/>
      <c r="R933" s="59"/>
      <c r="S933" s="59"/>
      <c r="T933" s="59"/>
      <c r="U933" s="59"/>
      <c r="V933" s="59"/>
      <c r="W933" s="59"/>
      <c r="X933" s="59"/>
      <c r="Y933" s="59"/>
    </row>
    <row r="934" ht="35.25" customHeight="1">
      <c r="A934" s="59"/>
      <c r="B934" s="59"/>
      <c r="C934" s="59"/>
      <c r="D934" s="59"/>
      <c r="E934" s="59"/>
      <c r="F934" s="59"/>
      <c r="G934" s="59"/>
      <c r="H934" s="178"/>
      <c r="I934" s="178"/>
      <c r="J934" s="59"/>
      <c r="K934" s="59"/>
      <c r="L934" s="59"/>
      <c r="M934" s="59"/>
      <c r="N934" s="59"/>
      <c r="O934" s="59"/>
      <c r="P934" s="59"/>
      <c r="Q934" s="59"/>
      <c r="R934" s="59"/>
      <c r="S934" s="59"/>
      <c r="T934" s="59"/>
      <c r="U934" s="59"/>
      <c r="V934" s="59"/>
      <c r="W934" s="59"/>
      <c r="X934" s="59"/>
      <c r="Y934" s="59"/>
    </row>
    <row r="935" ht="35.25" customHeight="1">
      <c r="A935" s="59"/>
      <c r="B935" s="59"/>
      <c r="C935" s="59"/>
      <c r="D935" s="59"/>
      <c r="E935" s="59"/>
      <c r="F935" s="59"/>
      <c r="G935" s="59"/>
      <c r="H935" s="178"/>
      <c r="I935" s="178"/>
      <c r="J935" s="59"/>
      <c r="K935" s="59"/>
      <c r="L935" s="59"/>
      <c r="M935" s="59"/>
      <c r="N935" s="59"/>
      <c r="O935" s="59"/>
      <c r="P935" s="59"/>
      <c r="Q935" s="59"/>
      <c r="R935" s="59"/>
      <c r="S935" s="59"/>
      <c r="T935" s="59"/>
      <c r="U935" s="59"/>
      <c r="V935" s="59"/>
      <c r="W935" s="59"/>
      <c r="X935" s="59"/>
      <c r="Y935" s="59"/>
    </row>
    <row r="936" ht="35.25" customHeight="1">
      <c r="A936" s="59"/>
      <c r="B936" s="59"/>
      <c r="C936" s="59"/>
      <c r="D936" s="59"/>
      <c r="E936" s="59"/>
      <c r="F936" s="59"/>
      <c r="G936" s="59"/>
      <c r="H936" s="178"/>
      <c r="I936" s="178"/>
      <c r="J936" s="59"/>
      <c r="K936" s="59"/>
      <c r="L936" s="59"/>
      <c r="M936" s="59"/>
      <c r="N936" s="59"/>
      <c r="O936" s="59"/>
      <c r="P936" s="59"/>
      <c r="Q936" s="59"/>
      <c r="R936" s="59"/>
      <c r="S936" s="59"/>
      <c r="T936" s="59"/>
      <c r="U936" s="59"/>
      <c r="V936" s="59"/>
      <c r="W936" s="59"/>
      <c r="X936" s="59"/>
      <c r="Y936" s="59"/>
    </row>
    <row r="937" ht="35.25" customHeight="1">
      <c r="A937" s="59"/>
      <c r="B937" s="59"/>
      <c r="C937" s="59"/>
      <c r="D937" s="59"/>
      <c r="E937" s="59"/>
      <c r="F937" s="59"/>
      <c r="G937" s="59"/>
      <c r="H937" s="178"/>
      <c r="I937" s="178"/>
      <c r="J937" s="59"/>
      <c r="K937" s="59"/>
      <c r="L937" s="59"/>
      <c r="M937" s="59"/>
      <c r="N937" s="59"/>
      <c r="O937" s="59"/>
      <c r="P937" s="59"/>
      <c r="Q937" s="59"/>
      <c r="R937" s="59"/>
      <c r="S937" s="59"/>
      <c r="T937" s="59"/>
      <c r="U937" s="59"/>
      <c r="V937" s="59"/>
      <c r="W937" s="59"/>
      <c r="X937" s="59"/>
      <c r="Y937" s="59"/>
    </row>
    <row r="938" ht="35.25" customHeight="1">
      <c r="A938" s="59"/>
      <c r="B938" s="59"/>
      <c r="C938" s="59"/>
      <c r="D938" s="59"/>
      <c r="E938" s="59"/>
      <c r="F938" s="59"/>
      <c r="G938" s="59"/>
      <c r="H938" s="178"/>
      <c r="I938" s="178"/>
      <c r="J938" s="59"/>
      <c r="K938" s="59"/>
      <c r="L938" s="59"/>
      <c r="M938" s="59"/>
      <c r="N938" s="59"/>
      <c r="O938" s="59"/>
      <c r="P938" s="59"/>
      <c r="Q938" s="59"/>
      <c r="R938" s="59"/>
      <c r="S938" s="59"/>
      <c r="T938" s="59"/>
      <c r="U938" s="59"/>
      <c r="V938" s="59"/>
      <c r="W938" s="59"/>
      <c r="X938" s="59"/>
      <c r="Y938" s="59"/>
    </row>
    <row r="939" ht="35.25" customHeight="1">
      <c r="A939" s="59"/>
      <c r="B939" s="59"/>
      <c r="C939" s="59"/>
      <c r="D939" s="59"/>
      <c r="E939" s="59"/>
      <c r="F939" s="59"/>
      <c r="G939" s="59"/>
      <c r="H939" s="178"/>
      <c r="I939" s="178"/>
      <c r="J939" s="59"/>
      <c r="K939" s="59"/>
      <c r="L939" s="59"/>
      <c r="M939" s="59"/>
      <c r="N939" s="59"/>
      <c r="O939" s="59"/>
      <c r="P939" s="59"/>
      <c r="Q939" s="59"/>
      <c r="R939" s="59"/>
      <c r="S939" s="59"/>
      <c r="T939" s="59"/>
      <c r="U939" s="59"/>
      <c r="V939" s="59"/>
      <c r="W939" s="59"/>
      <c r="X939" s="59"/>
      <c r="Y939" s="59"/>
    </row>
    <row r="940" ht="35.25" customHeight="1">
      <c r="A940" s="59"/>
      <c r="B940" s="59"/>
      <c r="C940" s="59"/>
      <c r="D940" s="59"/>
      <c r="E940" s="59"/>
      <c r="F940" s="59"/>
      <c r="G940" s="59"/>
      <c r="H940" s="178"/>
      <c r="I940" s="178"/>
      <c r="J940" s="59"/>
      <c r="K940" s="59"/>
      <c r="L940" s="59"/>
      <c r="M940" s="59"/>
      <c r="N940" s="59"/>
      <c r="O940" s="59"/>
      <c r="P940" s="59"/>
      <c r="Q940" s="59"/>
      <c r="R940" s="59"/>
      <c r="S940" s="59"/>
      <c r="T940" s="59"/>
      <c r="U940" s="59"/>
      <c r="V940" s="59"/>
      <c r="W940" s="59"/>
      <c r="X940" s="59"/>
      <c r="Y940" s="59"/>
    </row>
    <row r="941" ht="35.25" customHeight="1">
      <c r="A941" s="59"/>
      <c r="B941" s="59"/>
      <c r="C941" s="59"/>
      <c r="D941" s="59"/>
      <c r="E941" s="59"/>
      <c r="F941" s="59"/>
      <c r="G941" s="59"/>
      <c r="H941" s="178"/>
      <c r="I941" s="178"/>
      <c r="J941" s="59"/>
      <c r="K941" s="59"/>
      <c r="L941" s="59"/>
      <c r="M941" s="59"/>
      <c r="N941" s="59"/>
      <c r="O941" s="59"/>
      <c r="P941" s="59"/>
      <c r="Q941" s="59"/>
      <c r="R941" s="59"/>
      <c r="S941" s="59"/>
      <c r="T941" s="59"/>
      <c r="U941" s="59"/>
      <c r="V941" s="59"/>
      <c r="W941" s="59"/>
      <c r="X941" s="59"/>
      <c r="Y941" s="59"/>
    </row>
    <row r="942" ht="35.25" customHeight="1">
      <c r="A942" s="59"/>
      <c r="B942" s="59"/>
      <c r="C942" s="59"/>
      <c r="D942" s="59"/>
      <c r="E942" s="59"/>
      <c r="F942" s="59"/>
      <c r="G942" s="59"/>
      <c r="H942" s="178"/>
      <c r="I942" s="178"/>
      <c r="J942" s="59"/>
      <c r="K942" s="59"/>
      <c r="L942" s="59"/>
      <c r="M942" s="59"/>
      <c r="N942" s="59"/>
      <c r="O942" s="59"/>
      <c r="P942" s="59"/>
      <c r="Q942" s="59"/>
      <c r="R942" s="59"/>
      <c r="S942" s="59"/>
      <c r="T942" s="59"/>
      <c r="U942" s="59"/>
      <c r="V942" s="59"/>
      <c r="W942" s="59"/>
      <c r="X942" s="59"/>
      <c r="Y942" s="59"/>
    </row>
    <row r="943" ht="35.25" customHeight="1">
      <c r="A943" s="59"/>
      <c r="B943" s="59"/>
      <c r="C943" s="59"/>
      <c r="D943" s="59"/>
      <c r="E943" s="59"/>
      <c r="F943" s="59"/>
      <c r="G943" s="59"/>
      <c r="H943" s="178"/>
      <c r="I943" s="178"/>
      <c r="J943" s="59"/>
      <c r="K943" s="59"/>
      <c r="L943" s="59"/>
      <c r="M943" s="59"/>
      <c r="N943" s="59"/>
      <c r="O943" s="59"/>
      <c r="P943" s="59"/>
      <c r="Q943" s="59"/>
      <c r="R943" s="59"/>
      <c r="S943" s="59"/>
      <c r="T943" s="59"/>
      <c r="U943" s="59"/>
      <c r="V943" s="59"/>
      <c r="W943" s="59"/>
      <c r="X943" s="59"/>
      <c r="Y943" s="59"/>
    </row>
    <row r="944" ht="35.25" customHeight="1">
      <c r="A944" s="59"/>
      <c r="B944" s="59"/>
      <c r="C944" s="59"/>
      <c r="D944" s="59"/>
      <c r="E944" s="59"/>
      <c r="F944" s="59"/>
      <c r="G944" s="59"/>
      <c r="H944" s="178"/>
      <c r="I944" s="178"/>
      <c r="J944" s="59"/>
      <c r="K944" s="59"/>
      <c r="L944" s="59"/>
      <c r="M944" s="59"/>
      <c r="N944" s="59"/>
      <c r="O944" s="59"/>
      <c r="P944" s="59"/>
      <c r="Q944" s="59"/>
      <c r="R944" s="59"/>
      <c r="S944" s="59"/>
      <c r="T944" s="59"/>
      <c r="U944" s="59"/>
      <c r="V944" s="59"/>
      <c r="W944" s="59"/>
      <c r="X944" s="59"/>
      <c r="Y944" s="59"/>
    </row>
    <row r="945" ht="35.25" customHeight="1">
      <c r="A945" s="59"/>
      <c r="B945" s="59"/>
      <c r="C945" s="59"/>
      <c r="D945" s="59"/>
      <c r="E945" s="59"/>
      <c r="F945" s="59"/>
      <c r="G945" s="59"/>
      <c r="H945" s="178"/>
      <c r="I945" s="178"/>
      <c r="J945" s="59"/>
      <c r="K945" s="59"/>
      <c r="L945" s="59"/>
      <c r="M945" s="59"/>
      <c r="N945" s="59"/>
      <c r="O945" s="59"/>
      <c r="P945" s="59"/>
      <c r="Q945" s="59"/>
      <c r="R945" s="59"/>
      <c r="S945" s="59"/>
      <c r="T945" s="59"/>
      <c r="U945" s="59"/>
      <c r="V945" s="59"/>
      <c r="W945" s="59"/>
      <c r="X945" s="59"/>
      <c r="Y945" s="59"/>
    </row>
    <row r="946" ht="35.25" customHeight="1">
      <c r="A946" s="59"/>
      <c r="B946" s="59"/>
      <c r="C946" s="59"/>
      <c r="D946" s="59"/>
      <c r="E946" s="59"/>
      <c r="F946" s="59"/>
      <c r="G946" s="59"/>
      <c r="H946" s="178"/>
      <c r="I946" s="178"/>
      <c r="J946" s="59"/>
      <c r="K946" s="59"/>
      <c r="L946" s="59"/>
      <c r="M946" s="59"/>
      <c r="N946" s="59"/>
      <c r="O946" s="59"/>
      <c r="P946" s="59"/>
      <c r="Q946" s="59"/>
      <c r="R946" s="59"/>
      <c r="S946" s="59"/>
      <c r="T946" s="59"/>
      <c r="U946" s="59"/>
      <c r="V946" s="59"/>
      <c r="W946" s="59"/>
      <c r="X946" s="59"/>
      <c r="Y946" s="59"/>
    </row>
    <row r="947" ht="35.25" customHeight="1">
      <c r="A947" s="59"/>
      <c r="B947" s="59"/>
      <c r="C947" s="59"/>
      <c r="D947" s="59"/>
      <c r="E947" s="59"/>
      <c r="F947" s="59"/>
      <c r="G947" s="59"/>
      <c r="H947" s="178"/>
      <c r="I947" s="178"/>
      <c r="J947" s="59"/>
      <c r="K947" s="59"/>
      <c r="L947" s="59"/>
      <c r="M947" s="59"/>
      <c r="N947" s="59"/>
      <c r="O947" s="59"/>
      <c r="P947" s="59"/>
      <c r="Q947" s="59"/>
      <c r="R947" s="59"/>
      <c r="S947" s="59"/>
      <c r="T947" s="59"/>
      <c r="U947" s="59"/>
      <c r="V947" s="59"/>
      <c r="W947" s="59"/>
      <c r="X947" s="59"/>
      <c r="Y947" s="59"/>
    </row>
    <row r="948" ht="35.25" customHeight="1">
      <c r="A948" s="59"/>
      <c r="B948" s="59"/>
      <c r="C948" s="59"/>
      <c r="D948" s="59"/>
      <c r="E948" s="59"/>
      <c r="F948" s="59"/>
      <c r="G948" s="59"/>
      <c r="H948" s="178"/>
      <c r="I948" s="178"/>
      <c r="J948" s="59"/>
      <c r="K948" s="59"/>
      <c r="L948" s="59"/>
      <c r="M948" s="59"/>
      <c r="N948" s="59"/>
      <c r="O948" s="59"/>
      <c r="P948" s="59"/>
      <c r="Q948" s="59"/>
      <c r="R948" s="59"/>
      <c r="S948" s="59"/>
      <c r="T948" s="59"/>
      <c r="U948" s="59"/>
      <c r="V948" s="59"/>
      <c r="W948" s="59"/>
      <c r="X948" s="59"/>
      <c r="Y948" s="59"/>
    </row>
    <row r="949" ht="35.25" customHeight="1">
      <c r="A949" s="59"/>
      <c r="B949" s="59"/>
      <c r="C949" s="59"/>
      <c r="D949" s="59"/>
      <c r="E949" s="59"/>
      <c r="F949" s="59"/>
      <c r="G949" s="59"/>
      <c r="H949" s="178"/>
      <c r="I949" s="178"/>
      <c r="J949" s="59"/>
      <c r="K949" s="59"/>
      <c r="L949" s="59"/>
      <c r="M949" s="59"/>
      <c r="N949" s="59"/>
      <c r="O949" s="59"/>
      <c r="P949" s="59"/>
      <c r="Q949" s="59"/>
      <c r="R949" s="59"/>
      <c r="S949" s="59"/>
      <c r="T949" s="59"/>
      <c r="U949" s="59"/>
      <c r="V949" s="59"/>
      <c r="W949" s="59"/>
      <c r="X949" s="59"/>
      <c r="Y949" s="59"/>
    </row>
    <row r="950" ht="35.25" customHeight="1">
      <c r="A950" s="59"/>
      <c r="B950" s="59"/>
      <c r="C950" s="59"/>
      <c r="D950" s="59"/>
      <c r="E950" s="59"/>
      <c r="F950" s="59"/>
      <c r="G950" s="59"/>
      <c r="H950" s="178"/>
      <c r="I950" s="178"/>
      <c r="J950" s="59"/>
      <c r="K950" s="59"/>
      <c r="L950" s="59"/>
      <c r="M950" s="59"/>
      <c r="N950" s="59"/>
      <c r="O950" s="59"/>
      <c r="P950" s="59"/>
      <c r="Q950" s="59"/>
      <c r="R950" s="59"/>
      <c r="S950" s="59"/>
      <c r="T950" s="59"/>
      <c r="U950" s="59"/>
      <c r="V950" s="59"/>
      <c r="W950" s="59"/>
      <c r="X950" s="59"/>
      <c r="Y950" s="59"/>
    </row>
    <row r="951" ht="35.25" customHeight="1">
      <c r="A951" s="59"/>
      <c r="B951" s="59"/>
      <c r="C951" s="59"/>
      <c r="D951" s="59"/>
      <c r="E951" s="59"/>
      <c r="F951" s="59"/>
      <c r="G951" s="59"/>
      <c r="H951" s="178"/>
      <c r="I951" s="178"/>
      <c r="J951" s="59"/>
      <c r="K951" s="59"/>
      <c r="L951" s="59"/>
      <c r="M951" s="59"/>
      <c r="N951" s="59"/>
      <c r="O951" s="59"/>
      <c r="P951" s="59"/>
      <c r="Q951" s="59"/>
      <c r="R951" s="59"/>
      <c r="S951" s="59"/>
      <c r="T951" s="59"/>
      <c r="U951" s="59"/>
      <c r="V951" s="59"/>
      <c r="W951" s="59"/>
      <c r="X951" s="59"/>
      <c r="Y951" s="59"/>
    </row>
    <row r="952" ht="35.25" customHeight="1">
      <c r="A952" s="59"/>
      <c r="B952" s="59"/>
      <c r="C952" s="59"/>
      <c r="D952" s="59"/>
      <c r="E952" s="59"/>
      <c r="F952" s="59"/>
      <c r="G952" s="59"/>
      <c r="H952" s="178"/>
      <c r="I952" s="178"/>
      <c r="J952" s="59"/>
      <c r="K952" s="59"/>
      <c r="L952" s="59"/>
      <c r="M952" s="59"/>
      <c r="N952" s="59"/>
      <c r="O952" s="59"/>
      <c r="P952" s="59"/>
      <c r="Q952" s="59"/>
      <c r="R952" s="59"/>
      <c r="S952" s="59"/>
      <c r="T952" s="59"/>
      <c r="U952" s="59"/>
      <c r="V952" s="59"/>
      <c r="W952" s="59"/>
      <c r="X952" s="59"/>
      <c r="Y952" s="59"/>
    </row>
    <row r="953" ht="35.25" customHeight="1">
      <c r="A953" s="59"/>
      <c r="B953" s="59"/>
      <c r="C953" s="59"/>
      <c r="D953" s="59"/>
      <c r="E953" s="59"/>
      <c r="F953" s="59"/>
      <c r="G953" s="59"/>
      <c r="H953" s="178"/>
      <c r="I953" s="178"/>
      <c r="J953" s="59"/>
      <c r="K953" s="59"/>
      <c r="L953" s="59"/>
      <c r="M953" s="59"/>
      <c r="N953" s="59"/>
      <c r="O953" s="59"/>
      <c r="P953" s="59"/>
      <c r="Q953" s="59"/>
      <c r="R953" s="59"/>
      <c r="S953" s="59"/>
      <c r="T953" s="59"/>
      <c r="U953" s="59"/>
      <c r="V953" s="59"/>
      <c r="W953" s="59"/>
      <c r="X953" s="59"/>
      <c r="Y953" s="59"/>
    </row>
    <row r="954" ht="35.25" customHeight="1">
      <c r="A954" s="59"/>
      <c r="B954" s="59"/>
      <c r="C954" s="59"/>
      <c r="D954" s="59"/>
      <c r="E954" s="59"/>
      <c r="F954" s="59"/>
      <c r="G954" s="59"/>
      <c r="H954" s="178"/>
      <c r="I954" s="178"/>
      <c r="J954" s="59"/>
      <c r="K954" s="59"/>
      <c r="L954" s="59"/>
      <c r="M954" s="59"/>
      <c r="N954" s="59"/>
      <c r="O954" s="59"/>
      <c r="P954" s="59"/>
      <c r="Q954" s="59"/>
      <c r="R954" s="59"/>
      <c r="S954" s="59"/>
      <c r="T954" s="59"/>
      <c r="U954" s="59"/>
      <c r="V954" s="59"/>
      <c r="W954" s="59"/>
      <c r="X954" s="59"/>
      <c r="Y954" s="59"/>
    </row>
    <row r="955" ht="35.25" customHeight="1">
      <c r="A955" s="59"/>
      <c r="B955" s="59"/>
      <c r="C955" s="59"/>
      <c r="D955" s="59"/>
      <c r="E955" s="59"/>
      <c r="F955" s="59"/>
      <c r="G955" s="59"/>
      <c r="H955" s="178"/>
      <c r="I955" s="178"/>
      <c r="J955" s="59"/>
      <c r="K955" s="59"/>
      <c r="L955" s="59"/>
      <c r="M955" s="59"/>
      <c r="N955" s="59"/>
      <c r="O955" s="59"/>
      <c r="P955" s="59"/>
      <c r="Q955" s="59"/>
      <c r="R955" s="59"/>
      <c r="S955" s="59"/>
      <c r="T955" s="59"/>
      <c r="U955" s="59"/>
      <c r="V955" s="59"/>
      <c r="W955" s="59"/>
      <c r="X955" s="59"/>
      <c r="Y955" s="59"/>
    </row>
    <row r="956" ht="35.25" customHeight="1">
      <c r="A956" s="59"/>
      <c r="B956" s="59"/>
      <c r="C956" s="59"/>
      <c r="D956" s="59"/>
      <c r="E956" s="59"/>
      <c r="F956" s="59"/>
      <c r="G956" s="59"/>
      <c r="H956" s="178"/>
      <c r="I956" s="178"/>
      <c r="J956" s="59"/>
      <c r="K956" s="59"/>
      <c r="L956" s="59"/>
      <c r="M956" s="59"/>
      <c r="N956" s="59"/>
      <c r="O956" s="59"/>
      <c r="P956" s="59"/>
      <c r="Q956" s="59"/>
      <c r="R956" s="59"/>
      <c r="S956" s="59"/>
      <c r="T956" s="59"/>
      <c r="U956" s="59"/>
      <c r="V956" s="59"/>
      <c r="W956" s="59"/>
      <c r="X956" s="59"/>
      <c r="Y956" s="59"/>
    </row>
    <row r="957" ht="35.25" customHeight="1">
      <c r="A957" s="59"/>
      <c r="B957" s="59"/>
      <c r="C957" s="59"/>
      <c r="D957" s="59"/>
      <c r="E957" s="59"/>
      <c r="F957" s="59"/>
      <c r="G957" s="59"/>
      <c r="H957" s="178"/>
      <c r="I957" s="178"/>
      <c r="J957" s="59"/>
      <c r="K957" s="59"/>
      <c r="L957" s="59"/>
      <c r="M957" s="59"/>
      <c r="N957" s="59"/>
      <c r="O957" s="59"/>
      <c r="P957" s="59"/>
      <c r="Q957" s="59"/>
      <c r="R957" s="59"/>
      <c r="S957" s="59"/>
      <c r="T957" s="59"/>
      <c r="U957" s="59"/>
      <c r="V957" s="59"/>
      <c r="W957" s="59"/>
      <c r="X957" s="59"/>
      <c r="Y957" s="59"/>
    </row>
    <row r="958" ht="35.25" customHeight="1">
      <c r="A958" s="59"/>
      <c r="B958" s="59"/>
      <c r="C958" s="59"/>
      <c r="D958" s="59"/>
      <c r="E958" s="59"/>
      <c r="F958" s="59"/>
      <c r="G958" s="59"/>
      <c r="H958" s="178"/>
      <c r="I958" s="178"/>
      <c r="J958" s="59"/>
      <c r="K958" s="59"/>
      <c r="L958" s="59"/>
      <c r="M958" s="59"/>
      <c r="N958" s="59"/>
      <c r="O958" s="59"/>
      <c r="P958" s="59"/>
      <c r="Q958" s="59"/>
      <c r="R958" s="59"/>
      <c r="S958" s="59"/>
      <c r="T958" s="59"/>
      <c r="U958" s="59"/>
      <c r="V958" s="59"/>
      <c r="W958" s="59"/>
      <c r="X958" s="59"/>
      <c r="Y958" s="59"/>
    </row>
    <row r="959" ht="35.25" customHeight="1">
      <c r="A959" s="59"/>
      <c r="B959" s="59"/>
      <c r="C959" s="59"/>
      <c r="D959" s="59"/>
      <c r="E959" s="59"/>
      <c r="F959" s="59"/>
      <c r="G959" s="59"/>
      <c r="H959" s="178"/>
      <c r="I959" s="178"/>
      <c r="J959" s="59"/>
      <c r="K959" s="59"/>
      <c r="L959" s="59"/>
      <c r="M959" s="59"/>
      <c r="N959" s="59"/>
      <c r="O959" s="59"/>
      <c r="P959" s="59"/>
      <c r="Q959" s="59"/>
      <c r="R959" s="59"/>
      <c r="S959" s="59"/>
      <c r="T959" s="59"/>
      <c r="U959" s="59"/>
      <c r="V959" s="59"/>
      <c r="W959" s="59"/>
      <c r="X959" s="59"/>
      <c r="Y959" s="59"/>
    </row>
    <row r="960" ht="35.25" customHeight="1">
      <c r="A960" s="59"/>
      <c r="B960" s="59"/>
      <c r="C960" s="59"/>
      <c r="D960" s="59"/>
      <c r="E960" s="59"/>
      <c r="F960" s="59"/>
      <c r="G960" s="59"/>
      <c r="H960" s="178"/>
      <c r="I960" s="178"/>
      <c r="J960" s="59"/>
      <c r="K960" s="59"/>
      <c r="L960" s="59"/>
      <c r="M960" s="59"/>
      <c r="N960" s="59"/>
      <c r="O960" s="59"/>
      <c r="P960" s="59"/>
      <c r="Q960" s="59"/>
      <c r="R960" s="59"/>
      <c r="S960" s="59"/>
      <c r="T960" s="59"/>
      <c r="U960" s="59"/>
      <c r="V960" s="59"/>
      <c r="W960" s="59"/>
      <c r="X960" s="59"/>
      <c r="Y960" s="59"/>
    </row>
    <row r="961" ht="35.25" customHeight="1">
      <c r="A961" s="59"/>
      <c r="B961" s="59"/>
      <c r="C961" s="59"/>
      <c r="D961" s="59"/>
      <c r="E961" s="59"/>
      <c r="F961" s="59"/>
      <c r="G961" s="59"/>
      <c r="H961" s="178"/>
      <c r="I961" s="178"/>
      <c r="J961" s="59"/>
      <c r="K961" s="59"/>
      <c r="L961" s="59"/>
      <c r="M961" s="59"/>
      <c r="N961" s="59"/>
      <c r="O961" s="59"/>
      <c r="P961" s="59"/>
      <c r="Q961" s="59"/>
      <c r="R961" s="59"/>
      <c r="S961" s="59"/>
      <c r="T961" s="59"/>
      <c r="U961" s="59"/>
      <c r="V961" s="59"/>
      <c r="W961" s="59"/>
      <c r="X961" s="59"/>
      <c r="Y961" s="59"/>
    </row>
    <row r="962" ht="35.25" customHeight="1">
      <c r="A962" s="59"/>
      <c r="B962" s="59"/>
      <c r="C962" s="59"/>
      <c r="D962" s="59"/>
      <c r="E962" s="59"/>
      <c r="F962" s="59"/>
      <c r="G962" s="59"/>
      <c r="H962" s="178"/>
      <c r="I962" s="178"/>
      <c r="J962" s="59"/>
      <c r="K962" s="59"/>
      <c r="L962" s="59"/>
      <c r="M962" s="59"/>
      <c r="N962" s="59"/>
      <c r="O962" s="59"/>
      <c r="P962" s="59"/>
      <c r="Q962" s="59"/>
      <c r="R962" s="59"/>
      <c r="S962" s="59"/>
      <c r="T962" s="59"/>
      <c r="U962" s="59"/>
      <c r="V962" s="59"/>
      <c r="W962" s="59"/>
      <c r="X962" s="59"/>
      <c r="Y962" s="59"/>
    </row>
    <row r="963" ht="35.25" customHeight="1">
      <c r="A963" s="59"/>
      <c r="B963" s="59"/>
      <c r="C963" s="59"/>
      <c r="D963" s="59"/>
      <c r="E963" s="59"/>
      <c r="F963" s="59"/>
      <c r="G963" s="59"/>
      <c r="H963" s="178"/>
      <c r="I963" s="178"/>
      <c r="J963" s="59"/>
      <c r="K963" s="59"/>
      <c r="L963" s="59"/>
      <c r="M963" s="59"/>
      <c r="N963" s="59"/>
      <c r="O963" s="59"/>
      <c r="P963" s="59"/>
      <c r="Q963" s="59"/>
      <c r="R963" s="59"/>
      <c r="S963" s="59"/>
      <c r="T963" s="59"/>
      <c r="U963" s="59"/>
      <c r="V963" s="59"/>
      <c r="W963" s="59"/>
      <c r="X963" s="59"/>
      <c r="Y963" s="59"/>
    </row>
    <row r="964" ht="35.25" customHeight="1">
      <c r="A964" s="59"/>
      <c r="B964" s="59"/>
      <c r="C964" s="59"/>
      <c r="D964" s="59"/>
      <c r="E964" s="59"/>
      <c r="F964" s="59"/>
      <c r="G964" s="59"/>
      <c r="H964" s="178"/>
      <c r="I964" s="178"/>
      <c r="J964" s="59"/>
      <c r="K964" s="59"/>
      <c r="L964" s="59"/>
      <c r="M964" s="59"/>
      <c r="N964" s="59"/>
      <c r="O964" s="59"/>
      <c r="P964" s="59"/>
      <c r="Q964" s="59"/>
      <c r="R964" s="59"/>
      <c r="S964" s="59"/>
      <c r="T964" s="59"/>
      <c r="U964" s="59"/>
      <c r="V964" s="59"/>
      <c r="W964" s="59"/>
      <c r="X964" s="59"/>
      <c r="Y964" s="59"/>
    </row>
    <row r="965" ht="35.25" customHeight="1">
      <c r="A965" s="59"/>
      <c r="B965" s="59"/>
      <c r="C965" s="59"/>
      <c r="D965" s="59"/>
      <c r="E965" s="59"/>
      <c r="F965" s="59"/>
      <c r="G965" s="59"/>
      <c r="H965" s="178"/>
      <c r="I965" s="178"/>
      <c r="J965" s="59"/>
      <c r="K965" s="59"/>
      <c r="L965" s="59"/>
      <c r="M965" s="59"/>
      <c r="N965" s="59"/>
      <c r="O965" s="59"/>
      <c r="P965" s="59"/>
      <c r="Q965" s="59"/>
      <c r="R965" s="59"/>
      <c r="S965" s="59"/>
      <c r="T965" s="59"/>
      <c r="U965" s="59"/>
      <c r="V965" s="59"/>
      <c r="W965" s="59"/>
      <c r="X965" s="59"/>
      <c r="Y965" s="59"/>
    </row>
    <row r="966" ht="35.25" customHeight="1">
      <c r="A966" s="59"/>
      <c r="B966" s="59"/>
      <c r="C966" s="59"/>
      <c r="D966" s="59"/>
      <c r="E966" s="59"/>
      <c r="F966" s="59"/>
      <c r="G966" s="59"/>
      <c r="H966" s="178"/>
      <c r="I966" s="178"/>
      <c r="J966" s="59"/>
      <c r="K966" s="59"/>
      <c r="L966" s="59"/>
      <c r="M966" s="59"/>
      <c r="N966" s="59"/>
      <c r="O966" s="59"/>
      <c r="P966" s="59"/>
      <c r="Q966" s="59"/>
      <c r="R966" s="59"/>
      <c r="S966" s="59"/>
      <c r="T966" s="59"/>
      <c r="U966" s="59"/>
      <c r="V966" s="59"/>
      <c r="W966" s="59"/>
      <c r="X966" s="59"/>
      <c r="Y966" s="59"/>
    </row>
    <row r="967" ht="35.25" customHeight="1">
      <c r="A967" s="59"/>
      <c r="B967" s="59"/>
      <c r="C967" s="59"/>
      <c r="D967" s="59"/>
      <c r="E967" s="59"/>
      <c r="F967" s="59"/>
      <c r="G967" s="59"/>
      <c r="H967" s="178"/>
      <c r="I967" s="178"/>
      <c r="J967" s="59"/>
      <c r="K967" s="59"/>
      <c r="L967" s="59"/>
      <c r="M967" s="59"/>
      <c r="N967" s="59"/>
      <c r="O967" s="59"/>
      <c r="P967" s="59"/>
      <c r="Q967" s="59"/>
      <c r="R967" s="59"/>
      <c r="S967" s="59"/>
      <c r="T967" s="59"/>
      <c r="U967" s="59"/>
      <c r="V967" s="59"/>
      <c r="W967" s="59"/>
      <c r="X967" s="59"/>
      <c r="Y967" s="59"/>
    </row>
    <row r="968" ht="35.25" customHeight="1">
      <c r="A968" s="59"/>
      <c r="B968" s="59"/>
      <c r="C968" s="59"/>
      <c r="D968" s="59"/>
      <c r="E968" s="59"/>
      <c r="F968" s="59"/>
      <c r="G968" s="59"/>
      <c r="H968" s="178"/>
      <c r="I968" s="178"/>
      <c r="J968" s="59"/>
      <c r="K968" s="59"/>
      <c r="L968" s="59"/>
      <c r="M968" s="59"/>
      <c r="N968" s="59"/>
      <c r="O968" s="59"/>
      <c r="P968" s="59"/>
      <c r="Q968" s="59"/>
      <c r="R968" s="59"/>
      <c r="S968" s="59"/>
      <c r="T968" s="59"/>
      <c r="U968" s="59"/>
      <c r="V968" s="59"/>
      <c r="W968" s="59"/>
      <c r="X968" s="59"/>
      <c r="Y968" s="59"/>
    </row>
    <row r="969" ht="35.25" customHeight="1">
      <c r="A969" s="59"/>
      <c r="B969" s="59"/>
      <c r="C969" s="59"/>
      <c r="D969" s="59"/>
      <c r="E969" s="59"/>
      <c r="F969" s="59"/>
      <c r="G969" s="59"/>
      <c r="H969" s="178"/>
      <c r="I969" s="178"/>
      <c r="J969" s="59"/>
      <c r="K969" s="59"/>
      <c r="L969" s="59"/>
      <c r="M969" s="59"/>
      <c r="N969" s="59"/>
      <c r="O969" s="59"/>
      <c r="P969" s="59"/>
      <c r="Q969" s="59"/>
      <c r="R969" s="59"/>
      <c r="S969" s="59"/>
      <c r="T969" s="59"/>
      <c r="U969" s="59"/>
      <c r="V969" s="59"/>
      <c r="W969" s="59"/>
      <c r="X969" s="59"/>
      <c r="Y969" s="59"/>
    </row>
    <row r="970" ht="35.25" customHeight="1">
      <c r="A970" s="59"/>
      <c r="B970" s="59"/>
      <c r="C970" s="59"/>
      <c r="D970" s="59"/>
      <c r="E970" s="59"/>
      <c r="F970" s="59"/>
      <c r="G970" s="59"/>
      <c r="H970" s="178"/>
      <c r="I970" s="178"/>
      <c r="J970" s="59"/>
      <c r="K970" s="59"/>
      <c r="L970" s="59"/>
      <c r="M970" s="59"/>
      <c r="N970" s="59"/>
      <c r="O970" s="59"/>
      <c r="P970" s="59"/>
      <c r="Q970" s="59"/>
      <c r="R970" s="59"/>
      <c r="S970" s="59"/>
      <c r="T970" s="59"/>
      <c r="U970" s="59"/>
      <c r="V970" s="59"/>
      <c r="W970" s="59"/>
      <c r="X970" s="59"/>
      <c r="Y970" s="59"/>
    </row>
    <row r="971" ht="35.25" customHeight="1">
      <c r="A971" s="59"/>
      <c r="B971" s="59"/>
      <c r="C971" s="59"/>
      <c r="D971" s="59"/>
      <c r="E971" s="59"/>
      <c r="F971" s="59"/>
      <c r="G971" s="59"/>
      <c r="H971" s="178"/>
      <c r="I971" s="178"/>
      <c r="J971" s="59"/>
      <c r="K971" s="59"/>
      <c r="L971" s="59"/>
      <c r="M971" s="59"/>
      <c r="N971" s="59"/>
      <c r="O971" s="59"/>
      <c r="P971" s="59"/>
      <c r="Q971" s="59"/>
      <c r="R971" s="59"/>
      <c r="S971" s="59"/>
      <c r="T971" s="59"/>
      <c r="U971" s="59"/>
      <c r="V971" s="59"/>
      <c r="W971" s="59"/>
      <c r="X971" s="59"/>
      <c r="Y971" s="59"/>
    </row>
    <row r="972" ht="35.25" customHeight="1">
      <c r="A972" s="59"/>
      <c r="B972" s="59"/>
      <c r="C972" s="59"/>
      <c r="D972" s="59"/>
      <c r="E972" s="59"/>
      <c r="F972" s="59"/>
      <c r="G972" s="59"/>
      <c r="H972" s="178"/>
      <c r="I972" s="178"/>
      <c r="J972" s="59"/>
      <c r="K972" s="59"/>
      <c r="L972" s="59"/>
      <c r="M972" s="59"/>
      <c r="N972" s="59"/>
      <c r="O972" s="59"/>
      <c r="P972" s="59"/>
      <c r="Q972" s="59"/>
      <c r="R972" s="59"/>
      <c r="S972" s="59"/>
      <c r="T972" s="59"/>
      <c r="U972" s="59"/>
      <c r="V972" s="59"/>
      <c r="W972" s="59"/>
      <c r="X972" s="59"/>
      <c r="Y972" s="59"/>
    </row>
    <row r="973" ht="35.25" customHeight="1">
      <c r="A973" s="59"/>
      <c r="B973" s="59"/>
      <c r="C973" s="59"/>
      <c r="D973" s="59"/>
      <c r="E973" s="59"/>
      <c r="F973" s="59"/>
      <c r="G973" s="59"/>
      <c r="H973" s="178"/>
      <c r="I973" s="178"/>
      <c r="J973" s="59"/>
      <c r="K973" s="59"/>
      <c r="L973" s="59"/>
      <c r="M973" s="59"/>
      <c r="N973" s="59"/>
      <c r="O973" s="59"/>
      <c r="P973" s="59"/>
      <c r="Q973" s="59"/>
      <c r="R973" s="59"/>
      <c r="S973" s="59"/>
      <c r="T973" s="59"/>
      <c r="U973" s="59"/>
      <c r="V973" s="59"/>
      <c r="W973" s="59"/>
      <c r="X973" s="59"/>
      <c r="Y973" s="59"/>
    </row>
    <row r="974" ht="35.25" customHeight="1">
      <c r="A974" s="59"/>
      <c r="B974" s="59"/>
      <c r="C974" s="59"/>
      <c r="D974" s="59"/>
      <c r="E974" s="59"/>
      <c r="F974" s="59"/>
      <c r="G974" s="59"/>
      <c r="H974" s="178"/>
      <c r="I974" s="178"/>
      <c r="J974" s="59"/>
      <c r="K974" s="59"/>
      <c r="L974" s="59"/>
      <c r="M974" s="59"/>
      <c r="N974" s="59"/>
      <c r="O974" s="59"/>
      <c r="P974" s="59"/>
      <c r="Q974" s="59"/>
      <c r="R974" s="59"/>
      <c r="S974" s="59"/>
      <c r="T974" s="59"/>
      <c r="U974" s="59"/>
      <c r="V974" s="59"/>
      <c r="W974" s="59"/>
      <c r="X974" s="59"/>
      <c r="Y974" s="59"/>
    </row>
    <row r="975" ht="35.25" customHeight="1">
      <c r="A975" s="59"/>
      <c r="B975" s="59"/>
      <c r="C975" s="59"/>
      <c r="D975" s="59"/>
      <c r="E975" s="59"/>
      <c r="F975" s="59"/>
      <c r="G975" s="59"/>
      <c r="H975" s="178"/>
      <c r="I975" s="178"/>
      <c r="J975" s="59"/>
      <c r="K975" s="59"/>
      <c r="L975" s="59"/>
      <c r="M975" s="59"/>
      <c r="N975" s="59"/>
      <c r="O975" s="59"/>
      <c r="P975" s="59"/>
      <c r="Q975" s="59"/>
      <c r="R975" s="59"/>
      <c r="S975" s="59"/>
      <c r="T975" s="59"/>
      <c r="U975" s="59"/>
      <c r="V975" s="59"/>
      <c r="W975" s="59"/>
      <c r="X975" s="59"/>
      <c r="Y975" s="59"/>
    </row>
    <row r="976" ht="35.25" customHeight="1">
      <c r="A976" s="59"/>
      <c r="B976" s="59"/>
      <c r="C976" s="59"/>
      <c r="D976" s="59"/>
      <c r="E976" s="59"/>
      <c r="F976" s="59"/>
      <c r="G976" s="59"/>
      <c r="H976" s="178"/>
      <c r="I976" s="178"/>
      <c r="J976" s="59"/>
      <c r="K976" s="59"/>
      <c r="L976" s="59"/>
      <c r="M976" s="59"/>
      <c r="N976" s="59"/>
      <c r="O976" s="59"/>
      <c r="P976" s="59"/>
      <c r="Q976" s="59"/>
      <c r="R976" s="59"/>
      <c r="S976" s="59"/>
      <c r="T976" s="59"/>
      <c r="U976" s="59"/>
      <c r="V976" s="59"/>
      <c r="W976" s="59"/>
      <c r="X976" s="59"/>
      <c r="Y976" s="59"/>
    </row>
    <row r="977" ht="35.25" customHeight="1">
      <c r="A977" s="59"/>
      <c r="B977" s="59"/>
      <c r="C977" s="59"/>
      <c r="D977" s="59"/>
      <c r="E977" s="59"/>
      <c r="F977" s="59"/>
      <c r="G977" s="59"/>
      <c r="H977" s="178"/>
      <c r="I977" s="178"/>
      <c r="J977" s="59"/>
      <c r="K977" s="59"/>
      <c r="L977" s="59"/>
      <c r="M977" s="59"/>
      <c r="N977" s="59"/>
      <c r="O977" s="59"/>
      <c r="P977" s="59"/>
      <c r="Q977" s="59"/>
      <c r="R977" s="59"/>
      <c r="S977" s="59"/>
      <c r="T977" s="59"/>
      <c r="U977" s="59"/>
      <c r="V977" s="59"/>
      <c r="W977" s="59"/>
      <c r="X977" s="59"/>
      <c r="Y977" s="59"/>
    </row>
    <row r="978" ht="35.25" customHeight="1">
      <c r="A978" s="59"/>
      <c r="B978" s="59"/>
      <c r="C978" s="59"/>
      <c r="D978" s="59"/>
      <c r="E978" s="59"/>
      <c r="F978" s="59"/>
      <c r="G978" s="59"/>
      <c r="H978" s="178"/>
      <c r="I978" s="178"/>
      <c r="J978" s="59"/>
      <c r="K978" s="59"/>
      <c r="L978" s="59"/>
      <c r="M978" s="59"/>
      <c r="N978" s="59"/>
      <c r="O978" s="59"/>
      <c r="P978" s="59"/>
      <c r="Q978" s="59"/>
      <c r="R978" s="59"/>
      <c r="S978" s="59"/>
      <c r="T978" s="59"/>
      <c r="U978" s="59"/>
      <c r="V978" s="59"/>
      <c r="W978" s="59"/>
      <c r="X978" s="59"/>
      <c r="Y978" s="59"/>
    </row>
    <row r="979" ht="35.25" customHeight="1">
      <c r="A979" s="59"/>
      <c r="B979" s="59"/>
      <c r="C979" s="59"/>
      <c r="D979" s="59"/>
      <c r="E979" s="59"/>
      <c r="F979" s="59"/>
      <c r="G979" s="59"/>
      <c r="H979" s="178"/>
      <c r="I979" s="178"/>
      <c r="J979" s="59"/>
      <c r="K979" s="59"/>
      <c r="L979" s="59"/>
      <c r="M979" s="59"/>
      <c r="N979" s="59"/>
      <c r="O979" s="59"/>
      <c r="P979" s="59"/>
      <c r="Q979" s="59"/>
      <c r="R979" s="59"/>
      <c r="S979" s="59"/>
      <c r="T979" s="59"/>
      <c r="U979" s="59"/>
      <c r="V979" s="59"/>
      <c r="W979" s="59"/>
      <c r="X979" s="59"/>
      <c r="Y979" s="59"/>
    </row>
    <row r="980" ht="35.25" customHeight="1">
      <c r="A980" s="59"/>
      <c r="B980" s="59"/>
      <c r="C980" s="59"/>
      <c r="D980" s="59"/>
      <c r="E980" s="59"/>
      <c r="F980" s="59"/>
      <c r="G980" s="59"/>
      <c r="H980" s="178"/>
      <c r="I980" s="178"/>
      <c r="J980" s="59"/>
      <c r="K980" s="59"/>
      <c r="L980" s="59"/>
      <c r="M980" s="59"/>
      <c r="N980" s="59"/>
      <c r="O980" s="59"/>
      <c r="P980" s="59"/>
      <c r="Q980" s="59"/>
      <c r="R980" s="59"/>
      <c r="S980" s="59"/>
      <c r="T980" s="59"/>
      <c r="U980" s="59"/>
      <c r="V980" s="59"/>
      <c r="W980" s="59"/>
      <c r="X980" s="59"/>
      <c r="Y980" s="59"/>
    </row>
    <row r="981" ht="35.25" customHeight="1">
      <c r="A981" s="59"/>
      <c r="B981" s="59"/>
      <c r="C981" s="59"/>
      <c r="D981" s="59"/>
      <c r="E981" s="59"/>
      <c r="F981" s="59"/>
      <c r="G981" s="59"/>
      <c r="H981" s="178"/>
      <c r="I981" s="178"/>
      <c r="J981" s="59"/>
      <c r="K981" s="59"/>
      <c r="L981" s="59"/>
      <c r="M981" s="59"/>
      <c r="N981" s="59"/>
      <c r="O981" s="59"/>
      <c r="P981" s="59"/>
      <c r="Q981" s="59"/>
      <c r="R981" s="59"/>
      <c r="S981" s="59"/>
      <c r="T981" s="59"/>
      <c r="U981" s="59"/>
      <c r="V981" s="59"/>
      <c r="W981" s="59"/>
      <c r="X981" s="59"/>
      <c r="Y981" s="59"/>
    </row>
    <row r="982" ht="35.25" customHeight="1">
      <c r="A982" s="59"/>
      <c r="B982" s="59"/>
      <c r="C982" s="59"/>
      <c r="D982" s="59"/>
      <c r="E982" s="59"/>
      <c r="F982" s="59"/>
      <c r="G982" s="59"/>
      <c r="H982" s="178"/>
      <c r="I982" s="178"/>
      <c r="J982" s="59"/>
      <c r="K982" s="59"/>
      <c r="L982" s="59"/>
      <c r="M982" s="59"/>
      <c r="N982" s="59"/>
      <c r="O982" s="59"/>
      <c r="P982" s="59"/>
      <c r="Q982" s="59"/>
      <c r="R982" s="59"/>
      <c r="S982" s="59"/>
      <c r="T982" s="59"/>
      <c r="U982" s="59"/>
      <c r="V982" s="59"/>
      <c r="W982" s="59"/>
      <c r="X982" s="59"/>
      <c r="Y982" s="59"/>
    </row>
    <row r="983" ht="35.25" customHeight="1">
      <c r="A983" s="59"/>
      <c r="B983" s="59"/>
      <c r="C983" s="59"/>
      <c r="D983" s="59"/>
      <c r="E983" s="59"/>
      <c r="F983" s="59"/>
      <c r="G983" s="59"/>
      <c r="H983" s="178"/>
      <c r="I983" s="178"/>
      <c r="J983" s="59"/>
      <c r="K983" s="59"/>
      <c r="L983" s="59"/>
      <c r="M983" s="59"/>
      <c r="N983" s="59"/>
      <c r="O983" s="59"/>
      <c r="P983" s="59"/>
      <c r="Q983" s="59"/>
      <c r="R983" s="59"/>
      <c r="S983" s="59"/>
      <c r="T983" s="59"/>
      <c r="U983" s="59"/>
      <c r="V983" s="59"/>
      <c r="W983" s="59"/>
      <c r="X983" s="59"/>
      <c r="Y983" s="59"/>
    </row>
    <row r="984" ht="35.25" customHeight="1">
      <c r="A984" s="59"/>
      <c r="B984" s="59"/>
      <c r="C984" s="59"/>
      <c r="D984" s="59"/>
      <c r="E984" s="59"/>
      <c r="F984" s="59"/>
      <c r="G984" s="59"/>
      <c r="H984" s="178"/>
      <c r="I984" s="178"/>
      <c r="J984" s="59"/>
      <c r="K984" s="59"/>
      <c r="L984" s="59"/>
      <c r="M984" s="59"/>
      <c r="N984" s="59"/>
      <c r="O984" s="59"/>
      <c r="P984" s="59"/>
      <c r="Q984" s="59"/>
      <c r="R984" s="59"/>
      <c r="S984" s="59"/>
      <c r="T984" s="59"/>
      <c r="U984" s="59"/>
      <c r="V984" s="59"/>
      <c r="W984" s="59"/>
      <c r="X984" s="59"/>
      <c r="Y984" s="59"/>
    </row>
    <row r="985" ht="35.25" customHeight="1">
      <c r="A985" s="59"/>
      <c r="B985" s="59"/>
      <c r="C985" s="59"/>
      <c r="D985" s="59"/>
      <c r="E985" s="59"/>
      <c r="F985" s="59"/>
      <c r="G985" s="59"/>
      <c r="H985" s="178"/>
      <c r="I985" s="178"/>
      <c r="J985" s="59"/>
      <c r="K985" s="59"/>
      <c r="L985" s="59"/>
      <c r="M985" s="59"/>
      <c r="N985" s="59"/>
      <c r="O985" s="59"/>
      <c r="P985" s="59"/>
      <c r="Q985" s="59"/>
      <c r="R985" s="59"/>
      <c r="S985" s="59"/>
      <c r="T985" s="59"/>
      <c r="U985" s="59"/>
      <c r="V985" s="59"/>
      <c r="W985" s="59"/>
      <c r="X985" s="59"/>
      <c r="Y985" s="59"/>
    </row>
    <row r="986" ht="35.25" customHeight="1">
      <c r="A986" s="59"/>
      <c r="B986" s="59"/>
      <c r="C986" s="59"/>
      <c r="D986" s="59"/>
      <c r="E986" s="59"/>
      <c r="F986" s="59"/>
      <c r="G986" s="59"/>
      <c r="H986" s="178"/>
      <c r="I986" s="178"/>
      <c r="J986" s="59"/>
      <c r="K986" s="59"/>
      <c r="L986" s="59"/>
      <c r="M986" s="59"/>
      <c r="N986" s="59"/>
      <c r="O986" s="59"/>
      <c r="P986" s="59"/>
      <c r="Q986" s="59"/>
      <c r="R986" s="59"/>
      <c r="S986" s="59"/>
      <c r="T986" s="59"/>
      <c r="U986" s="59"/>
      <c r="V986" s="59"/>
      <c r="W986" s="59"/>
      <c r="X986" s="59"/>
      <c r="Y986" s="59"/>
    </row>
    <row r="987" ht="35.25" customHeight="1">
      <c r="A987" s="59"/>
      <c r="B987" s="59"/>
      <c r="C987" s="59"/>
      <c r="D987" s="59"/>
      <c r="E987" s="59"/>
      <c r="F987" s="59"/>
      <c r="G987" s="59"/>
      <c r="H987" s="178"/>
      <c r="I987" s="178"/>
      <c r="J987" s="59"/>
      <c r="K987" s="59"/>
      <c r="L987" s="59"/>
      <c r="M987" s="59"/>
      <c r="N987" s="59"/>
      <c r="O987" s="59"/>
      <c r="P987" s="59"/>
      <c r="Q987" s="59"/>
      <c r="R987" s="59"/>
      <c r="S987" s="59"/>
      <c r="T987" s="59"/>
      <c r="U987" s="59"/>
      <c r="V987" s="59"/>
      <c r="W987" s="59"/>
      <c r="X987" s="59"/>
      <c r="Y987" s="59"/>
    </row>
    <row r="988" ht="35.25" customHeight="1">
      <c r="A988" s="59"/>
      <c r="B988" s="59"/>
      <c r="C988" s="59"/>
      <c r="D988" s="59"/>
      <c r="E988" s="59"/>
      <c r="F988" s="59"/>
      <c r="G988" s="59"/>
      <c r="H988" s="178"/>
      <c r="I988" s="178"/>
      <c r="J988" s="59"/>
      <c r="K988" s="59"/>
      <c r="L988" s="59"/>
      <c r="M988" s="59"/>
      <c r="N988" s="59"/>
      <c r="O988" s="59"/>
      <c r="P988" s="59"/>
      <c r="Q988" s="59"/>
      <c r="R988" s="59"/>
      <c r="S988" s="59"/>
      <c r="T988" s="59"/>
      <c r="U988" s="59"/>
      <c r="V988" s="59"/>
      <c r="W988" s="59"/>
      <c r="X988" s="59"/>
      <c r="Y988" s="59"/>
    </row>
    <row r="989" ht="35.25" customHeight="1">
      <c r="A989" s="59"/>
      <c r="B989" s="59"/>
      <c r="C989" s="59"/>
      <c r="D989" s="59"/>
      <c r="E989" s="59"/>
      <c r="F989" s="59"/>
      <c r="G989" s="59"/>
      <c r="H989" s="178"/>
      <c r="I989" s="178"/>
      <c r="J989" s="59"/>
      <c r="K989" s="59"/>
      <c r="L989" s="59"/>
      <c r="M989" s="59"/>
      <c r="N989" s="59"/>
      <c r="O989" s="59"/>
      <c r="P989" s="59"/>
      <c r="Q989" s="59"/>
      <c r="R989" s="59"/>
      <c r="S989" s="59"/>
      <c r="T989" s="59"/>
      <c r="U989" s="59"/>
      <c r="V989" s="59"/>
      <c r="W989" s="59"/>
      <c r="X989" s="59"/>
      <c r="Y989" s="59"/>
    </row>
    <row r="990" ht="35.25" customHeight="1">
      <c r="A990" s="59"/>
      <c r="B990" s="59"/>
      <c r="C990" s="59"/>
      <c r="D990" s="59"/>
      <c r="E990" s="59"/>
      <c r="F990" s="59"/>
      <c r="G990" s="59"/>
      <c r="H990" s="178"/>
      <c r="I990" s="178"/>
      <c r="J990" s="59"/>
      <c r="K990" s="59"/>
      <c r="L990" s="59"/>
      <c r="M990" s="59"/>
      <c r="N990" s="59"/>
      <c r="O990" s="59"/>
      <c r="P990" s="59"/>
      <c r="Q990" s="59"/>
      <c r="R990" s="59"/>
      <c r="S990" s="59"/>
      <c r="T990" s="59"/>
      <c r="U990" s="59"/>
      <c r="V990" s="59"/>
      <c r="W990" s="59"/>
      <c r="X990" s="59"/>
      <c r="Y990" s="59"/>
    </row>
    <row r="991" ht="35.25" customHeight="1">
      <c r="A991" s="59"/>
      <c r="B991" s="59"/>
      <c r="C991" s="59"/>
      <c r="D991" s="59"/>
      <c r="E991" s="59"/>
      <c r="F991" s="59"/>
      <c r="G991" s="59"/>
      <c r="H991" s="178"/>
      <c r="I991" s="178"/>
      <c r="J991" s="59"/>
      <c r="K991" s="59"/>
      <c r="L991" s="59"/>
      <c r="M991" s="59"/>
      <c r="N991" s="59"/>
      <c r="O991" s="59"/>
      <c r="P991" s="59"/>
      <c r="Q991" s="59"/>
      <c r="R991" s="59"/>
      <c r="S991" s="59"/>
      <c r="T991" s="59"/>
      <c r="U991" s="59"/>
      <c r="V991" s="59"/>
      <c r="W991" s="59"/>
      <c r="X991" s="59"/>
      <c r="Y991" s="59"/>
    </row>
    <row r="992" ht="35.25" customHeight="1">
      <c r="A992" s="59"/>
      <c r="B992" s="59"/>
      <c r="C992" s="59"/>
      <c r="D992" s="59"/>
      <c r="E992" s="59"/>
      <c r="F992" s="59"/>
      <c r="G992" s="59"/>
      <c r="H992" s="178"/>
      <c r="I992" s="178"/>
      <c r="J992" s="59"/>
      <c r="K992" s="59"/>
      <c r="L992" s="59"/>
      <c r="M992" s="59"/>
      <c r="N992" s="59"/>
      <c r="O992" s="59"/>
      <c r="P992" s="59"/>
      <c r="Q992" s="59"/>
      <c r="R992" s="59"/>
      <c r="S992" s="59"/>
      <c r="T992" s="59"/>
      <c r="U992" s="59"/>
      <c r="V992" s="59"/>
      <c r="W992" s="59"/>
      <c r="X992" s="59"/>
      <c r="Y992" s="59"/>
    </row>
    <row r="993" ht="35.25" customHeight="1">
      <c r="A993" s="59"/>
      <c r="B993" s="59"/>
      <c r="C993" s="59"/>
      <c r="D993" s="59"/>
      <c r="E993" s="59"/>
      <c r="F993" s="59"/>
      <c r="G993" s="59"/>
      <c r="H993" s="178"/>
      <c r="I993" s="178"/>
      <c r="J993" s="59"/>
      <c r="K993" s="59"/>
      <c r="L993" s="59"/>
      <c r="M993" s="59"/>
      <c r="N993" s="59"/>
      <c r="O993" s="59"/>
      <c r="P993" s="59"/>
      <c r="Q993" s="59"/>
      <c r="R993" s="59"/>
      <c r="S993" s="59"/>
      <c r="T993" s="59"/>
      <c r="U993" s="59"/>
      <c r="V993" s="59"/>
      <c r="W993" s="59"/>
      <c r="X993" s="59"/>
      <c r="Y993" s="59"/>
    </row>
    <row r="994" ht="35.25" customHeight="1">
      <c r="A994" s="59"/>
      <c r="B994" s="59"/>
      <c r="C994" s="59"/>
      <c r="D994" s="59"/>
      <c r="E994" s="59"/>
      <c r="F994" s="59"/>
      <c r="G994" s="59"/>
      <c r="H994" s="178"/>
      <c r="I994" s="178"/>
      <c r="J994" s="59"/>
      <c r="K994" s="59"/>
      <c r="L994" s="59"/>
      <c r="M994" s="59"/>
      <c r="N994" s="59"/>
      <c r="O994" s="59"/>
      <c r="P994" s="59"/>
      <c r="Q994" s="59"/>
      <c r="R994" s="59"/>
      <c r="S994" s="59"/>
      <c r="T994" s="59"/>
      <c r="U994" s="59"/>
      <c r="V994" s="59"/>
      <c r="W994" s="59"/>
      <c r="X994" s="59"/>
      <c r="Y994" s="59"/>
    </row>
  </sheetData>
  <mergeCells count="5">
    <mergeCell ref="B2:C2"/>
    <mergeCell ref="E2:F2"/>
    <mergeCell ref="H2:I2"/>
    <mergeCell ref="E7:F7"/>
    <mergeCell ref="H7:I7"/>
  </mergeCells>
  <hyperlinks>
    <hyperlink r:id="rId2" ref="F5"/>
    <hyperlink r:id="rId3" ref="D6"/>
    <hyperlink r:id="rId4" ref="D7"/>
    <hyperlink r:id="rId5" ref="D8"/>
    <hyperlink r:id="rId6" location="polycard_client=search-desktop&amp;be_origin=backend&amp;search_layout=grid&amp;position=1&amp;type=item&amp;tracking_id=0be3a8a5-8dcc-4511-9470-9548529560ea&amp;price_drop=not_apply&amp;sid=search" ref="B9"/>
    <hyperlink r:id="rId7" ref="D9"/>
    <hyperlink r:id="rId8" location="origin=share&amp;sid=share&amp;action=copy" ref="D10"/>
  </hyperlinks>
  <printOptions/>
  <pageMargins bottom="0.75" footer="0.0" header="0.0" left="0.7" right="0.7" top="0.75"/>
  <pageSetup orientation="landscape"/>
  <drawing r:id="rId9"/>
  <legacyDrawing r:id="rId1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499"/>
    <outlinePr summaryBelow="0" summaryRight="0"/>
    <pageSetUpPr/>
  </sheetPr>
  <sheetViews>
    <sheetView workbookViewId="0"/>
  </sheetViews>
  <sheetFormatPr customHeight="1" defaultColWidth="12.63" defaultRowHeight="15.0"/>
  <cols>
    <col customWidth="1" min="1" max="1" width="8.75"/>
    <col customWidth="1" min="2" max="2" width="27.25"/>
    <col customWidth="1" min="3" max="3" width="39.38"/>
    <col customWidth="1" min="4" max="4" width="12.75"/>
    <col customWidth="1" min="5" max="9" width="13.38"/>
    <col customWidth="1" min="10" max="21" width="12.75"/>
  </cols>
  <sheetData>
    <row r="1" ht="35.25" customHeight="1">
      <c r="A1" s="66" t="s">
        <v>481</v>
      </c>
      <c r="B1" s="59"/>
      <c r="C1" s="59"/>
      <c r="D1" s="59"/>
      <c r="E1" s="178"/>
      <c r="F1" s="59"/>
      <c r="G1" s="59"/>
      <c r="H1" s="59"/>
      <c r="I1" s="178"/>
      <c r="J1" s="59"/>
      <c r="K1" s="59"/>
      <c r="L1" s="59"/>
      <c r="M1" s="59"/>
      <c r="N1" s="59"/>
      <c r="O1" s="59"/>
      <c r="P1" s="59"/>
      <c r="Q1" s="59"/>
      <c r="R1" s="59"/>
      <c r="S1" s="59"/>
      <c r="T1" s="59"/>
      <c r="U1" s="59"/>
    </row>
    <row r="2" ht="35.25" customHeight="1">
      <c r="A2" s="59"/>
      <c r="B2" s="179" t="s">
        <v>453</v>
      </c>
      <c r="C2" s="12"/>
      <c r="D2" s="59"/>
      <c r="E2" s="200" t="s">
        <v>482</v>
      </c>
      <c r="F2" s="200" t="s">
        <v>483</v>
      </c>
      <c r="G2" s="200" t="s">
        <v>484</v>
      </c>
      <c r="H2" s="200" t="s">
        <v>485</v>
      </c>
      <c r="I2" s="200" t="s">
        <v>486</v>
      </c>
      <c r="J2" s="59"/>
      <c r="K2" s="59"/>
      <c r="L2" s="59"/>
      <c r="M2" s="59"/>
      <c r="N2" s="59"/>
      <c r="O2" s="59"/>
      <c r="P2" s="59"/>
      <c r="Q2" s="59"/>
      <c r="R2" s="59"/>
      <c r="S2" s="59"/>
      <c r="T2" s="59"/>
      <c r="U2" s="59"/>
    </row>
    <row r="3" ht="35.25" customHeight="1">
      <c r="A3" s="59"/>
      <c r="B3" s="180" t="s">
        <v>487</v>
      </c>
      <c r="C3" s="201">
        <v>1.2E8</v>
      </c>
      <c r="D3" s="59"/>
      <c r="E3" s="202">
        <v>1.0</v>
      </c>
      <c r="F3" s="203">
        <v>0.0</v>
      </c>
      <c r="G3" s="204">
        <f>C3*C9</f>
        <v>1400000</v>
      </c>
      <c r="H3" s="204">
        <f t="shared" ref="H3:H50" si="1">SUM(F3,G3)</f>
        <v>1400000</v>
      </c>
      <c r="I3" s="203">
        <v>1.2E8</v>
      </c>
      <c r="J3" s="59"/>
      <c r="K3" s="59"/>
      <c r="L3" s="59"/>
      <c r="M3" s="59"/>
      <c r="N3" s="59"/>
      <c r="O3" s="59"/>
      <c r="P3" s="59"/>
      <c r="Q3" s="59"/>
      <c r="R3" s="59"/>
      <c r="S3" s="59"/>
      <c r="T3" s="59"/>
      <c r="U3" s="59"/>
    </row>
    <row r="4" ht="35.25" customHeight="1">
      <c r="A4" s="59"/>
      <c r="B4" s="180" t="s">
        <v>488</v>
      </c>
      <c r="C4" s="205">
        <v>0.14</v>
      </c>
      <c r="D4" s="59"/>
      <c r="E4" s="202">
        <v>2.0</v>
      </c>
      <c r="F4" s="203">
        <v>0.0</v>
      </c>
      <c r="G4" s="204">
        <f>C3*C9</f>
        <v>1400000</v>
      </c>
      <c r="H4" s="204">
        <f t="shared" si="1"/>
        <v>1400000</v>
      </c>
      <c r="I4" s="203">
        <f t="shared" ref="I4:I50" si="2">I3-F4</f>
        <v>120000000</v>
      </c>
      <c r="J4" s="59"/>
      <c r="K4" s="59"/>
      <c r="L4" s="59"/>
      <c r="M4" s="59"/>
      <c r="N4" s="59"/>
      <c r="O4" s="59"/>
      <c r="P4" s="59"/>
      <c r="Q4" s="59"/>
      <c r="R4" s="59"/>
      <c r="S4" s="59"/>
      <c r="T4" s="59"/>
      <c r="U4" s="59"/>
    </row>
    <row r="5" ht="35.25" customHeight="1">
      <c r="A5" s="59"/>
      <c r="B5" s="186" t="s">
        <v>489</v>
      </c>
      <c r="C5" s="189">
        <v>48.0</v>
      </c>
      <c r="D5" s="59"/>
      <c r="E5" s="202">
        <v>3.0</v>
      </c>
      <c r="F5" s="203">
        <v>0.0</v>
      </c>
      <c r="G5" s="204">
        <f>C3*C9</f>
        <v>1400000</v>
      </c>
      <c r="H5" s="204">
        <f t="shared" si="1"/>
        <v>1400000</v>
      </c>
      <c r="I5" s="203">
        <f t="shared" si="2"/>
        <v>120000000</v>
      </c>
      <c r="J5" s="59"/>
      <c r="K5" s="59"/>
      <c r="L5" s="59"/>
      <c r="M5" s="59"/>
      <c r="N5" s="59"/>
      <c r="O5" s="59"/>
      <c r="P5" s="59"/>
      <c r="Q5" s="59"/>
      <c r="R5" s="59"/>
      <c r="S5" s="59"/>
      <c r="T5" s="59"/>
      <c r="U5" s="59"/>
    </row>
    <row r="6" ht="40.5" customHeight="1">
      <c r="A6" s="59"/>
      <c r="B6" s="186" t="s">
        <v>490</v>
      </c>
      <c r="C6" s="189" t="s">
        <v>491</v>
      </c>
      <c r="D6" s="59"/>
      <c r="E6" s="202">
        <v>4.0</v>
      </c>
      <c r="F6" s="203">
        <v>0.0</v>
      </c>
      <c r="G6" s="204">
        <f>C3*C9</f>
        <v>1400000</v>
      </c>
      <c r="H6" s="204">
        <f t="shared" si="1"/>
        <v>1400000</v>
      </c>
      <c r="I6" s="203">
        <f t="shared" si="2"/>
        <v>120000000</v>
      </c>
      <c r="J6" s="59"/>
      <c r="K6" s="59"/>
      <c r="L6" s="59"/>
      <c r="M6" s="59"/>
      <c r="N6" s="59"/>
      <c r="O6" s="59"/>
      <c r="P6" s="59"/>
      <c r="Q6" s="59"/>
      <c r="R6" s="59"/>
      <c r="S6" s="59"/>
      <c r="T6" s="59"/>
      <c r="U6" s="59"/>
    </row>
    <row r="7" ht="35.25" customHeight="1">
      <c r="A7" s="59"/>
      <c r="B7" s="186" t="s">
        <v>492</v>
      </c>
      <c r="C7" s="190" t="s">
        <v>493</v>
      </c>
      <c r="D7" s="59"/>
      <c r="E7" s="202">
        <v>5.0</v>
      </c>
      <c r="F7" s="203">
        <v>0.0</v>
      </c>
      <c r="G7" s="204">
        <f>C3*C9</f>
        <v>1400000</v>
      </c>
      <c r="H7" s="204">
        <f t="shared" si="1"/>
        <v>1400000</v>
      </c>
      <c r="I7" s="203">
        <f t="shared" si="2"/>
        <v>120000000</v>
      </c>
      <c r="J7" s="59"/>
      <c r="K7" s="59"/>
      <c r="L7" s="59"/>
      <c r="M7" s="59"/>
      <c r="N7" s="59"/>
      <c r="O7" s="59"/>
      <c r="P7" s="59"/>
      <c r="Q7" s="59"/>
      <c r="R7" s="59"/>
      <c r="S7" s="59"/>
      <c r="T7" s="59"/>
      <c r="U7" s="59"/>
    </row>
    <row r="8" ht="35.25" customHeight="1">
      <c r="A8" s="59"/>
      <c r="B8" s="206" t="s">
        <v>494</v>
      </c>
      <c r="C8" s="192"/>
      <c r="D8" s="59"/>
      <c r="E8" s="202">
        <v>6.0</v>
      </c>
      <c r="F8" s="203">
        <v>0.0</v>
      </c>
      <c r="G8" s="204">
        <f>C3*C9</f>
        <v>1400000</v>
      </c>
      <c r="H8" s="204">
        <f t="shared" si="1"/>
        <v>1400000</v>
      </c>
      <c r="I8" s="203">
        <f t="shared" si="2"/>
        <v>120000000</v>
      </c>
      <c r="J8" s="59"/>
      <c r="K8" s="59"/>
      <c r="L8" s="59"/>
      <c r="M8" s="59"/>
      <c r="N8" s="59"/>
      <c r="O8" s="59"/>
      <c r="P8" s="59"/>
      <c r="Q8" s="59"/>
      <c r="R8" s="59"/>
      <c r="S8" s="59"/>
      <c r="T8" s="59"/>
      <c r="U8" s="59"/>
    </row>
    <row r="9" ht="35.25" customHeight="1">
      <c r="A9" s="59"/>
      <c r="B9" s="66" t="s">
        <v>495</v>
      </c>
      <c r="C9" s="207">
        <f>C4/12</f>
        <v>0.01166666667</v>
      </c>
      <c r="D9" s="59"/>
      <c r="E9" s="202">
        <v>7.0</v>
      </c>
      <c r="F9" s="204">
        <f t="shared" ref="F9:F50" si="3">$C$10-G9</f>
        <v>2230389.52</v>
      </c>
      <c r="G9" s="204">
        <f t="shared" ref="G9:G50" si="4">I8*$C$9</f>
        <v>1400000</v>
      </c>
      <c r="H9" s="204">
        <f t="shared" si="1"/>
        <v>3630389.52</v>
      </c>
      <c r="I9" s="203">
        <f t="shared" si="2"/>
        <v>117769610.5</v>
      </c>
      <c r="J9" s="59"/>
      <c r="K9" s="59"/>
      <c r="L9" s="59"/>
      <c r="M9" s="59"/>
      <c r="N9" s="59"/>
      <c r="O9" s="59"/>
      <c r="P9" s="59"/>
      <c r="Q9" s="59"/>
      <c r="R9" s="59"/>
      <c r="S9" s="59"/>
      <c r="T9" s="59"/>
      <c r="U9" s="59"/>
    </row>
    <row r="10" ht="35.25" customHeight="1">
      <c r="A10" s="59"/>
      <c r="B10" s="66" t="s">
        <v>496</v>
      </c>
      <c r="C10" s="208">
        <f>PMT(C9,42,-C3)</f>
        <v>3630389.52</v>
      </c>
      <c r="D10" s="59"/>
      <c r="E10" s="202">
        <v>8.0</v>
      </c>
      <c r="F10" s="204">
        <f t="shared" si="3"/>
        <v>2256410.731</v>
      </c>
      <c r="G10" s="204">
        <f t="shared" si="4"/>
        <v>1373978.789</v>
      </c>
      <c r="H10" s="204">
        <f t="shared" si="1"/>
        <v>3630389.52</v>
      </c>
      <c r="I10" s="203">
        <f t="shared" si="2"/>
        <v>115513199.7</v>
      </c>
      <c r="J10" s="59"/>
      <c r="K10" s="59"/>
      <c r="L10" s="59"/>
      <c r="M10" s="59"/>
      <c r="N10" s="59"/>
      <c r="O10" s="59"/>
      <c r="P10" s="59"/>
      <c r="Q10" s="59"/>
      <c r="R10" s="59"/>
      <c r="S10" s="59"/>
      <c r="T10" s="59"/>
      <c r="U10" s="59"/>
    </row>
    <row r="11" ht="35.25" customHeight="1">
      <c r="A11" s="59"/>
      <c r="B11" s="59"/>
      <c r="C11" s="59"/>
      <c r="D11" s="59"/>
      <c r="E11" s="202">
        <v>9.0</v>
      </c>
      <c r="F11" s="204">
        <f t="shared" si="3"/>
        <v>2282735.523</v>
      </c>
      <c r="G11" s="204">
        <f t="shared" si="4"/>
        <v>1347653.997</v>
      </c>
      <c r="H11" s="204">
        <f t="shared" si="1"/>
        <v>3630389.52</v>
      </c>
      <c r="I11" s="203">
        <f t="shared" si="2"/>
        <v>113230464.2</v>
      </c>
      <c r="J11" s="59"/>
      <c r="K11" s="59"/>
      <c r="L11" s="59"/>
      <c r="M11" s="59"/>
      <c r="N11" s="59"/>
      <c r="O11" s="59"/>
      <c r="P11" s="59"/>
      <c r="Q11" s="59"/>
      <c r="R11" s="59"/>
      <c r="S11" s="59"/>
      <c r="T11" s="59"/>
      <c r="U11" s="59"/>
    </row>
    <row r="12" ht="35.25" customHeight="1">
      <c r="A12" s="59"/>
      <c r="B12" s="59"/>
      <c r="C12" s="59"/>
      <c r="D12" s="59"/>
      <c r="E12" s="202">
        <v>10.0</v>
      </c>
      <c r="F12" s="204">
        <f t="shared" si="3"/>
        <v>2309367.437</v>
      </c>
      <c r="G12" s="204">
        <f t="shared" si="4"/>
        <v>1321022.083</v>
      </c>
      <c r="H12" s="204">
        <f t="shared" si="1"/>
        <v>3630389.52</v>
      </c>
      <c r="I12" s="203">
        <f t="shared" si="2"/>
        <v>110921096.8</v>
      </c>
      <c r="J12" s="59"/>
      <c r="K12" s="59"/>
      <c r="L12" s="59"/>
      <c r="M12" s="59"/>
      <c r="N12" s="59"/>
      <c r="O12" s="59"/>
      <c r="P12" s="59"/>
      <c r="Q12" s="59"/>
      <c r="R12" s="59"/>
      <c r="S12" s="59"/>
      <c r="T12" s="59"/>
      <c r="U12" s="59"/>
    </row>
    <row r="13" ht="35.25" customHeight="1">
      <c r="A13" s="59"/>
      <c r="B13" s="59"/>
      <c r="C13" s="59"/>
      <c r="D13" s="59"/>
      <c r="E13" s="202">
        <v>11.0</v>
      </c>
      <c r="F13" s="204">
        <f t="shared" si="3"/>
        <v>2336310.058</v>
      </c>
      <c r="G13" s="204">
        <f t="shared" si="4"/>
        <v>1294079.463</v>
      </c>
      <c r="H13" s="204">
        <f t="shared" si="1"/>
        <v>3630389.52</v>
      </c>
      <c r="I13" s="203">
        <f t="shared" si="2"/>
        <v>108584786.7</v>
      </c>
      <c r="J13" s="59"/>
      <c r="K13" s="59"/>
      <c r="L13" s="59"/>
      <c r="M13" s="59"/>
      <c r="N13" s="59"/>
      <c r="O13" s="59"/>
      <c r="P13" s="59"/>
      <c r="Q13" s="59"/>
      <c r="R13" s="59"/>
      <c r="S13" s="59"/>
      <c r="T13" s="59"/>
      <c r="U13" s="59"/>
    </row>
    <row r="14" ht="35.25" customHeight="1">
      <c r="A14" s="59"/>
      <c r="B14" s="59"/>
      <c r="C14" s="59"/>
      <c r="D14" s="59"/>
      <c r="E14" s="202">
        <v>12.0</v>
      </c>
      <c r="F14" s="204">
        <f t="shared" si="3"/>
        <v>2363567.008</v>
      </c>
      <c r="G14" s="204">
        <f t="shared" si="4"/>
        <v>1266822.512</v>
      </c>
      <c r="H14" s="204">
        <f t="shared" si="1"/>
        <v>3630389.52</v>
      </c>
      <c r="I14" s="203">
        <f t="shared" si="2"/>
        <v>106221219.7</v>
      </c>
      <c r="J14" s="59"/>
      <c r="K14" s="59"/>
      <c r="L14" s="59"/>
      <c r="M14" s="59"/>
      <c r="N14" s="59"/>
      <c r="O14" s="59"/>
      <c r="P14" s="59"/>
      <c r="Q14" s="59"/>
      <c r="R14" s="59"/>
      <c r="S14" s="59"/>
      <c r="T14" s="59"/>
      <c r="U14" s="59"/>
    </row>
    <row r="15" ht="35.25" customHeight="1">
      <c r="A15" s="59"/>
      <c r="B15" s="59"/>
      <c r="C15" s="59"/>
      <c r="D15" s="59"/>
      <c r="E15" s="202">
        <v>13.0</v>
      </c>
      <c r="F15" s="204">
        <f t="shared" si="3"/>
        <v>2391141.957</v>
      </c>
      <c r="G15" s="204">
        <f t="shared" si="4"/>
        <v>1239247.563</v>
      </c>
      <c r="H15" s="204">
        <f t="shared" si="1"/>
        <v>3630389.52</v>
      </c>
      <c r="I15" s="203">
        <f t="shared" si="2"/>
        <v>103830077.8</v>
      </c>
      <c r="J15" s="59"/>
      <c r="K15" s="59"/>
      <c r="L15" s="59"/>
      <c r="M15" s="59"/>
      <c r="N15" s="59"/>
      <c r="O15" s="59"/>
      <c r="P15" s="59"/>
      <c r="Q15" s="59"/>
      <c r="R15" s="59"/>
      <c r="S15" s="59"/>
      <c r="T15" s="59"/>
      <c r="U15" s="59"/>
    </row>
    <row r="16" ht="35.25" customHeight="1">
      <c r="A16" s="59"/>
      <c r="B16" s="59"/>
      <c r="C16" s="59"/>
      <c r="D16" s="59"/>
      <c r="E16" s="202">
        <v>14.0</v>
      </c>
      <c r="F16" s="204">
        <f t="shared" si="3"/>
        <v>2419038.613</v>
      </c>
      <c r="G16" s="204">
        <f t="shared" si="4"/>
        <v>1211350.907</v>
      </c>
      <c r="H16" s="204">
        <f t="shared" si="1"/>
        <v>3630389.52</v>
      </c>
      <c r="I16" s="203">
        <f t="shared" si="2"/>
        <v>101411039.2</v>
      </c>
      <c r="J16" s="59"/>
      <c r="K16" s="59"/>
      <c r="L16" s="59"/>
      <c r="M16" s="59"/>
      <c r="N16" s="59"/>
      <c r="O16" s="59"/>
      <c r="P16" s="59"/>
      <c r="Q16" s="59"/>
      <c r="R16" s="59"/>
      <c r="S16" s="59"/>
      <c r="T16" s="59"/>
      <c r="U16" s="59"/>
    </row>
    <row r="17" ht="35.25" customHeight="1">
      <c r="A17" s="59"/>
      <c r="B17" s="59"/>
      <c r="C17" s="59"/>
      <c r="D17" s="59"/>
      <c r="E17" s="202">
        <v>15.0</v>
      </c>
      <c r="F17" s="204">
        <f t="shared" si="3"/>
        <v>2447260.73</v>
      </c>
      <c r="G17" s="204">
        <f t="shared" si="4"/>
        <v>1183128.79</v>
      </c>
      <c r="H17" s="204">
        <f t="shared" si="1"/>
        <v>3630389.52</v>
      </c>
      <c r="I17" s="203">
        <f t="shared" si="2"/>
        <v>98963778.42</v>
      </c>
      <c r="J17" s="59"/>
      <c r="K17" s="59"/>
      <c r="L17" s="59"/>
      <c r="M17" s="59"/>
      <c r="N17" s="59"/>
      <c r="O17" s="59"/>
      <c r="P17" s="59"/>
      <c r="Q17" s="59"/>
      <c r="R17" s="59"/>
      <c r="S17" s="59"/>
      <c r="T17" s="59"/>
      <c r="U17" s="59"/>
    </row>
    <row r="18" ht="35.25" customHeight="1">
      <c r="A18" s="59"/>
      <c r="B18" s="59"/>
      <c r="C18" s="59"/>
      <c r="D18" s="59"/>
      <c r="E18" s="202">
        <v>16.0</v>
      </c>
      <c r="F18" s="204">
        <f t="shared" si="3"/>
        <v>2475812.105</v>
      </c>
      <c r="G18" s="204">
        <f t="shared" si="4"/>
        <v>1154577.415</v>
      </c>
      <c r="H18" s="204">
        <f t="shared" si="1"/>
        <v>3630389.52</v>
      </c>
      <c r="I18" s="203">
        <f t="shared" si="2"/>
        <v>96487966.32</v>
      </c>
      <c r="J18" s="59"/>
      <c r="K18" s="59"/>
      <c r="L18" s="59"/>
      <c r="M18" s="59"/>
      <c r="N18" s="59"/>
      <c r="O18" s="59"/>
      <c r="P18" s="59"/>
      <c r="Q18" s="59"/>
      <c r="R18" s="59"/>
      <c r="S18" s="59"/>
      <c r="T18" s="59"/>
      <c r="U18" s="59"/>
    </row>
    <row r="19" ht="35.25" customHeight="1">
      <c r="A19" s="59"/>
      <c r="B19" s="59"/>
      <c r="C19" s="59"/>
      <c r="D19" s="59"/>
      <c r="E19" s="202">
        <v>17.0</v>
      </c>
      <c r="F19" s="204">
        <f t="shared" si="3"/>
        <v>2504696.58</v>
      </c>
      <c r="G19" s="204">
        <f t="shared" si="4"/>
        <v>1125692.94</v>
      </c>
      <c r="H19" s="204">
        <f t="shared" si="1"/>
        <v>3630389.52</v>
      </c>
      <c r="I19" s="203">
        <f t="shared" si="2"/>
        <v>93983269.74</v>
      </c>
      <c r="J19" s="59"/>
      <c r="K19" s="59"/>
      <c r="L19" s="59"/>
      <c r="M19" s="59"/>
      <c r="N19" s="59"/>
      <c r="O19" s="59"/>
      <c r="P19" s="59"/>
      <c r="Q19" s="59"/>
      <c r="R19" s="59"/>
      <c r="S19" s="59"/>
      <c r="T19" s="59"/>
      <c r="U19" s="59"/>
    </row>
    <row r="20" ht="35.25" customHeight="1">
      <c r="A20" s="59"/>
      <c r="B20" s="59"/>
      <c r="C20" s="59"/>
      <c r="D20" s="59"/>
      <c r="E20" s="202">
        <v>18.0</v>
      </c>
      <c r="F20" s="204">
        <f t="shared" si="3"/>
        <v>2533918.04</v>
      </c>
      <c r="G20" s="204">
        <f t="shared" si="4"/>
        <v>1096471.48</v>
      </c>
      <c r="H20" s="204">
        <f t="shared" si="1"/>
        <v>3630389.52</v>
      </c>
      <c r="I20" s="203">
        <f t="shared" si="2"/>
        <v>91449351.7</v>
      </c>
      <c r="J20" s="59"/>
      <c r="K20" s="59"/>
      <c r="L20" s="59"/>
      <c r="M20" s="59"/>
      <c r="N20" s="59"/>
      <c r="O20" s="59"/>
      <c r="P20" s="59"/>
      <c r="Q20" s="59"/>
      <c r="R20" s="59"/>
      <c r="S20" s="59"/>
      <c r="T20" s="59"/>
      <c r="U20" s="59"/>
    </row>
    <row r="21" ht="35.25" customHeight="1">
      <c r="A21" s="59"/>
      <c r="B21" s="59"/>
      <c r="C21" s="59"/>
      <c r="D21" s="59"/>
      <c r="E21" s="202">
        <v>19.0</v>
      </c>
      <c r="F21" s="204">
        <f t="shared" si="3"/>
        <v>2563480.417</v>
      </c>
      <c r="G21" s="204">
        <f t="shared" si="4"/>
        <v>1066909.103</v>
      </c>
      <c r="H21" s="204">
        <f t="shared" si="1"/>
        <v>3630389.52</v>
      </c>
      <c r="I21" s="203">
        <f t="shared" si="2"/>
        <v>88885871.28</v>
      </c>
      <c r="J21" s="59"/>
      <c r="K21" s="59"/>
      <c r="L21" s="59"/>
      <c r="M21" s="59"/>
      <c r="N21" s="59"/>
      <c r="O21" s="59"/>
      <c r="P21" s="59"/>
      <c r="Q21" s="59"/>
      <c r="R21" s="59"/>
      <c r="S21" s="59"/>
      <c r="T21" s="59"/>
      <c r="U21" s="59"/>
    </row>
    <row r="22" ht="35.25" customHeight="1">
      <c r="A22" s="59"/>
      <c r="B22" s="59"/>
      <c r="C22" s="59"/>
      <c r="D22" s="59"/>
      <c r="E22" s="202">
        <v>20.0</v>
      </c>
      <c r="F22" s="204">
        <f t="shared" si="3"/>
        <v>2593387.689</v>
      </c>
      <c r="G22" s="204">
        <f t="shared" si="4"/>
        <v>1037001.832</v>
      </c>
      <c r="H22" s="204">
        <f t="shared" si="1"/>
        <v>3630389.52</v>
      </c>
      <c r="I22" s="203">
        <f t="shared" si="2"/>
        <v>86292483.59</v>
      </c>
      <c r="J22" s="59"/>
      <c r="K22" s="59"/>
      <c r="L22" s="59"/>
      <c r="M22" s="59"/>
      <c r="N22" s="59"/>
      <c r="O22" s="59"/>
      <c r="P22" s="59"/>
      <c r="Q22" s="59"/>
      <c r="R22" s="59"/>
      <c r="S22" s="59"/>
      <c r="T22" s="59"/>
      <c r="U22" s="59"/>
    </row>
    <row r="23" ht="56.25" customHeight="1">
      <c r="A23" s="59"/>
      <c r="B23" s="59"/>
      <c r="C23" s="59"/>
      <c r="D23" s="59"/>
      <c r="E23" s="202">
        <v>21.0</v>
      </c>
      <c r="F23" s="204">
        <f t="shared" si="3"/>
        <v>2623643.878</v>
      </c>
      <c r="G23" s="204">
        <f t="shared" si="4"/>
        <v>1006745.642</v>
      </c>
      <c r="H23" s="204">
        <f t="shared" si="1"/>
        <v>3630389.52</v>
      </c>
      <c r="I23" s="203">
        <f t="shared" si="2"/>
        <v>83668839.71</v>
      </c>
      <c r="J23" s="59"/>
      <c r="K23" s="59"/>
      <c r="L23" s="59"/>
      <c r="M23" s="59"/>
      <c r="N23" s="59"/>
      <c r="O23" s="59"/>
      <c r="P23" s="59"/>
      <c r="Q23" s="59"/>
      <c r="R23" s="59"/>
      <c r="S23" s="59"/>
      <c r="T23" s="59"/>
      <c r="U23" s="59"/>
    </row>
    <row r="24" ht="35.25" customHeight="1">
      <c r="A24" s="59"/>
      <c r="B24" s="59"/>
      <c r="C24" s="59"/>
      <c r="D24" s="59"/>
      <c r="E24" s="202">
        <v>22.0</v>
      </c>
      <c r="F24" s="204">
        <f t="shared" si="3"/>
        <v>2654253.057</v>
      </c>
      <c r="G24" s="204">
        <f t="shared" si="4"/>
        <v>976136.4633</v>
      </c>
      <c r="H24" s="204">
        <f t="shared" si="1"/>
        <v>3630389.52</v>
      </c>
      <c r="I24" s="203">
        <f t="shared" si="2"/>
        <v>81014586.66</v>
      </c>
      <c r="J24" s="59"/>
      <c r="K24" s="59"/>
      <c r="L24" s="59"/>
      <c r="M24" s="59"/>
      <c r="N24" s="59"/>
      <c r="O24" s="59"/>
      <c r="P24" s="59"/>
      <c r="Q24" s="59"/>
      <c r="R24" s="59"/>
      <c r="S24" s="59"/>
      <c r="T24" s="59"/>
      <c r="U24" s="59"/>
    </row>
    <row r="25" ht="35.25" customHeight="1">
      <c r="A25" s="59"/>
      <c r="B25" s="59"/>
      <c r="C25" s="59"/>
      <c r="D25" s="59"/>
      <c r="E25" s="202">
        <v>23.0</v>
      </c>
      <c r="F25" s="204">
        <f t="shared" si="3"/>
        <v>2685219.342</v>
      </c>
      <c r="G25" s="204">
        <f t="shared" si="4"/>
        <v>945170.1777</v>
      </c>
      <c r="H25" s="204">
        <f t="shared" si="1"/>
        <v>3630389.52</v>
      </c>
      <c r="I25" s="203">
        <f t="shared" si="2"/>
        <v>78329367.32</v>
      </c>
      <c r="J25" s="59"/>
      <c r="K25" s="59"/>
      <c r="L25" s="59"/>
      <c r="M25" s="59"/>
      <c r="N25" s="59"/>
      <c r="O25" s="59"/>
      <c r="P25" s="59"/>
      <c r="Q25" s="59"/>
      <c r="R25" s="59"/>
      <c r="S25" s="59"/>
      <c r="T25" s="59"/>
      <c r="U25" s="59"/>
    </row>
    <row r="26" ht="35.25" customHeight="1">
      <c r="A26" s="59"/>
      <c r="B26" s="59"/>
      <c r="C26" s="59"/>
      <c r="D26" s="59"/>
      <c r="E26" s="202">
        <v>24.0</v>
      </c>
      <c r="F26" s="204">
        <f t="shared" si="3"/>
        <v>2716546.901</v>
      </c>
      <c r="G26" s="204">
        <f t="shared" si="4"/>
        <v>913842.6187</v>
      </c>
      <c r="H26" s="204">
        <f t="shared" si="1"/>
        <v>3630389.52</v>
      </c>
      <c r="I26" s="203">
        <f t="shared" si="2"/>
        <v>75612820.41</v>
      </c>
      <c r="J26" s="59"/>
      <c r="K26" s="59"/>
      <c r="L26" s="59"/>
      <c r="M26" s="59"/>
      <c r="N26" s="59"/>
      <c r="O26" s="59"/>
      <c r="P26" s="59"/>
      <c r="Q26" s="59"/>
      <c r="R26" s="59"/>
      <c r="S26" s="59"/>
      <c r="T26" s="59"/>
      <c r="U26" s="59"/>
    </row>
    <row r="27" ht="35.25" customHeight="1">
      <c r="A27" s="59"/>
      <c r="B27" s="59"/>
      <c r="C27" s="59"/>
      <c r="D27" s="59"/>
      <c r="E27" s="202">
        <v>25.0</v>
      </c>
      <c r="F27" s="204">
        <f t="shared" si="3"/>
        <v>2748239.949</v>
      </c>
      <c r="G27" s="204">
        <f t="shared" si="4"/>
        <v>882149.5715</v>
      </c>
      <c r="H27" s="204">
        <f t="shared" si="1"/>
        <v>3630389.52</v>
      </c>
      <c r="I27" s="203">
        <f t="shared" si="2"/>
        <v>72864580.47</v>
      </c>
      <c r="J27" s="59"/>
      <c r="K27" s="59"/>
      <c r="L27" s="59"/>
      <c r="M27" s="59"/>
      <c r="N27" s="59"/>
      <c r="O27" s="59"/>
      <c r="P27" s="59"/>
      <c r="Q27" s="59"/>
      <c r="R27" s="59"/>
      <c r="S27" s="59"/>
      <c r="T27" s="59"/>
      <c r="U27" s="59"/>
    </row>
    <row r="28" ht="35.25" customHeight="1">
      <c r="A28" s="59"/>
      <c r="B28" s="59"/>
      <c r="C28" s="59"/>
      <c r="D28" s="59"/>
      <c r="E28" s="202">
        <v>26.0</v>
      </c>
      <c r="F28" s="204">
        <f t="shared" si="3"/>
        <v>2780302.748</v>
      </c>
      <c r="G28" s="204">
        <f t="shared" si="4"/>
        <v>850086.7721</v>
      </c>
      <c r="H28" s="204">
        <f t="shared" si="1"/>
        <v>3630389.52</v>
      </c>
      <c r="I28" s="203">
        <f t="shared" si="2"/>
        <v>70084277.72</v>
      </c>
      <c r="J28" s="59"/>
      <c r="K28" s="59"/>
      <c r="L28" s="59"/>
      <c r="M28" s="59"/>
      <c r="N28" s="59"/>
      <c r="O28" s="59"/>
      <c r="P28" s="59"/>
      <c r="Q28" s="59"/>
      <c r="R28" s="59"/>
      <c r="S28" s="59"/>
      <c r="T28" s="59"/>
      <c r="U28" s="59"/>
    </row>
    <row r="29" ht="35.25" customHeight="1">
      <c r="A29" s="59"/>
      <c r="B29" s="59"/>
      <c r="C29" s="59"/>
      <c r="D29" s="59"/>
      <c r="E29" s="202">
        <v>27.0</v>
      </c>
      <c r="F29" s="204">
        <f t="shared" si="3"/>
        <v>2812739.613</v>
      </c>
      <c r="G29" s="204">
        <f t="shared" si="4"/>
        <v>817649.9067</v>
      </c>
      <c r="H29" s="204">
        <f t="shared" si="1"/>
        <v>3630389.52</v>
      </c>
      <c r="I29" s="203">
        <f t="shared" si="2"/>
        <v>67271538.1</v>
      </c>
      <c r="J29" s="59"/>
      <c r="K29" s="59"/>
      <c r="L29" s="59"/>
      <c r="M29" s="59"/>
      <c r="N29" s="59"/>
      <c r="O29" s="59"/>
      <c r="P29" s="59"/>
      <c r="Q29" s="59"/>
      <c r="R29" s="59"/>
      <c r="S29" s="59"/>
      <c r="T29" s="59"/>
      <c r="U29" s="59"/>
    </row>
    <row r="30" ht="35.25" customHeight="1">
      <c r="A30" s="59"/>
      <c r="B30" s="59"/>
      <c r="C30" s="59"/>
      <c r="D30" s="59"/>
      <c r="E30" s="202">
        <v>28.0</v>
      </c>
      <c r="F30" s="204">
        <f t="shared" si="3"/>
        <v>2845554.909</v>
      </c>
      <c r="G30" s="204">
        <f t="shared" si="4"/>
        <v>784834.6112</v>
      </c>
      <c r="H30" s="204">
        <f t="shared" si="1"/>
        <v>3630389.52</v>
      </c>
      <c r="I30" s="203">
        <f t="shared" si="2"/>
        <v>64425983.19</v>
      </c>
      <c r="J30" s="59"/>
      <c r="K30" s="59"/>
      <c r="L30" s="59"/>
      <c r="M30" s="59"/>
      <c r="N30" s="59"/>
      <c r="O30" s="59"/>
      <c r="P30" s="59"/>
      <c r="Q30" s="59"/>
      <c r="R30" s="59"/>
      <c r="S30" s="59"/>
      <c r="T30" s="59"/>
      <c r="U30" s="59"/>
    </row>
    <row r="31" ht="35.25" customHeight="1">
      <c r="A31" s="59"/>
      <c r="B31" s="59"/>
      <c r="C31" s="59"/>
      <c r="D31" s="59"/>
      <c r="E31" s="202">
        <v>29.0</v>
      </c>
      <c r="F31" s="204">
        <f t="shared" si="3"/>
        <v>2878753.05</v>
      </c>
      <c r="G31" s="204">
        <f t="shared" si="4"/>
        <v>751636.4706</v>
      </c>
      <c r="H31" s="204">
        <f t="shared" si="1"/>
        <v>3630389.52</v>
      </c>
      <c r="I31" s="203">
        <f t="shared" si="2"/>
        <v>61547230.15</v>
      </c>
      <c r="J31" s="59"/>
      <c r="K31" s="59"/>
      <c r="L31" s="59"/>
      <c r="M31" s="59"/>
      <c r="N31" s="59"/>
      <c r="O31" s="59"/>
      <c r="P31" s="59"/>
      <c r="Q31" s="59"/>
      <c r="R31" s="59"/>
      <c r="S31" s="59"/>
      <c r="T31" s="59"/>
      <c r="U31" s="59"/>
    </row>
    <row r="32" ht="35.25" customHeight="1">
      <c r="A32" s="59"/>
      <c r="B32" s="59"/>
      <c r="C32" s="59"/>
      <c r="D32" s="59"/>
      <c r="E32" s="202">
        <v>30.0</v>
      </c>
      <c r="F32" s="204">
        <f t="shared" si="3"/>
        <v>2912338.502</v>
      </c>
      <c r="G32" s="204">
        <f t="shared" si="4"/>
        <v>718051.0184</v>
      </c>
      <c r="H32" s="204">
        <f t="shared" si="1"/>
        <v>3630389.52</v>
      </c>
      <c r="I32" s="203">
        <f t="shared" si="2"/>
        <v>58634891.64</v>
      </c>
      <c r="J32" s="59"/>
      <c r="K32" s="59"/>
      <c r="L32" s="59"/>
      <c r="M32" s="59"/>
      <c r="N32" s="59"/>
      <c r="O32" s="59"/>
      <c r="P32" s="59"/>
      <c r="Q32" s="59"/>
      <c r="R32" s="59"/>
      <c r="S32" s="59"/>
      <c r="T32" s="59"/>
      <c r="U32" s="59"/>
    </row>
    <row r="33" ht="35.25" customHeight="1">
      <c r="A33" s="59"/>
      <c r="B33" s="59"/>
      <c r="C33" s="59"/>
      <c r="D33" s="59"/>
      <c r="E33" s="202">
        <v>31.0</v>
      </c>
      <c r="F33" s="204">
        <f t="shared" si="3"/>
        <v>2946315.784</v>
      </c>
      <c r="G33" s="204">
        <f t="shared" si="4"/>
        <v>684073.7358</v>
      </c>
      <c r="H33" s="204">
        <f t="shared" si="1"/>
        <v>3630389.52</v>
      </c>
      <c r="I33" s="203">
        <f t="shared" si="2"/>
        <v>55688575.86</v>
      </c>
      <c r="J33" s="59"/>
      <c r="K33" s="59"/>
      <c r="L33" s="59"/>
      <c r="M33" s="59"/>
      <c r="N33" s="59"/>
      <c r="O33" s="59"/>
      <c r="P33" s="59"/>
      <c r="Q33" s="59"/>
      <c r="R33" s="59"/>
      <c r="S33" s="59"/>
      <c r="T33" s="59"/>
      <c r="U33" s="59"/>
    </row>
    <row r="34" ht="35.25" customHeight="1">
      <c r="A34" s="59"/>
      <c r="B34" s="59"/>
      <c r="C34" s="59"/>
      <c r="D34" s="59"/>
      <c r="E34" s="202">
        <v>32.0</v>
      </c>
      <c r="F34" s="204">
        <f t="shared" si="3"/>
        <v>2980689.468</v>
      </c>
      <c r="G34" s="204">
        <f t="shared" si="4"/>
        <v>649700.0517</v>
      </c>
      <c r="H34" s="204">
        <f t="shared" si="1"/>
        <v>3630389.52</v>
      </c>
      <c r="I34" s="203">
        <f t="shared" si="2"/>
        <v>52707886.39</v>
      </c>
      <c r="J34" s="59"/>
      <c r="K34" s="59"/>
      <c r="L34" s="59"/>
      <c r="M34" s="59"/>
      <c r="N34" s="59"/>
      <c r="O34" s="59"/>
      <c r="P34" s="59"/>
      <c r="Q34" s="59"/>
      <c r="R34" s="59"/>
      <c r="S34" s="59"/>
      <c r="T34" s="59"/>
      <c r="U34" s="59"/>
    </row>
    <row r="35" ht="35.25" customHeight="1">
      <c r="A35" s="59"/>
      <c r="B35" s="59"/>
      <c r="C35" s="59"/>
      <c r="D35" s="59"/>
      <c r="E35" s="202">
        <v>33.0</v>
      </c>
      <c r="F35" s="204">
        <f t="shared" si="3"/>
        <v>3015464.179</v>
      </c>
      <c r="G35" s="204">
        <f t="shared" si="4"/>
        <v>614925.3412</v>
      </c>
      <c r="H35" s="204">
        <f t="shared" si="1"/>
        <v>3630389.52</v>
      </c>
      <c r="I35" s="203">
        <f t="shared" si="2"/>
        <v>49692422.21</v>
      </c>
      <c r="J35" s="59"/>
      <c r="K35" s="59"/>
      <c r="L35" s="59"/>
      <c r="M35" s="59"/>
      <c r="N35" s="59"/>
      <c r="O35" s="59"/>
      <c r="P35" s="59"/>
      <c r="Q35" s="59"/>
      <c r="R35" s="59"/>
      <c r="S35" s="59"/>
      <c r="T35" s="59"/>
      <c r="U35" s="59"/>
    </row>
    <row r="36" ht="35.25" customHeight="1">
      <c r="A36" s="59"/>
      <c r="B36" s="59"/>
      <c r="C36" s="59"/>
      <c r="D36" s="59"/>
      <c r="E36" s="202">
        <v>34.0</v>
      </c>
      <c r="F36" s="204">
        <f t="shared" si="3"/>
        <v>3050644.594</v>
      </c>
      <c r="G36" s="204">
        <f t="shared" si="4"/>
        <v>579744.9258</v>
      </c>
      <c r="H36" s="204">
        <f t="shared" si="1"/>
        <v>3630389.52</v>
      </c>
      <c r="I36" s="203">
        <f t="shared" si="2"/>
        <v>46641777.62</v>
      </c>
      <c r="J36" s="59"/>
      <c r="K36" s="59"/>
      <c r="L36" s="59"/>
      <c r="M36" s="59"/>
      <c r="N36" s="59"/>
      <c r="O36" s="59"/>
      <c r="P36" s="59"/>
      <c r="Q36" s="59"/>
      <c r="R36" s="59"/>
      <c r="S36" s="59"/>
      <c r="T36" s="59"/>
      <c r="U36" s="59"/>
    </row>
    <row r="37" ht="35.25" customHeight="1">
      <c r="A37" s="59"/>
      <c r="B37" s="59"/>
      <c r="C37" s="59"/>
      <c r="D37" s="59"/>
      <c r="E37" s="202">
        <v>35.0</v>
      </c>
      <c r="F37" s="204">
        <f t="shared" si="3"/>
        <v>3086235.448</v>
      </c>
      <c r="G37" s="204">
        <f t="shared" si="4"/>
        <v>544154.0722</v>
      </c>
      <c r="H37" s="204">
        <f t="shared" si="1"/>
        <v>3630389.52</v>
      </c>
      <c r="I37" s="203">
        <f t="shared" si="2"/>
        <v>43555542.17</v>
      </c>
      <c r="J37" s="59"/>
      <c r="K37" s="59"/>
      <c r="L37" s="59"/>
      <c r="M37" s="59"/>
      <c r="N37" s="59"/>
      <c r="O37" s="59"/>
      <c r="P37" s="59"/>
      <c r="Q37" s="59"/>
      <c r="R37" s="59"/>
      <c r="S37" s="59"/>
      <c r="T37" s="59"/>
      <c r="U37" s="59"/>
    </row>
    <row r="38" ht="35.25" customHeight="1">
      <c r="A38" s="59"/>
      <c r="B38" s="59"/>
      <c r="C38" s="59"/>
      <c r="D38" s="59"/>
      <c r="E38" s="202">
        <v>36.0</v>
      </c>
      <c r="F38" s="204">
        <f t="shared" si="3"/>
        <v>3122241.528</v>
      </c>
      <c r="G38" s="204">
        <f t="shared" si="4"/>
        <v>508147.992</v>
      </c>
      <c r="H38" s="204">
        <f t="shared" si="1"/>
        <v>3630389.52</v>
      </c>
      <c r="I38" s="203">
        <f t="shared" si="2"/>
        <v>40433300.64</v>
      </c>
      <c r="J38" s="59"/>
      <c r="K38" s="59"/>
      <c r="L38" s="59"/>
      <c r="M38" s="59"/>
      <c r="N38" s="59"/>
      <c r="O38" s="59"/>
      <c r="P38" s="59"/>
      <c r="Q38" s="59"/>
      <c r="R38" s="59"/>
      <c r="S38" s="59"/>
      <c r="T38" s="59"/>
      <c r="U38" s="59"/>
    </row>
    <row r="39" ht="35.25" customHeight="1">
      <c r="A39" s="59"/>
      <c r="B39" s="59"/>
      <c r="C39" s="59"/>
      <c r="D39" s="59"/>
      <c r="E39" s="202">
        <v>37.0</v>
      </c>
      <c r="F39" s="204">
        <f t="shared" si="3"/>
        <v>3158667.679</v>
      </c>
      <c r="G39" s="204">
        <f t="shared" si="4"/>
        <v>471721.8408</v>
      </c>
      <c r="H39" s="204">
        <f t="shared" si="1"/>
        <v>3630389.52</v>
      </c>
      <c r="I39" s="203">
        <f t="shared" si="2"/>
        <v>37274632.96</v>
      </c>
      <c r="J39" s="59"/>
      <c r="K39" s="59"/>
      <c r="L39" s="59"/>
      <c r="M39" s="59"/>
      <c r="N39" s="59"/>
      <c r="O39" s="59"/>
      <c r="P39" s="59"/>
      <c r="Q39" s="59"/>
      <c r="R39" s="59"/>
      <c r="S39" s="59"/>
      <c r="T39" s="59"/>
      <c r="U39" s="59"/>
    </row>
    <row r="40" ht="35.25" customHeight="1">
      <c r="A40" s="59"/>
      <c r="B40" s="59"/>
      <c r="C40" s="59"/>
      <c r="D40" s="59"/>
      <c r="E40" s="202">
        <v>38.0</v>
      </c>
      <c r="F40" s="204">
        <f t="shared" si="3"/>
        <v>3195518.802</v>
      </c>
      <c r="G40" s="204">
        <f t="shared" si="4"/>
        <v>434870.7179</v>
      </c>
      <c r="H40" s="204">
        <f t="shared" si="1"/>
        <v>3630389.52</v>
      </c>
      <c r="I40" s="203">
        <f t="shared" si="2"/>
        <v>34079114.16</v>
      </c>
      <c r="J40" s="59"/>
      <c r="K40" s="59"/>
      <c r="L40" s="59"/>
      <c r="M40" s="59"/>
      <c r="N40" s="59"/>
      <c r="O40" s="59"/>
      <c r="P40" s="59"/>
      <c r="Q40" s="59"/>
      <c r="R40" s="59"/>
      <c r="S40" s="59"/>
      <c r="T40" s="59"/>
      <c r="U40" s="59"/>
    </row>
    <row r="41" ht="35.25" customHeight="1">
      <c r="A41" s="59"/>
      <c r="B41" s="59"/>
      <c r="C41" s="59"/>
      <c r="D41" s="59"/>
      <c r="E41" s="202">
        <v>39.0</v>
      </c>
      <c r="F41" s="204">
        <f t="shared" si="3"/>
        <v>3232799.855</v>
      </c>
      <c r="G41" s="204">
        <f t="shared" si="4"/>
        <v>397589.6652</v>
      </c>
      <c r="H41" s="204">
        <f t="shared" si="1"/>
        <v>3630389.52</v>
      </c>
      <c r="I41" s="203">
        <f t="shared" si="2"/>
        <v>30846314.31</v>
      </c>
      <c r="J41" s="59"/>
      <c r="K41" s="59"/>
      <c r="L41" s="59"/>
      <c r="M41" s="59"/>
      <c r="N41" s="59"/>
      <c r="O41" s="59"/>
      <c r="P41" s="59"/>
      <c r="Q41" s="59"/>
      <c r="R41" s="59"/>
      <c r="S41" s="59"/>
      <c r="T41" s="59"/>
      <c r="U41" s="59"/>
    </row>
    <row r="42" ht="35.25" customHeight="1">
      <c r="A42" s="59"/>
      <c r="B42" s="59"/>
      <c r="C42" s="59"/>
      <c r="D42" s="59"/>
      <c r="E42" s="202">
        <v>40.0</v>
      </c>
      <c r="F42" s="204">
        <f t="shared" si="3"/>
        <v>3270515.853</v>
      </c>
      <c r="G42" s="204">
        <f t="shared" si="4"/>
        <v>359873.6669</v>
      </c>
      <c r="H42" s="204">
        <f t="shared" si="1"/>
        <v>3630389.52</v>
      </c>
      <c r="I42" s="203">
        <f t="shared" si="2"/>
        <v>27575798.45</v>
      </c>
      <c r="J42" s="59"/>
      <c r="K42" s="59"/>
      <c r="L42" s="59"/>
      <c r="M42" s="59"/>
      <c r="N42" s="59"/>
      <c r="O42" s="59"/>
      <c r="P42" s="59"/>
      <c r="Q42" s="59"/>
      <c r="R42" s="59"/>
      <c r="S42" s="59"/>
      <c r="T42" s="59"/>
      <c r="U42" s="59"/>
    </row>
    <row r="43" ht="35.25" customHeight="1">
      <c r="A43" s="59"/>
      <c r="B43" s="59"/>
      <c r="C43" s="59"/>
      <c r="D43" s="59"/>
      <c r="E43" s="202">
        <v>41.0</v>
      </c>
      <c r="F43" s="204">
        <f t="shared" si="3"/>
        <v>3308671.872</v>
      </c>
      <c r="G43" s="204">
        <f t="shared" si="4"/>
        <v>321717.6486</v>
      </c>
      <c r="H43" s="204">
        <f t="shared" si="1"/>
        <v>3630389.52</v>
      </c>
      <c r="I43" s="203">
        <f t="shared" si="2"/>
        <v>24267126.58</v>
      </c>
      <c r="J43" s="59"/>
      <c r="K43" s="59"/>
      <c r="L43" s="59"/>
      <c r="M43" s="59"/>
      <c r="N43" s="59"/>
      <c r="O43" s="59"/>
      <c r="P43" s="59"/>
      <c r="Q43" s="59"/>
      <c r="R43" s="59"/>
      <c r="S43" s="59"/>
      <c r="T43" s="59"/>
      <c r="U43" s="59"/>
    </row>
    <row r="44" ht="35.25" customHeight="1">
      <c r="A44" s="59"/>
      <c r="B44" s="59"/>
      <c r="C44" s="59"/>
      <c r="D44" s="59"/>
      <c r="E44" s="202">
        <v>42.0</v>
      </c>
      <c r="F44" s="204">
        <f t="shared" si="3"/>
        <v>3347273.043</v>
      </c>
      <c r="G44" s="204">
        <f t="shared" si="4"/>
        <v>283116.4768</v>
      </c>
      <c r="H44" s="204">
        <f t="shared" si="1"/>
        <v>3630389.52</v>
      </c>
      <c r="I44" s="203">
        <f t="shared" si="2"/>
        <v>20919853.54</v>
      </c>
      <c r="J44" s="59"/>
      <c r="K44" s="59"/>
      <c r="L44" s="59"/>
      <c r="M44" s="59"/>
      <c r="N44" s="59"/>
      <c r="O44" s="59"/>
      <c r="P44" s="59"/>
      <c r="Q44" s="59"/>
      <c r="R44" s="59"/>
      <c r="S44" s="59"/>
      <c r="T44" s="59"/>
      <c r="U44" s="59"/>
    </row>
    <row r="45" ht="35.25" customHeight="1">
      <c r="A45" s="59"/>
      <c r="B45" s="59"/>
      <c r="C45" s="59"/>
      <c r="D45" s="59"/>
      <c r="E45" s="202">
        <v>43.0</v>
      </c>
      <c r="F45" s="204">
        <f t="shared" si="3"/>
        <v>3386324.562</v>
      </c>
      <c r="G45" s="204">
        <f t="shared" si="4"/>
        <v>244064.9579</v>
      </c>
      <c r="H45" s="204">
        <f t="shared" si="1"/>
        <v>3630389.52</v>
      </c>
      <c r="I45" s="203">
        <f t="shared" si="2"/>
        <v>17533528.97</v>
      </c>
      <c r="J45" s="59"/>
      <c r="K45" s="59"/>
      <c r="L45" s="59"/>
      <c r="M45" s="59"/>
      <c r="N45" s="59"/>
      <c r="O45" s="59"/>
      <c r="P45" s="59"/>
      <c r="Q45" s="59"/>
      <c r="R45" s="59"/>
      <c r="S45" s="59"/>
      <c r="T45" s="59"/>
      <c r="U45" s="59"/>
    </row>
    <row r="46" ht="35.25" customHeight="1">
      <c r="A46" s="59"/>
      <c r="B46" s="59"/>
      <c r="C46" s="59"/>
      <c r="D46" s="59"/>
      <c r="E46" s="202">
        <v>44.0</v>
      </c>
      <c r="F46" s="204">
        <f t="shared" si="3"/>
        <v>3425831.682</v>
      </c>
      <c r="G46" s="204">
        <f t="shared" si="4"/>
        <v>204557.838</v>
      </c>
      <c r="H46" s="204">
        <f t="shared" si="1"/>
        <v>3630389.52</v>
      </c>
      <c r="I46" s="203">
        <f t="shared" si="2"/>
        <v>14107697.29</v>
      </c>
      <c r="J46" s="59"/>
      <c r="K46" s="59"/>
      <c r="L46" s="59"/>
      <c r="M46" s="59"/>
      <c r="N46" s="59"/>
      <c r="O46" s="59"/>
      <c r="P46" s="59"/>
      <c r="Q46" s="59"/>
      <c r="R46" s="59"/>
      <c r="S46" s="59"/>
      <c r="T46" s="59"/>
      <c r="U46" s="59"/>
    </row>
    <row r="47" ht="35.25" customHeight="1">
      <c r="A47" s="59"/>
      <c r="B47" s="59"/>
      <c r="C47" s="59"/>
      <c r="D47" s="59"/>
      <c r="E47" s="202">
        <v>45.0</v>
      </c>
      <c r="F47" s="204">
        <f t="shared" si="3"/>
        <v>3465799.718</v>
      </c>
      <c r="G47" s="204">
        <f t="shared" si="4"/>
        <v>164589.8017</v>
      </c>
      <c r="H47" s="204">
        <f t="shared" si="1"/>
        <v>3630389.52</v>
      </c>
      <c r="I47" s="203">
        <f t="shared" si="2"/>
        <v>10641897.57</v>
      </c>
      <c r="J47" s="59"/>
      <c r="K47" s="59"/>
      <c r="L47" s="59"/>
      <c r="M47" s="59"/>
      <c r="N47" s="59"/>
      <c r="O47" s="59"/>
      <c r="P47" s="59"/>
      <c r="Q47" s="59"/>
      <c r="R47" s="59"/>
      <c r="S47" s="59"/>
      <c r="T47" s="59"/>
      <c r="U47" s="59"/>
    </row>
    <row r="48" ht="35.25" customHeight="1">
      <c r="A48" s="59"/>
      <c r="B48" s="59"/>
      <c r="C48" s="59"/>
      <c r="D48" s="59"/>
      <c r="E48" s="202">
        <v>46.0</v>
      </c>
      <c r="F48" s="204">
        <f t="shared" si="3"/>
        <v>3506234.048</v>
      </c>
      <c r="G48" s="204">
        <f t="shared" si="4"/>
        <v>124155.4717</v>
      </c>
      <c r="H48" s="204">
        <f t="shared" si="1"/>
        <v>3630389.52</v>
      </c>
      <c r="I48" s="203">
        <f t="shared" si="2"/>
        <v>7135663.526</v>
      </c>
      <c r="J48" s="59"/>
      <c r="K48" s="59"/>
      <c r="L48" s="59"/>
      <c r="M48" s="59"/>
      <c r="N48" s="59"/>
      <c r="O48" s="59"/>
      <c r="P48" s="59"/>
      <c r="Q48" s="59"/>
      <c r="R48" s="59"/>
      <c r="S48" s="59"/>
      <c r="T48" s="59"/>
      <c r="U48" s="59"/>
    </row>
    <row r="49" ht="35.25" customHeight="1">
      <c r="A49" s="59"/>
      <c r="B49" s="59"/>
      <c r="C49" s="59"/>
      <c r="D49" s="59"/>
      <c r="E49" s="202">
        <v>47.0</v>
      </c>
      <c r="F49" s="204">
        <f t="shared" si="3"/>
        <v>3547140.112</v>
      </c>
      <c r="G49" s="204">
        <f t="shared" si="4"/>
        <v>83249.4078</v>
      </c>
      <c r="H49" s="204">
        <f t="shared" si="1"/>
        <v>3630389.52</v>
      </c>
      <c r="I49" s="203">
        <f t="shared" si="2"/>
        <v>3588523.414</v>
      </c>
      <c r="J49" s="59"/>
      <c r="K49" s="59"/>
      <c r="L49" s="59"/>
      <c r="M49" s="59"/>
      <c r="N49" s="59"/>
      <c r="O49" s="59"/>
      <c r="P49" s="59"/>
      <c r="Q49" s="59"/>
      <c r="R49" s="59"/>
      <c r="S49" s="59"/>
      <c r="T49" s="59"/>
      <c r="U49" s="59"/>
    </row>
    <row r="50" ht="35.25" customHeight="1">
      <c r="A50" s="59"/>
      <c r="B50" s="59"/>
      <c r="C50" s="59"/>
      <c r="D50" s="59"/>
      <c r="E50" s="202">
        <v>48.0</v>
      </c>
      <c r="F50" s="204">
        <f t="shared" si="3"/>
        <v>3588523.414</v>
      </c>
      <c r="G50" s="204">
        <f t="shared" si="4"/>
        <v>41866.10649</v>
      </c>
      <c r="H50" s="204">
        <f t="shared" si="1"/>
        <v>3630389.52</v>
      </c>
      <c r="I50" s="203">
        <f t="shared" si="2"/>
        <v>0.0000005811452866</v>
      </c>
      <c r="J50" s="59"/>
      <c r="K50" s="59"/>
      <c r="L50" s="59"/>
      <c r="M50" s="59"/>
      <c r="N50" s="59"/>
      <c r="O50" s="59"/>
      <c r="P50" s="59"/>
      <c r="Q50" s="59"/>
      <c r="R50" s="59"/>
      <c r="S50" s="59"/>
      <c r="T50" s="59"/>
      <c r="U50" s="59"/>
    </row>
    <row r="51" ht="35.25" customHeight="1">
      <c r="A51" s="59"/>
      <c r="B51" s="59"/>
      <c r="C51" s="59"/>
      <c r="D51" s="59"/>
      <c r="E51" s="178"/>
      <c r="F51" s="59"/>
      <c r="G51" s="59"/>
      <c r="H51" s="59"/>
      <c r="I51" s="178"/>
      <c r="J51" s="59"/>
      <c r="K51" s="59"/>
      <c r="L51" s="59"/>
      <c r="M51" s="59"/>
      <c r="N51" s="59"/>
      <c r="O51" s="59"/>
      <c r="P51" s="59"/>
      <c r="Q51" s="59"/>
      <c r="R51" s="59"/>
      <c r="S51" s="59"/>
      <c r="T51" s="59"/>
      <c r="U51" s="59"/>
    </row>
    <row r="52" ht="35.25" customHeight="1">
      <c r="A52" s="59"/>
      <c r="B52" s="59"/>
      <c r="C52" s="59"/>
      <c r="D52" s="59"/>
      <c r="E52" s="178"/>
      <c r="F52" s="59"/>
      <c r="G52" s="59"/>
      <c r="H52" s="59"/>
      <c r="I52" s="178"/>
      <c r="J52" s="59"/>
      <c r="K52" s="59"/>
      <c r="L52" s="59"/>
      <c r="M52" s="59"/>
      <c r="N52" s="59"/>
      <c r="O52" s="59"/>
      <c r="P52" s="59"/>
      <c r="Q52" s="59"/>
      <c r="R52" s="59"/>
      <c r="S52" s="59"/>
      <c r="T52" s="59"/>
      <c r="U52" s="59"/>
    </row>
    <row r="53" ht="35.25" customHeight="1">
      <c r="A53" s="59"/>
      <c r="B53" s="59"/>
      <c r="C53" s="59"/>
      <c r="D53" s="59"/>
      <c r="E53" s="178"/>
      <c r="F53" s="59"/>
      <c r="G53" s="59"/>
      <c r="H53" s="59"/>
      <c r="I53" s="178"/>
      <c r="J53" s="59"/>
      <c r="K53" s="59"/>
      <c r="L53" s="59"/>
      <c r="M53" s="59"/>
      <c r="N53" s="59"/>
      <c r="O53" s="59"/>
      <c r="P53" s="59"/>
      <c r="Q53" s="59"/>
      <c r="R53" s="59"/>
      <c r="S53" s="59"/>
      <c r="T53" s="59"/>
      <c r="U53" s="59"/>
    </row>
    <row r="54" ht="35.25" customHeight="1">
      <c r="A54" s="59"/>
      <c r="B54" s="59"/>
      <c r="C54" s="59"/>
      <c r="D54" s="59"/>
      <c r="E54" s="178"/>
      <c r="F54" s="59"/>
      <c r="G54" s="59"/>
      <c r="H54" s="59"/>
      <c r="I54" s="178"/>
      <c r="J54" s="59"/>
      <c r="K54" s="59"/>
      <c r="L54" s="59"/>
      <c r="M54" s="59"/>
      <c r="N54" s="59"/>
      <c r="O54" s="59"/>
      <c r="P54" s="59"/>
      <c r="Q54" s="59"/>
      <c r="R54" s="59"/>
      <c r="S54" s="59"/>
      <c r="T54" s="59"/>
      <c r="U54" s="59"/>
    </row>
    <row r="55" ht="35.25" customHeight="1">
      <c r="A55" s="59"/>
      <c r="B55" s="59"/>
      <c r="C55" s="59"/>
      <c r="D55" s="59"/>
      <c r="E55" s="178"/>
      <c r="F55" s="59"/>
      <c r="G55" s="59"/>
      <c r="H55" s="59"/>
      <c r="I55" s="178"/>
      <c r="J55" s="59"/>
      <c r="K55" s="59"/>
      <c r="L55" s="59"/>
      <c r="M55" s="59"/>
      <c r="N55" s="59"/>
      <c r="O55" s="59"/>
      <c r="P55" s="59"/>
      <c r="Q55" s="59"/>
      <c r="R55" s="59"/>
      <c r="S55" s="59"/>
      <c r="T55" s="59"/>
      <c r="U55" s="59"/>
    </row>
    <row r="56" ht="35.25" customHeight="1">
      <c r="A56" s="59"/>
      <c r="B56" s="59"/>
      <c r="C56" s="59"/>
      <c r="D56" s="59"/>
      <c r="E56" s="178"/>
      <c r="F56" s="59"/>
      <c r="G56" s="59"/>
      <c r="H56" s="59"/>
      <c r="I56" s="178"/>
      <c r="J56" s="59"/>
      <c r="K56" s="59"/>
      <c r="L56" s="59"/>
      <c r="M56" s="59"/>
      <c r="N56" s="59"/>
      <c r="O56" s="59"/>
      <c r="P56" s="59"/>
      <c r="Q56" s="59"/>
      <c r="R56" s="59"/>
      <c r="S56" s="59"/>
      <c r="T56" s="59"/>
      <c r="U56" s="59"/>
    </row>
    <row r="57" ht="35.25" customHeight="1">
      <c r="A57" s="59"/>
      <c r="B57" s="59"/>
      <c r="C57" s="59"/>
      <c r="D57" s="59"/>
      <c r="E57" s="178"/>
      <c r="F57" s="59"/>
      <c r="G57" s="59"/>
      <c r="H57" s="59"/>
      <c r="I57" s="178"/>
      <c r="J57" s="59"/>
      <c r="K57" s="59"/>
      <c r="L57" s="59"/>
      <c r="M57" s="59"/>
      <c r="N57" s="59"/>
      <c r="O57" s="59"/>
      <c r="P57" s="59"/>
      <c r="Q57" s="59"/>
      <c r="R57" s="59"/>
      <c r="S57" s="59"/>
      <c r="T57" s="59"/>
      <c r="U57" s="59"/>
    </row>
    <row r="58" ht="35.25" customHeight="1">
      <c r="A58" s="59"/>
      <c r="B58" s="59"/>
      <c r="C58" s="59"/>
      <c r="D58" s="59"/>
      <c r="E58" s="178"/>
      <c r="F58" s="59"/>
      <c r="G58" s="59"/>
      <c r="H58" s="59"/>
      <c r="I58" s="178"/>
      <c r="J58" s="59"/>
      <c r="K58" s="59"/>
      <c r="L58" s="59"/>
      <c r="M58" s="59"/>
      <c r="N58" s="59"/>
      <c r="O58" s="59"/>
      <c r="P58" s="59"/>
      <c r="Q58" s="59"/>
      <c r="R58" s="59"/>
      <c r="S58" s="59"/>
      <c r="T58" s="59"/>
      <c r="U58" s="59"/>
    </row>
    <row r="59" ht="35.25" customHeight="1">
      <c r="A59" s="59"/>
      <c r="B59" s="59"/>
      <c r="C59" s="59"/>
      <c r="D59" s="59"/>
      <c r="E59" s="178"/>
      <c r="F59" s="59"/>
      <c r="G59" s="59"/>
      <c r="H59" s="59"/>
      <c r="I59" s="178"/>
      <c r="J59" s="59"/>
      <c r="K59" s="59"/>
      <c r="L59" s="59"/>
      <c r="M59" s="59"/>
      <c r="N59" s="59"/>
      <c r="O59" s="59"/>
      <c r="P59" s="59"/>
      <c r="Q59" s="59"/>
      <c r="R59" s="59"/>
      <c r="S59" s="59"/>
      <c r="T59" s="59"/>
      <c r="U59" s="59"/>
    </row>
    <row r="60" ht="35.25" customHeight="1">
      <c r="A60" s="59"/>
      <c r="B60" s="59"/>
      <c r="C60" s="59"/>
      <c r="D60" s="59"/>
      <c r="E60" s="178"/>
      <c r="F60" s="59"/>
      <c r="G60" s="59"/>
      <c r="H60" s="59"/>
      <c r="I60" s="178"/>
      <c r="J60" s="59"/>
      <c r="K60" s="59"/>
      <c r="L60" s="59"/>
      <c r="M60" s="59"/>
      <c r="N60" s="59"/>
      <c r="O60" s="59"/>
      <c r="P60" s="59"/>
      <c r="Q60" s="59"/>
      <c r="R60" s="59"/>
      <c r="S60" s="59"/>
      <c r="T60" s="59"/>
      <c r="U60" s="59"/>
    </row>
    <row r="61" ht="35.25" customHeight="1">
      <c r="A61" s="59"/>
      <c r="B61" s="59"/>
      <c r="C61" s="59"/>
      <c r="D61" s="59"/>
      <c r="E61" s="178"/>
      <c r="F61" s="59"/>
      <c r="G61" s="59"/>
      <c r="H61" s="59"/>
      <c r="I61" s="178"/>
      <c r="J61" s="59"/>
      <c r="K61" s="59"/>
      <c r="L61" s="59"/>
      <c r="M61" s="59"/>
      <c r="N61" s="59"/>
      <c r="O61" s="59"/>
      <c r="P61" s="59"/>
      <c r="Q61" s="59"/>
      <c r="R61" s="59"/>
      <c r="S61" s="59"/>
      <c r="T61" s="59"/>
      <c r="U61" s="59"/>
    </row>
    <row r="62" ht="35.25" customHeight="1">
      <c r="A62" s="59"/>
      <c r="B62" s="59"/>
      <c r="C62" s="59"/>
      <c r="D62" s="59"/>
      <c r="E62" s="178"/>
      <c r="F62" s="59"/>
      <c r="G62" s="59"/>
      <c r="H62" s="59"/>
      <c r="I62" s="178"/>
      <c r="J62" s="59"/>
      <c r="K62" s="59"/>
      <c r="L62" s="59"/>
      <c r="M62" s="59"/>
      <c r="N62" s="59"/>
      <c r="O62" s="59"/>
      <c r="P62" s="59"/>
      <c r="Q62" s="59"/>
      <c r="R62" s="59"/>
      <c r="S62" s="59"/>
      <c r="T62" s="59"/>
      <c r="U62" s="59"/>
    </row>
    <row r="63" ht="35.25" customHeight="1">
      <c r="A63" s="59"/>
      <c r="B63" s="59"/>
      <c r="C63" s="59"/>
      <c r="D63" s="59"/>
      <c r="E63" s="178"/>
      <c r="F63" s="59"/>
      <c r="G63" s="59"/>
      <c r="H63" s="59"/>
      <c r="I63" s="178"/>
      <c r="J63" s="59"/>
      <c r="K63" s="59"/>
      <c r="L63" s="59"/>
      <c r="M63" s="59"/>
      <c r="N63" s="59"/>
      <c r="O63" s="59"/>
      <c r="P63" s="59"/>
      <c r="Q63" s="59"/>
      <c r="R63" s="59"/>
      <c r="S63" s="59"/>
      <c r="T63" s="59"/>
      <c r="U63" s="59"/>
    </row>
    <row r="64" ht="35.25" customHeight="1">
      <c r="A64" s="59"/>
      <c r="B64" s="59"/>
      <c r="C64" s="59"/>
      <c r="D64" s="59"/>
      <c r="E64" s="178"/>
      <c r="F64" s="59"/>
      <c r="G64" s="59"/>
      <c r="H64" s="59"/>
      <c r="I64" s="178"/>
      <c r="J64" s="59"/>
      <c r="K64" s="59"/>
      <c r="L64" s="59"/>
      <c r="M64" s="59"/>
      <c r="N64" s="59"/>
      <c r="O64" s="59"/>
      <c r="P64" s="59"/>
      <c r="Q64" s="59"/>
      <c r="R64" s="59"/>
      <c r="S64" s="59"/>
      <c r="T64" s="59"/>
      <c r="U64" s="59"/>
    </row>
    <row r="65" ht="35.25" customHeight="1">
      <c r="A65" s="59"/>
      <c r="B65" s="59"/>
      <c r="C65" s="59"/>
      <c r="D65" s="59"/>
      <c r="E65" s="178"/>
      <c r="F65" s="59"/>
      <c r="G65" s="59"/>
      <c r="H65" s="59"/>
      <c r="I65" s="178"/>
      <c r="J65" s="59"/>
      <c r="K65" s="59"/>
      <c r="L65" s="59"/>
      <c r="M65" s="59"/>
      <c r="N65" s="59"/>
      <c r="O65" s="59"/>
      <c r="P65" s="59"/>
      <c r="Q65" s="59"/>
      <c r="R65" s="59"/>
      <c r="S65" s="59"/>
      <c r="T65" s="59"/>
      <c r="U65" s="59"/>
    </row>
    <row r="66" ht="35.25" customHeight="1">
      <c r="A66" s="59"/>
      <c r="B66" s="59"/>
      <c r="C66" s="59"/>
      <c r="D66" s="59"/>
      <c r="E66" s="178"/>
      <c r="F66" s="59"/>
      <c r="G66" s="59"/>
      <c r="H66" s="59"/>
      <c r="I66" s="178"/>
      <c r="J66" s="59"/>
      <c r="K66" s="59"/>
      <c r="L66" s="59"/>
      <c r="M66" s="59"/>
      <c r="N66" s="59"/>
      <c r="O66" s="59"/>
      <c r="P66" s="59"/>
      <c r="Q66" s="59"/>
      <c r="R66" s="59"/>
      <c r="S66" s="59"/>
      <c r="T66" s="59"/>
      <c r="U66" s="59"/>
    </row>
    <row r="67" ht="35.25" customHeight="1">
      <c r="A67" s="59"/>
      <c r="B67" s="59"/>
      <c r="C67" s="59"/>
      <c r="D67" s="59"/>
      <c r="E67" s="178"/>
      <c r="F67" s="59"/>
      <c r="G67" s="59"/>
      <c r="H67" s="59"/>
      <c r="I67" s="178"/>
      <c r="J67" s="59"/>
      <c r="K67" s="59"/>
      <c r="L67" s="59"/>
      <c r="M67" s="59"/>
      <c r="N67" s="59"/>
      <c r="O67" s="59"/>
      <c r="P67" s="59"/>
      <c r="Q67" s="59"/>
      <c r="R67" s="59"/>
      <c r="S67" s="59"/>
      <c r="T67" s="59"/>
      <c r="U67" s="59"/>
    </row>
    <row r="68" ht="35.25" customHeight="1">
      <c r="A68" s="59"/>
      <c r="B68" s="59"/>
      <c r="C68" s="59"/>
      <c r="D68" s="59"/>
      <c r="E68" s="178"/>
      <c r="F68" s="59"/>
      <c r="G68" s="59"/>
      <c r="H68" s="59"/>
      <c r="I68" s="178"/>
      <c r="J68" s="59"/>
      <c r="K68" s="59"/>
      <c r="L68" s="59"/>
      <c r="M68" s="59"/>
      <c r="N68" s="59"/>
      <c r="O68" s="59"/>
      <c r="P68" s="59"/>
      <c r="Q68" s="59"/>
      <c r="R68" s="59"/>
      <c r="S68" s="59"/>
      <c r="T68" s="59"/>
      <c r="U68" s="59"/>
    </row>
    <row r="69" ht="35.25" customHeight="1">
      <c r="A69" s="59"/>
      <c r="B69" s="59"/>
      <c r="C69" s="59"/>
      <c r="D69" s="59"/>
      <c r="E69" s="178"/>
      <c r="F69" s="59"/>
      <c r="G69" s="59"/>
      <c r="H69" s="59"/>
      <c r="I69" s="178"/>
      <c r="J69" s="59"/>
      <c r="K69" s="59"/>
      <c r="L69" s="59"/>
      <c r="M69" s="59"/>
      <c r="N69" s="59"/>
      <c r="O69" s="59"/>
      <c r="P69" s="59"/>
      <c r="Q69" s="59"/>
      <c r="R69" s="59"/>
      <c r="S69" s="59"/>
      <c r="T69" s="59"/>
      <c r="U69" s="59"/>
    </row>
    <row r="70" ht="35.25" customHeight="1">
      <c r="A70" s="59"/>
      <c r="B70" s="59"/>
      <c r="C70" s="59"/>
      <c r="D70" s="59"/>
      <c r="E70" s="178"/>
      <c r="F70" s="59"/>
      <c r="G70" s="59"/>
      <c r="H70" s="59"/>
      <c r="I70" s="178"/>
      <c r="J70" s="59"/>
      <c r="K70" s="59"/>
      <c r="L70" s="59"/>
      <c r="M70" s="59"/>
      <c r="N70" s="59"/>
      <c r="O70" s="59"/>
      <c r="P70" s="59"/>
      <c r="Q70" s="59"/>
      <c r="R70" s="59"/>
      <c r="S70" s="59"/>
      <c r="T70" s="59"/>
      <c r="U70" s="59"/>
    </row>
    <row r="71" ht="35.25" customHeight="1">
      <c r="A71" s="59"/>
      <c r="B71" s="59"/>
      <c r="C71" s="59"/>
      <c r="D71" s="59"/>
      <c r="E71" s="178"/>
      <c r="F71" s="59"/>
      <c r="G71" s="59"/>
      <c r="H71" s="59"/>
      <c r="I71" s="178"/>
      <c r="J71" s="59"/>
      <c r="K71" s="59"/>
      <c r="L71" s="59"/>
      <c r="M71" s="59"/>
      <c r="N71" s="59"/>
      <c r="O71" s="59"/>
      <c r="P71" s="59"/>
      <c r="Q71" s="59"/>
      <c r="R71" s="59"/>
      <c r="S71" s="59"/>
      <c r="T71" s="59"/>
      <c r="U71" s="59"/>
    </row>
    <row r="72" ht="35.25" customHeight="1">
      <c r="A72" s="59"/>
      <c r="B72" s="59"/>
      <c r="C72" s="59"/>
      <c r="D72" s="59"/>
      <c r="E72" s="178"/>
      <c r="F72" s="59"/>
      <c r="G72" s="59"/>
      <c r="H72" s="59"/>
      <c r="I72" s="178"/>
      <c r="J72" s="59"/>
      <c r="K72" s="59"/>
      <c r="L72" s="59"/>
      <c r="M72" s="59"/>
      <c r="N72" s="59"/>
      <c r="O72" s="59"/>
      <c r="P72" s="59"/>
      <c r="Q72" s="59"/>
      <c r="R72" s="59"/>
      <c r="S72" s="59"/>
      <c r="T72" s="59"/>
      <c r="U72" s="59"/>
    </row>
    <row r="73" ht="35.25" customHeight="1">
      <c r="A73" s="59"/>
      <c r="B73" s="59"/>
      <c r="C73" s="59"/>
      <c r="D73" s="59"/>
      <c r="E73" s="178"/>
      <c r="F73" s="59"/>
      <c r="G73" s="59"/>
      <c r="H73" s="59"/>
      <c r="I73" s="178"/>
      <c r="J73" s="59"/>
      <c r="K73" s="59"/>
      <c r="L73" s="59"/>
      <c r="M73" s="59"/>
      <c r="N73" s="59"/>
      <c r="O73" s="59"/>
      <c r="P73" s="59"/>
      <c r="Q73" s="59"/>
      <c r="R73" s="59"/>
      <c r="S73" s="59"/>
      <c r="T73" s="59"/>
      <c r="U73" s="59"/>
    </row>
    <row r="74" ht="35.25" customHeight="1">
      <c r="A74" s="59"/>
      <c r="B74" s="59"/>
      <c r="C74" s="59"/>
      <c r="D74" s="59"/>
      <c r="E74" s="178"/>
      <c r="F74" s="59"/>
      <c r="G74" s="59"/>
      <c r="H74" s="59"/>
      <c r="I74" s="178"/>
      <c r="J74" s="59"/>
      <c r="K74" s="59"/>
      <c r="L74" s="59"/>
      <c r="M74" s="59"/>
      <c r="N74" s="59"/>
      <c r="O74" s="59"/>
      <c r="P74" s="59"/>
      <c r="Q74" s="59"/>
      <c r="R74" s="59"/>
      <c r="S74" s="59"/>
      <c r="T74" s="59"/>
      <c r="U74" s="59"/>
    </row>
    <row r="75" ht="35.25" customHeight="1">
      <c r="A75" s="59"/>
      <c r="B75" s="59"/>
      <c r="C75" s="59"/>
      <c r="D75" s="59"/>
      <c r="E75" s="178"/>
      <c r="F75" s="59"/>
      <c r="G75" s="59"/>
      <c r="H75" s="59"/>
      <c r="I75" s="178"/>
      <c r="J75" s="59"/>
      <c r="K75" s="59"/>
      <c r="L75" s="59"/>
      <c r="M75" s="59"/>
      <c r="N75" s="59"/>
      <c r="O75" s="59"/>
      <c r="P75" s="59"/>
      <c r="Q75" s="59"/>
      <c r="R75" s="59"/>
      <c r="S75" s="59"/>
      <c r="T75" s="59"/>
      <c r="U75" s="59"/>
    </row>
    <row r="76" ht="35.25" customHeight="1">
      <c r="A76" s="59"/>
      <c r="B76" s="59"/>
      <c r="C76" s="59"/>
      <c r="D76" s="59"/>
      <c r="E76" s="178"/>
      <c r="F76" s="59"/>
      <c r="G76" s="59"/>
      <c r="H76" s="59"/>
      <c r="I76" s="178"/>
      <c r="J76" s="59"/>
      <c r="K76" s="59"/>
      <c r="L76" s="59"/>
      <c r="M76" s="59"/>
      <c r="N76" s="59"/>
      <c r="O76" s="59"/>
      <c r="P76" s="59"/>
      <c r="Q76" s="59"/>
      <c r="R76" s="59"/>
      <c r="S76" s="59"/>
      <c r="T76" s="59"/>
      <c r="U76" s="59"/>
    </row>
    <row r="77" ht="35.25" customHeight="1">
      <c r="A77" s="59"/>
      <c r="B77" s="59"/>
      <c r="C77" s="59"/>
      <c r="D77" s="59"/>
      <c r="E77" s="178"/>
      <c r="F77" s="59"/>
      <c r="G77" s="59"/>
      <c r="H77" s="59"/>
      <c r="I77" s="178"/>
      <c r="J77" s="59"/>
      <c r="K77" s="59"/>
      <c r="L77" s="59"/>
      <c r="M77" s="59"/>
      <c r="N77" s="59"/>
      <c r="O77" s="59"/>
      <c r="P77" s="59"/>
      <c r="Q77" s="59"/>
      <c r="R77" s="59"/>
      <c r="S77" s="59"/>
      <c r="T77" s="59"/>
      <c r="U77" s="59"/>
    </row>
    <row r="78" ht="35.25" customHeight="1">
      <c r="A78" s="59"/>
      <c r="B78" s="59"/>
      <c r="C78" s="59"/>
      <c r="D78" s="59"/>
      <c r="E78" s="178"/>
      <c r="F78" s="59"/>
      <c r="G78" s="59"/>
      <c r="H78" s="59"/>
      <c r="I78" s="178"/>
      <c r="J78" s="59"/>
      <c r="K78" s="59"/>
      <c r="L78" s="59"/>
      <c r="M78" s="59"/>
      <c r="N78" s="59"/>
      <c r="O78" s="59"/>
      <c r="P78" s="59"/>
      <c r="Q78" s="59"/>
      <c r="R78" s="59"/>
      <c r="S78" s="59"/>
      <c r="T78" s="59"/>
      <c r="U78" s="59"/>
    </row>
    <row r="79" ht="35.25" customHeight="1">
      <c r="A79" s="59"/>
      <c r="B79" s="59"/>
      <c r="C79" s="59"/>
      <c r="D79" s="59"/>
      <c r="E79" s="178"/>
      <c r="F79" s="59"/>
      <c r="G79" s="59"/>
      <c r="H79" s="59"/>
      <c r="I79" s="178"/>
      <c r="J79" s="59"/>
      <c r="K79" s="59"/>
      <c r="L79" s="59"/>
      <c r="M79" s="59"/>
      <c r="N79" s="59"/>
      <c r="O79" s="59"/>
      <c r="P79" s="59"/>
      <c r="Q79" s="59"/>
      <c r="R79" s="59"/>
      <c r="S79" s="59"/>
      <c r="T79" s="59"/>
      <c r="U79" s="59"/>
    </row>
    <row r="80" ht="35.25" customHeight="1">
      <c r="A80" s="59"/>
      <c r="B80" s="59"/>
      <c r="C80" s="59"/>
      <c r="D80" s="59"/>
      <c r="E80" s="178"/>
      <c r="F80" s="59"/>
      <c r="G80" s="59"/>
      <c r="H80" s="59"/>
      <c r="I80" s="178"/>
      <c r="J80" s="59"/>
      <c r="K80" s="59"/>
      <c r="L80" s="59"/>
      <c r="M80" s="59"/>
      <c r="N80" s="59"/>
      <c r="O80" s="59"/>
      <c r="P80" s="59"/>
      <c r="Q80" s="59"/>
      <c r="R80" s="59"/>
      <c r="S80" s="59"/>
      <c r="T80" s="59"/>
      <c r="U80" s="59"/>
    </row>
    <row r="81" ht="35.25" customHeight="1">
      <c r="A81" s="59"/>
      <c r="B81" s="59"/>
      <c r="C81" s="59"/>
      <c r="D81" s="59"/>
      <c r="E81" s="178"/>
      <c r="F81" s="59"/>
      <c r="G81" s="59"/>
      <c r="H81" s="59"/>
      <c r="I81" s="178"/>
      <c r="J81" s="59"/>
      <c r="K81" s="59"/>
      <c r="L81" s="59"/>
      <c r="M81" s="59"/>
      <c r="N81" s="59"/>
      <c r="O81" s="59"/>
      <c r="P81" s="59"/>
      <c r="Q81" s="59"/>
      <c r="R81" s="59"/>
      <c r="S81" s="59"/>
      <c r="T81" s="59"/>
      <c r="U81" s="59"/>
    </row>
    <row r="82" ht="35.25" customHeight="1">
      <c r="A82" s="59"/>
      <c r="B82" s="59"/>
      <c r="C82" s="59"/>
      <c r="D82" s="59"/>
      <c r="E82" s="178"/>
      <c r="F82" s="59"/>
      <c r="G82" s="59"/>
      <c r="H82" s="59"/>
      <c r="I82" s="178"/>
      <c r="J82" s="59"/>
      <c r="K82" s="59"/>
      <c r="L82" s="59"/>
      <c r="M82" s="59"/>
      <c r="N82" s="59"/>
      <c r="O82" s="59"/>
      <c r="P82" s="59"/>
      <c r="Q82" s="59"/>
      <c r="R82" s="59"/>
      <c r="S82" s="59"/>
      <c r="T82" s="59"/>
      <c r="U82" s="59"/>
    </row>
    <row r="83" ht="35.25" customHeight="1">
      <c r="A83" s="59"/>
      <c r="B83" s="59"/>
      <c r="C83" s="59"/>
      <c r="D83" s="59"/>
      <c r="E83" s="178"/>
      <c r="F83" s="59"/>
      <c r="G83" s="59"/>
      <c r="H83" s="59"/>
      <c r="I83" s="178"/>
      <c r="J83" s="59"/>
      <c r="K83" s="59"/>
      <c r="L83" s="59"/>
      <c r="M83" s="59"/>
      <c r="N83" s="59"/>
      <c r="O83" s="59"/>
      <c r="P83" s="59"/>
      <c r="Q83" s="59"/>
      <c r="R83" s="59"/>
      <c r="S83" s="59"/>
      <c r="T83" s="59"/>
      <c r="U83" s="59"/>
    </row>
    <row r="84" ht="35.25" customHeight="1">
      <c r="A84" s="59"/>
      <c r="B84" s="59"/>
      <c r="C84" s="59"/>
      <c r="D84" s="59"/>
      <c r="E84" s="178"/>
      <c r="F84" s="59"/>
      <c r="G84" s="59"/>
      <c r="H84" s="59"/>
      <c r="I84" s="178"/>
      <c r="J84" s="59"/>
      <c r="K84" s="59"/>
      <c r="L84" s="59"/>
      <c r="M84" s="59"/>
      <c r="N84" s="59"/>
      <c r="O84" s="59"/>
      <c r="P84" s="59"/>
      <c r="Q84" s="59"/>
      <c r="R84" s="59"/>
      <c r="S84" s="59"/>
      <c r="T84" s="59"/>
      <c r="U84" s="59"/>
    </row>
    <row r="85" ht="35.25" customHeight="1">
      <c r="A85" s="59"/>
      <c r="B85" s="59"/>
      <c r="C85" s="59"/>
      <c r="D85" s="59"/>
      <c r="E85" s="178"/>
      <c r="F85" s="59"/>
      <c r="G85" s="59"/>
      <c r="H85" s="59"/>
      <c r="I85" s="178"/>
      <c r="J85" s="59"/>
      <c r="K85" s="59"/>
      <c r="L85" s="59"/>
      <c r="M85" s="59"/>
      <c r="N85" s="59"/>
      <c r="O85" s="59"/>
      <c r="P85" s="59"/>
      <c r="Q85" s="59"/>
      <c r="R85" s="59"/>
      <c r="S85" s="59"/>
      <c r="T85" s="59"/>
      <c r="U85" s="59"/>
    </row>
    <row r="86" ht="35.25" customHeight="1">
      <c r="A86" s="59"/>
      <c r="B86" s="59"/>
      <c r="C86" s="59"/>
      <c r="D86" s="59"/>
      <c r="E86" s="178"/>
      <c r="F86" s="59"/>
      <c r="G86" s="59"/>
      <c r="H86" s="59"/>
      <c r="I86" s="178"/>
      <c r="J86" s="59"/>
      <c r="K86" s="59"/>
      <c r="L86" s="59"/>
      <c r="M86" s="59"/>
      <c r="N86" s="59"/>
      <c r="O86" s="59"/>
      <c r="P86" s="59"/>
      <c r="Q86" s="59"/>
      <c r="R86" s="59"/>
      <c r="S86" s="59"/>
      <c r="T86" s="59"/>
      <c r="U86" s="59"/>
    </row>
    <row r="87" ht="35.25" customHeight="1">
      <c r="A87" s="59"/>
      <c r="B87" s="59"/>
      <c r="C87" s="59"/>
      <c r="D87" s="59"/>
      <c r="E87" s="178"/>
      <c r="F87" s="59"/>
      <c r="G87" s="59"/>
      <c r="H87" s="59"/>
      <c r="I87" s="178"/>
      <c r="J87" s="59"/>
      <c r="K87" s="59"/>
      <c r="L87" s="59"/>
      <c r="M87" s="59"/>
      <c r="N87" s="59"/>
      <c r="O87" s="59"/>
      <c r="P87" s="59"/>
      <c r="Q87" s="59"/>
      <c r="R87" s="59"/>
      <c r="S87" s="59"/>
      <c r="T87" s="59"/>
      <c r="U87" s="59"/>
    </row>
    <row r="88" ht="35.25" customHeight="1">
      <c r="A88" s="59"/>
      <c r="B88" s="59"/>
      <c r="C88" s="59"/>
      <c r="D88" s="59"/>
      <c r="E88" s="178"/>
      <c r="F88" s="59"/>
      <c r="G88" s="59"/>
      <c r="H88" s="59"/>
      <c r="I88" s="178"/>
      <c r="J88" s="59"/>
      <c r="K88" s="59"/>
      <c r="L88" s="59"/>
      <c r="M88" s="59"/>
      <c r="N88" s="59"/>
      <c r="O88" s="59"/>
      <c r="P88" s="59"/>
      <c r="Q88" s="59"/>
      <c r="R88" s="59"/>
      <c r="S88" s="59"/>
      <c r="T88" s="59"/>
      <c r="U88" s="59"/>
    </row>
    <row r="89" ht="35.25" customHeight="1">
      <c r="A89" s="59"/>
      <c r="B89" s="59"/>
      <c r="C89" s="59"/>
      <c r="D89" s="59"/>
      <c r="E89" s="178"/>
      <c r="F89" s="59"/>
      <c r="G89" s="59"/>
      <c r="H89" s="59"/>
      <c r="I89" s="178"/>
      <c r="J89" s="59"/>
      <c r="K89" s="59"/>
      <c r="L89" s="59"/>
      <c r="M89" s="59"/>
      <c r="N89" s="59"/>
      <c r="O89" s="59"/>
      <c r="P89" s="59"/>
      <c r="Q89" s="59"/>
      <c r="R89" s="59"/>
      <c r="S89" s="59"/>
      <c r="T89" s="59"/>
      <c r="U89" s="59"/>
    </row>
    <row r="90" ht="35.25" customHeight="1">
      <c r="A90" s="59"/>
      <c r="B90" s="59"/>
      <c r="C90" s="59"/>
      <c r="D90" s="59"/>
      <c r="E90" s="178"/>
      <c r="F90" s="59"/>
      <c r="G90" s="59"/>
      <c r="H90" s="59"/>
      <c r="I90" s="178"/>
      <c r="J90" s="59"/>
      <c r="K90" s="59"/>
      <c r="L90" s="59"/>
      <c r="M90" s="59"/>
      <c r="N90" s="59"/>
      <c r="O90" s="59"/>
      <c r="P90" s="59"/>
      <c r="Q90" s="59"/>
      <c r="R90" s="59"/>
      <c r="S90" s="59"/>
      <c r="T90" s="59"/>
      <c r="U90" s="59"/>
    </row>
    <row r="91" ht="35.25" customHeight="1">
      <c r="A91" s="59"/>
      <c r="B91" s="59"/>
      <c r="C91" s="59"/>
      <c r="D91" s="59"/>
      <c r="E91" s="178"/>
      <c r="F91" s="59"/>
      <c r="G91" s="59"/>
      <c r="H91" s="59"/>
      <c r="I91" s="178"/>
      <c r="J91" s="59"/>
      <c r="K91" s="59"/>
      <c r="L91" s="59"/>
      <c r="M91" s="59"/>
      <c r="N91" s="59"/>
      <c r="O91" s="59"/>
      <c r="P91" s="59"/>
      <c r="Q91" s="59"/>
      <c r="R91" s="59"/>
      <c r="S91" s="59"/>
      <c r="T91" s="59"/>
      <c r="U91" s="59"/>
    </row>
    <row r="92" ht="35.25" customHeight="1">
      <c r="A92" s="59"/>
      <c r="B92" s="59"/>
      <c r="C92" s="59"/>
      <c r="D92" s="59"/>
      <c r="E92" s="178"/>
      <c r="F92" s="59"/>
      <c r="G92" s="59"/>
      <c r="H92" s="59"/>
      <c r="I92" s="178"/>
      <c r="J92" s="59"/>
      <c r="K92" s="59"/>
      <c r="L92" s="59"/>
      <c r="M92" s="59"/>
      <c r="N92" s="59"/>
      <c r="O92" s="59"/>
      <c r="P92" s="59"/>
      <c r="Q92" s="59"/>
      <c r="R92" s="59"/>
      <c r="S92" s="59"/>
      <c r="T92" s="59"/>
      <c r="U92" s="59"/>
    </row>
    <row r="93" ht="35.25" customHeight="1">
      <c r="A93" s="59"/>
      <c r="B93" s="59"/>
      <c r="C93" s="59"/>
      <c r="D93" s="59"/>
      <c r="E93" s="178"/>
      <c r="F93" s="59"/>
      <c r="G93" s="59"/>
      <c r="H93" s="59"/>
      <c r="I93" s="178"/>
      <c r="J93" s="59"/>
      <c r="K93" s="59"/>
      <c r="L93" s="59"/>
      <c r="M93" s="59"/>
      <c r="N93" s="59"/>
      <c r="O93" s="59"/>
      <c r="P93" s="59"/>
      <c r="Q93" s="59"/>
      <c r="R93" s="59"/>
      <c r="S93" s="59"/>
      <c r="T93" s="59"/>
      <c r="U93" s="59"/>
    </row>
    <row r="94" ht="35.25" customHeight="1">
      <c r="A94" s="59"/>
      <c r="B94" s="59"/>
      <c r="C94" s="59"/>
      <c r="D94" s="59"/>
      <c r="E94" s="178"/>
      <c r="F94" s="59"/>
      <c r="G94" s="59"/>
      <c r="H94" s="59"/>
      <c r="I94" s="178"/>
      <c r="J94" s="59"/>
      <c r="K94" s="59"/>
      <c r="L94" s="59"/>
      <c r="M94" s="59"/>
      <c r="N94" s="59"/>
      <c r="O94" s="59"/>
      <c r="P94" s="59"/>
      <c r="Q94" s="59"/>
      <c r="R94" s="59"/>
      <c r="S94" s="59"/>
      <c r="T94" s="59"/>
      <c r="U94" s="59"/>
    </row>
    <row r="95" ht="35.25" customHeight="1">
      <c r="A95" s="59"/>
      <c r="B95" s="59"/>
      <c r="C95" s="59"/>
      <c r="D95" s="59"/>
      <c r="E95" s="178"/>
      <c r="F95" s="59"/>
      <c r="G95" s="59"/>
      <c r="H95" s="59"/>
      <c r="I95" s="178"/>
      <c r="J95" s="59"/>
      <c r="K95" s="59"/>
      <c r="L95" s="59"/>
      <c r="M95" s="59"/>
      <c r="N95" s="59"/>
      <c r="O95" s="59"/>
      <c r="P95" s="59"/>
      <c r="Q95" s="59"/>
      <c r="R95" s="59"/>
      <c r="S95" s="59"/>
      <c r="T95" s="59"/>
      <c r="U95" s="59"/>
    </row>
    <row r="96" ht="35.25" customHeight="1">
      <c r="A96" s="59"/>
      <c r="B96" s="59"/>
      <c r="C96" s="59"/>
      <c r="D96" s="59"/>
      <c r="E96" s="178"/>
      <c r="F96" s="59"/>
      <c r="G96" s="59"/>
      <c r="H96" s="59"/>
      <c r="I96" s="178"/>
      <c r="J96" s="59"/>
      <c r="K96" s="59"/>
      <c r="L96" s="59"/>
      <c r="M96" s="59"/>
      <c r="N96" s="59"/>
      <c r="O96" s="59"/>
      <c r="P96" s="59"/>
      <c r="Q96" s="59"/>
      <c r="R96" s="59"/>
      <c r="S96" s="59"/>
      <c r="T96" s="59"/>
      <c r="U96" s="59"/>
    </row>
    <row r="97" ht="35.25" customHeight="1">
      <c r="A97" s="59"/>
      <c r="B97" s="59"/>
      <c r="C97" s="59"/>
      <c r="D97" s="59"/>
      <c r="E97" s="178"/>
      <c r="F97" s="59"/>
      <c r="G97" s="59"/>
      <c r="H97" s="59"/>
      <c r="I97" s="178"/>
      <c r="J97" s="59"/>
      <c r="K97" s="59"/>
      <c r="L97" s="59"/>
      <c r="M97" s="59"/>
      <c r="N97" s="59"/>
      <c r="O97" s="59"/>
      <c r="P97" s="59"/>
      <c r="Q97" s="59"/>
      <c r="R97" s="59"/>
      <c r="S97" s="59"/>
      <c r="T97" s="59"/>
      <c r="U97" s="59"/>
    </row>
    <row r="98" ht="35.25" customHeight="1">
      <c r="A98" s="59"/>
      <c r="B98" s="59"/>
      <c r="C98" s="59"/>
      <c r="D98" s="59"/>
      <c r="E98" s="178"/>
      <c r="F98" s="59"/>
      <c r="G98" s="59"/>
      <c r="H98" s="59"/>
      <c r="I98" s="178"/>
      <c r="J98" s="59"/>
      <c r="K98" s="59"/>
      <c r="L98" s="59"/>
      <c r="M98" s="59"/>
      <c r="N98" s="59"/>
      <c r="O98" s="59"/>
      <c r="P98" s="59"/>
      <c r="Q98" s="59"/>
      <c r="R98" s="59"/>
      <c r="S98" s="59"/>
      <c r="T98" s="59"/>
      <c r="U98" s="59"/>
    </row>
    <row r="99" ht="35.25" customHeight="1">
      <c r="A99" s="59"/>
      <c r="B99" s="59"/>
      <c r="C99" s="59"/>
      <c r="D99" s="59"/>
      <c r="E99" s="178"/>
      <c r="F99" s="59"/>
      <c r="G99" s="59"/>
      <c r="H99" s="59"/>
      <c r="I99" s="178"/>
      <c r="J99" s="59"/>
      <c r="K99" s="59"/>
      <c r="L99" s="59"/>
      <c r="M99" s="59"/>
      <c r="N99" s="59"/>
      <c r="O99" s="59"/>
      <c r="P99" s="59"/>
      <c r="Q99" s="59"/>
      <c r="R99" s="59"/>
      <c r="S99" s="59"/>
      <c r="T99" s="59"/>
      <c r="U99" s="59"/>
    </row>
    <row r="100" ht="35.25" customHeight="1">
      <c r="A100" s="59"/>
      <c r="B100" s="59"/>
      <c r="C100" s="59"/>
      <c r="D100" s="59"/>
      <c r="E100" s="178"/>
      <c r="F100" s="59"/>
      <c r="G100" s="59"/>
      <c r="H100" s="59"/>
      <c r="I100" s="178"/>
      <c r="J100" s="59"/>
      <c r="K100" s="59"/>
      <c r="L100" s="59"/>
      <c r="M100" s="59"/>
      <c r="N100" s="59"/>
      <c r="O100" s="59"/>
      <c r="P100" s="59"/>
      <c r="Q100" s="59"/>
      <c r="R100" s="59"/>
      <c r="S100" s="59"/>
      <c r="T100" s="59"/>
      <c r="U100" s="59"/>
    </row>
    <row r="101" ht="35.25" customHeight="1">
      <c r="A101" s="59"/>
      <c r="B101" s="59"/>
      <c r="C101" s="59"/>
      <c r="D101" s="59"/>
      <c r="E101" s="178"/>
      <c r="F101" s="59"/>
      <c r="G101" s="59"/>
      <c r="H101" s="59"/>
      <c r="I101" s="178"/>
      <c r="J101" s="59"/>
      <c r="K101" s="59"/>
      <c r="L101" s="59"/>
      <c r="M101" s="59"/>
      <c r="N101" s="59"/>
      <c r="O101" s="59"/>
      <c r="P101" s="59"/>
      <c r="Q101" s="59"/>
      <c r="R101" s="59"/>
      <c r="S101" s="59"/>
      <c r="T101" s="59"/>
      <c r="U101" s="59"/>
    </row>
    <row r="102" ht="35.25" customHeight="1">
      <c r="A102" s="59"/>
      <c r="B102" s="59"/>
      <c r="C102" s="59"/>
      <c r="D102" s="59"/>
      <c r="E102" s="178"/>
      <c r="F102" s="59"/>
      <c r="G102" s="59"/>
      <c r="H102" s="59"/>
      <c r="I102" s="178"/>
      <c r="J102" s="59"/>
      <c r="K102" s="59"/>
      <c r="L102" s="59"/>
      <c r="M102" s="59"/>
      <c r="N102" s="59"/>
      <c r="O102" s="59"/>
      <c r="P102" s="59"/>
      <c r="Q102" s="59"/>
      <c r="R102" s="59"/>
      <c r="S102" s="59"/>
      <c r="T102" s="59"/>
      <c r="U102" s="59"/>
    </row>
    <row r="103" ht="35.25" customHeight="1">
      <c r="A103" s="59"/>
      <c r="B103" s="59"/>
      <c r="C103" s="59"/>
      <c r="D103" s="59"/>
      <c r="E103" s="178"/>
      <c r="F103" s="59"/>
      <c r="G103" s="59"/>
      <c r="H103" s="59"/>
      <c r="I103" s="178"/>
      <c r="J103" s="59"/>
      <c r="K103" s="59"/>
      <c r="L103" s="59"/>
      <c r="M103" s="59"/>
      <c r="N103" s="59"/>
      <c r="O103" s="59"/>
      <c r="P103" s="59"/>
      <c r="Q103" s="59"/>
      <c r="R103" s="59"/>
      <c r="S103" s="59"/>
      <c r="T103" s="59"/>
      <c r="U103" s="59"/>
    </row>
    <row r="104" ht="35.25" customHeight="1">
      <c r="A104" s="59"/>
      <c r="B104" s="59"/>
      <c r="C104" s="59"/>
      <c r="D104" s="59"/>
      <c r="E104" s="178"/>
      <c r="F104" s="59"/>
      <c r="G104" s="59"/>
      <c r="H104" s="59"/>
      <c r="I104" s="178"/>
      <c r="J104" s="59"/>
      <c r="K104" s="59"/>
      <c r="L104" s="59"/>
      <c r="M104" s="59"/>
      <c r="N104" s="59"/>
      <c r="O104" s="59"/>
      <c r="P104" s="59"/>
      <c r="Q104" s="59"/>
      <c r="R104" s="59"/>
      <c r="S104" s="59"/>
      <c r="T104" s="59"/>
      <c r="U104" s="59"/>
    </row>
    <row r="105" ht="35.25" customHeight="1">
      <c r="A105" s="59"/>
      <c r="B105" s="59"/>
      <c r="C105" s="59"/>
      <c r="D105" s="59"/>
      <c r="E105" s="178"/>
      <c r="F105" s="59"/>
      <c r="G105" s="59"/>
      <c r="H105" s="59"/>
      <c r="I105" s="178"/>
      <c r="J105" s="59"/>
      <c r="K105" s="59"/>
      <c r="L105" s="59"/>
      <c r="M105" s="59"/>
      <c r="N105" s="59"/>
      <c r="O105" s="59"/>
      <c r="P105" s="59"/>
      <c r="Q105" s="59"/>
      <c r="R105" s="59"/>
      <c r="S105" s="59"/>
      <c r="T105" s="59"/>
      <c r="U105" s="59"/>
    </row>
    <row r="106" ht="35.25" customHeight="1">
      <c r="A106" s="59"/>
      <c r="B106" s="59"/>
      <c r="C106" s="59"/>
      <c r="D106" s="59"/>
      <c r="E106" s="178"/>
      <c r="F106" s="59"/>
      <c r="G106" s="59"/>
      <c r="H106" s="59"/>
      <c r="I106" s="178"/>
      <c r="J106" s="59"/>
      <c r="K106" s="59"/>
      <c r="L106" s="59"/>
      <c r="M106" s="59"/>
      <c r="N106" s="59"/>
      <c r="O106" s="59"/>
      <c r="P106" s="59"/>
      <c r="Q106" s="59"/>
      <c r="R106" s="59"/>
      <c r="S106" s="59"/>
      <c r="T106" s="59"/>
      <c r="U106" s="59"/>
    </row>
    <row r="107" ht="35.25" customHeight="1">
      <c r="A107" s="59"/>
      <c r="B107" s="59"/>
      <c r="C107" s="59"/>
      <c r="D107" s="59"/>
      <c r="E107" s="178"/>
      <c r="F107" s="59"/>
      <c r="G107" s="59"/>
      <c r="H107" s="59"/>
      <c r="I107" s="178"/>
      <c r="J107" s="59"/>
      <c r="K107" s="59"/>
      <c r="L107" s="59"/>
      <c r="M107" s="59"/>
      <c r="N107" s="59"/>
      <c r="O107" s="59"/>
      <c r="P107" s="59"/>
      <c r="Q107" s="59"/>
      <c r="R107" s="59"/>
      <c r="S107" s="59"/>
      <c r="T107" s="59"/>
      <c r="U107" s="59"/>
    </row>
    <row r="108" ht="35.25" customHeight="1">
      <c r="A108" s="59"/>
      <c r="B108" s="59"/>
      <c r="C108" s="59"/>
      <c r="D108" s="59"/>
      <c r="E108" s="178"/>
      <c r="F108" s="59"/>
      <c r="G108" s="59"/>
      <c r="H108" s="59"/>
      <c r="I108" s="178"/>
      <c r="J108" s="59"/>
      <c r="K108" s="59"/>
      <c r="L108" s="59"/>
      <c r="M108" s="59"/>
      <c r="N108" s="59"/>
      <c r="O108" s="59"/>
      <c r="P108" s="59"/>
      <c r="Q108" s="59"/>
      <c r="R108" s="59"/>
      <c r="S108" s="59"/>
      <c r="T108" s="59"/>
      <c r="U108" s="59"/>
    </row>
    <row r="109" ht="35.25" customHeight="1">
      <c r="A109" s="59"/>
      <c r="B109" s="59"/>
      <c r="C109" s="59"/>
      <c r="D109" s="59"/>
      <c r="E109" s="178"/>
      <c r="F109" s="59"/>
      <c r="G109" s="59"/>
      <c r="H109" s="59"/>
      <c r="I109" s="178"/>
      <c r="J109" s="59"/>
      <c r="K109" s="59"/>
      <c r="L109" s="59"/>
      <c r="M109" s="59"/>
      <c r="N109" s="59"/>
      <c r="O109" s="59"/>
      <c r="P109" s="59"/>
      <c r="Q109" s="59"/>
      <c r="R109" s="59"/>
      <c r="S109" s="59"/>
      <c r="T109" s="59"/>
      <c r="U109" s="59"/>
    </row>
    <row r="110" ht="35.25" customHeight="1">
      <c r="A110" s="59"/>
      <c r="B110" s="59"/>
      <c r="C110" s="59"/>
      <c r="D110" s="59"/>
      <c r="E110" s="178"/>
      <c r="F110" s="59"/>
      <c r="G110" s="59"/>
      <c r="H110" s="59"/>
      <c r="I110" s="178"/>
      <c r="J110" s="59"/>
      <c r="K110" s="59"/>
      <c r="L110" s="59"/>
      <c r="M110" s="59"/>
      <c r="N110" s="59"/>
      <c r="O110" s="59"/>
      <c r="P110" s="59"/>
      <c r="Q110" s="59"/>
      <c r="R110" s="59"/>
      <c r="S110" s="59"/>
      <c r="T110" s="59"/>
      <c r="U110" s="59"/>
    </row>
    <row r="111" ht="35.25" customHeight="1">
      <c r="A111" s="59"/>
      <c r="B111" s="59"/>
      <c r="C111" s="59"/>
      <c r="D111" s="59"/>
      <c r="E111" s="178"/>
      <c r="F111" s="59"/>
      <c r="G111" s="59"/>
      <c r="H111" s="59"/>
      <c r="I111" s="178"/>
      <c r="J111" s="59"/>
      <c r="K111" s="59"/>
      <c r="L111" s="59"/>
      <c r="M111" s="59"/>
      <c r="N111" s="59"/>
      <c r="O111" s="59"/>
      <c r="P111" s="59"/>
      <c r="Q111" s="59"/>
      <c r="R111" s="59"/>
      <c r="S111" s="59"/>
      <c r="T111" s="59"/>
      <c r="U111" s="59"/>
    </row>
    <row r="112" ht="35.25" customHeight="1">
      <c r="A112" s="59"/>
      <c r="B112" s="59"/>
      <c r="C112" s="59"/>
      <c r="D112" s="59"/>
      <c r="E112" s="178"/>
      <c r="F112" s="59"/>
      <c r="G112" s="59"/>
      <c r="H112" s="59"/>
      <c r="I112" s="178"/>
      <c r="J112" s="59"/>
      <c r="K112" s="59"/>
      <c r="L112" s="59"/>
      <c r="M112" s="59"/>
      <c r="N112" s="59"/>
      <c r="O112" s="59"/>
      <c r="P112" s="59"/>
      <c r="Q112" s="59"/>
      <c r="R112" s="59"/>
      <c r="S112" s="59"/>
      <c r="T112" s="59"/>
      <c r="U112" s="59"/>
    </row>
    <row r="113" ht="35.25" customHeight="1">
      <c r="A113" s="59"/>
      <c r="B113" s="59"/>
      <c r="C113" s="59"/>
      <c r="D113" s="59"/>
      <c r="E113" s="178"/>
      <c r="F113" s="59"/>
      <c r="G113" s="59"/>
      <c r="H113" s="59"/>
      <c r="I113" s="178"/>
      <c r="J113" s="59"/>
      <c r="K113" s="59"/>
      <c r="L113" s="59"/>
      <c r="M113" s="59"/>
      <c r="N113" s="59"/>
      <c r="O113" s="59"/>
      <c r="P113" s="59"/>
      <c r="Q113" s="59"/>
      <c r="R113" s="59"/>
      <c r="S113" s="59"/>
      <c r="T113" s="59"/>
      <c r="U113" s="59"/>
    </row>
    <row r="114" ht="35.25" customHeight="1">
      <c r="A114" s="59"/>
      <c r="B114" s="59"/>
      <c r="C114" s="59"/>
      <c r="D114" s="59"/>
      <c r="E114" s="178"/>
      <c r="F114" s="59"/>
      <c r="G114" s="59"/>
      <c r="H114" s="59"/>
      <c r="I114" s="178"/>
      <c r="J114" s="59"/>
      <c r="K114" s="59"/>
      <c r="L114" s="59"/>
      <c r="M114" s="59"/>
      <c r="N114" s="59"/>
      <c r="O114" s="59"/>
      <c r="P114" s="59"/>
      <c r="Q114" s="59"/>
      <c r="R114" s="59"/>
      <c r="S114" s="59"/>
      <c r="T114" s="59"/>
      <c r="U114" s="59"/>
    </row>
    <row r="115" ht="35.25" customHeight="1">
      <c r="A115" s="59"/>
      <c r="B115" s="59"/>
      <c r="C115" s="59"/>
      <c r="D115" s="59"/>
      <c r="E115" s="178"/>
      <c r="F115" s="59"/>
      <c r="G115" s="59"/>
      <c r="H115" s="59"/>
      <c r="I115" s="178"/>
      <c r="J115" s="59"/>
      <c r="K115" s="59"/>
      <c r="L115" s="59"/>
      <c r="M115" s="59"/>
      <c r="N115" s="59"/>
      <c r="O115" s="59"/>
      <c r="P115" s="59"/>
      <c r="Q115" s="59"/>
      <c r="R115" s="59"/>
      <c r="S115" s="59"/>
      <c r="T115" s="59"/>
      <c r="U115" s="59"/>
    </row>
    <row r="116" ht="35.25" customHeight="1">
      <c r="A116" s="59"/>
      <c r="B116" s="59"/>
      <c r="C116" s="59"/>
      <c r="D116" s="59"/>
      <c r="E116" s="178"/>
      <c r="F116" s="59"/>
      <c r="G116" s="59"/>
      <c r="H116" s="59"/>
      <c r="I116" s="178"/>
      <c r="J116" s="59"/>
      <c r="K116" s="59"/>
      <c r="L116" s="59"/>
      <c r="M116" s="59"/>
      <c r="N116" s="59"/>
      <c r="O116" s="59"/>
      <c r="P116" s="59"/>
      <c r="Q116" s="59"/>
      <c r="R116" s="59"/>
      <c r="S116" s="59"/>
      <c r="T116" s="59"/>
      <c r="U116" s="59"/>
    </row>
    <row r="117" ht="35.25" customHeight="1">
      <c r="A117" s="59"/>
      <c r="B117" s="59"/>
      <c r="C117" s="59"/>
      <c r="D117" s="59"/>
      <c r="E117" s="178"/>
      <c r="F117" s="59"/>
      <c r="G117" s="59"/>
      <c r="H117" s="59"/>
      <c r="I117" s="178"/>
      <c r="J117" s="59"/>
      <c r="K117" s="59"/>
      <c r="L117" s="59"/>
      <c r="M117" s="59"/>
      <c r="N117" s="59"/>
      <c r="O117" s="59"/>
      <c r="P117" s="59"/>
      <c r="Q117" s="59"/>
      <c r="R117" s="59"/>
      <c r="S117" s="59"/>
      <c r="T117" s="59"/>
      <c r="U117" s="59"/>
    </row>
    <row r="118" ht="35.25" customHeight="1">
      <c r="A118" s="59"/>
      <c r="B118" s="59"/>
      <c r="C118" s="59"/>
      <c r="D118" s="59"/>
      <c r="E118" s="178"/>
      <c r="F118" s="59"/>
      <c r="G118" s="59"/>
      <c r="H118" s="59"/>
      <c r="I118" s="178"/>
      <c r="J118" s="59"/>
      <c r="K118" s="59"/>
      <c r="L118" s="59"/>
      <c r="M118" s="59"/>
      <c r="N118" s="59"/>
      <c r="O118" s="59"/>
      <c r="P118" s="59"/>
      <c r="Q118" s="59"/>
      <c r="R118" s="59"/>
      <c r="S118" s="59"/>
      <c r="T118" s="59"/>
      <c r="U118" s="59"/>
    </row>
    <row r="119" ht="35.25" customHeight="1">
      <c r="A119" s="59"/>
      <c r="B119" s="59"/>
      <c r="C119" s="59"/>
      <c r="D119" s="59"/>
      <c r="E119" s="178"/>
      <c r="F119" s="59"/>
      <c r="G119" s="59"/>
      <c r="H119" s="59"/>
      <c r="I119" s="178"/>
      <c r="J119" s="59"/>
      <c r="K119" s="59"/>
      <c r="L119" s="59"/>
      <c r="M119" s="59"/>
      <c r="N119" s="59"/>
      <c r="O119" s="59"/>
      <c r="P119" s="59"/>
      <c r="Q119" s="59"/>
      <c r="R119" s="59"/>
      <c r="S119" s="59"/>
      <c r="T119" s="59"/>
      <c r="U119" s="59"/>
    </row>
    <row r="120" ht="35.25" customHeight="1">
      <c r="A120" s="59"/>
      <c r="B120" s="59"/>
      <c r="C120" s="59"/>
      <c r="D120" s="59"/>
      <c r="E120" s="178"/>
      <c r="F120" s="59"/>
      <c r="G120" s="59"/>
      <c r="H120" s="59"/>
      <c r="I120" s="178"/>
      <c r="J120" s="59"/>
      <c r="K120" s="59"/>
      <c r="L120" s="59"/>
      <c r="M120" s="59"/>
      <c r="N120" s="59"/>
      <c r="O120" s="59"/>
      <c r="P120" s="59"/>
      <c r="Q120" s="59"/>
      <c r="R120" s="59"/>
      <c r="S120" s="59"/>
      <c r="T120" s="59"/>
      <c r="U120" s="59"/>
    </row>
    <row r="121" ht="35.25" customHeight="1">
      <c r="A121" s="59"/>
      <c r="B121" s="59"/>
      <c r="C121" s="59"/>
      <c r="D121" s="59"/>
      <c r="E121" s="178"/>
      <c r="F121" s="59"/>
      <c r="G121" s="59"/>
      <c r="H121" s="59"/>
      <c r="I121" s="178"/>
      <c r="J121" s="59"/>
      <c r="K121" s="59"/>
      <c r="L121" s="59"/>
      <c r="M121" s="59"/>
      <c r="N121" s="59"/>
      <c r="O121" s="59"/>
      <c r="P121" s="59"/>
      <c r="Q121" s="59"/>
      <c r="R121" s="59"/>
      <c r="S121" s="59"/>
      <c r="T121" s="59"/>
      <c r="U121" s="59"/>
    </row>
    <row r="122" ht="35.25" customHeight="1">
      <c r="A122" s="59"/>
      <c r="B122" s="59"/>
      <c r="C122" s="59"/>
      <c r="D122" s="59"/>
      <c r="E122" s="178"/>
      <c r="F122" s="59"/>
      <c r="G122" s="59"/>
      <c r="H122" s="59"/>
      <c r="I122" s="178"/>
      <c r="J122" s="59"/>
      <c r="K122" s="59"/>
      <c r="L122" s="59"/>
      <c r="M122" s="59"/>
      <c r="N122" s="59"/>
      <c r="O122" s="59"/>
      <c r="P122" s="59"/>
      <c r="Q122" s="59"/>
      <c r="R122" s="59"/>
      <c r="S122" s="59"/>
      <c r="T122" s="59"/>
      <c r="U122" s="59"/>
    </row>
    <row r="123" ht="35.25" customHeight="1">
      <c r="A123" s="59"/>
      <c r="B123" s="59"/>
      <c r="C123" s="59"/>
      <c r="D123" s="59"/>
      <c r="E123" s="178"/>
      <c r="F123" s="59"/>
      <c r="G123" s="59"/>
      <c r="H123" s="59"/>
      <c r="I123" s="178"/>
      <c r="J123" s="59"/>
      <c r="K123" s="59"/>
      <c r="L123" s="59"/>
      <c r="M123" s="59"/>
      <c r="N123" s="59"/>
      <c r="O123" s="59"/>
      <c r="P123" s="59"/>
      <c r="Q123" s="59"/>
      <c r="R123" s="59"/>
      <c r="S123" s="59"/>
      <c r="T123" s="59"/>
      <c r="U123" s="59"/>
    </row>
    <row r="124" ht="35.25" customHeight="1">
      <c r="A124" s="59"/>
      <c r="B124" s="59"/>
      <c r="C124" s="59"/>
      <c r="D124" s="59"/>
      <c r="E124" s="178"/>
      <c r="F124" s="59"/>
      <c r="G124" s="59"/>
      <c r="H124" s="59"/>
      <c r="I124" s="178"/>
      <c r="J124" s="59"/>
      <c r="K124" s="59"/>
      <c r="L124" s="59"/>
      <c r="M124" s="59"/>
      <c r="N124" s="59"/>
      <c r="O124" s="59"/>
      <c r="P124" s="59"/>
      <c r="Q124" s="59"/>
      <c r="R124" s="59"/>
      <c r="S124" s="59"/>
      <c r="T124" s="59"/>
      <c r="U124" s="59"/>
    </row>
    <row r="125" ht="35.25" customHeight="1">
      <c r="A125" s="59"/>
      <c r="B125" s="59"/>
      <c r="C125" s="59"/>
      <c r="D125" s="59"/>
      <c r="E125" s="178"/>
      <c r="F125" s="59"/>
      <c r="G125" s="59"/>
      <c r="H125" s="59"/>
      <c r="I125" s="178"/>
      <c r="J125" s="59"/>
      <c r="K125" s="59"/>
      <c r="L125" s="59"/>
      <c r="M125" s="59"/>
      <c r="N125" s="59"/>
      <c r="O125" s="59"/>
      <c r="P125" s="59"/>
      <c r="Q125" s="59"/>
      <c r="R125" s="59"/>
      <c r="S125" s="59"/>
      <c r="T125" s="59"/>
      <c r="U125" s="59"/>
    </row>
    <row r="126" ht="35.25" customHeight="1">
      <c r="A126" s="59"/>
      <c r="B126" s="59"/>
      <c r="C126" s="59"/>
      <c r="D126" s="59"/>
      <c r="E126" s="178"/>
      <c r="F126" s="59"/>
      <c r="G126" s="59"/>
      <c r="H126" s="59"/>
      <c r="I126" s="178"/>
      <c r="J126" s="59"/>
      <c r="K126" s="59"/>
      <c r="L126" s="59"/>
      <c r="M126" s="59"/>
      <c r="N126" s="59"/>
      <c r="O126" s="59"/>
      <c r="P126" s="59"/>
      <c r="Q126" s="59"/>
      <c r="R126" s="59"/>
      <c r="S126" s="59"/>
      <c r="T126" s="59"/>
      <c r="U126" s="59"/>
    </row>
    <row r="127" ht="35.25" customHeight="1">
      <c r="A127" s="59"/>
      <c r="B127" s="59"/>
      <c r="C127" s="59"/>
      <c r="D127" s="59"/>
      <c r="E127" s="178"/>
      <c r="F127" s="59"/>
      <c r="G127" s="59"/>
      <c r="H127" s="59"/>
      <c r="I127" s="178"/>
      <c r="J127" s="59"/>
      <c r="K127" s="59"/>
      <c r="L127" s="59"/>
      <c r="M127" s="59"/>
      <c r="N127" s="59"/>
      <c r="O127" s="59"/>
      <c r="P127" s="59"/>
      <c r="Q127" s="59"/>
      <c r="R127" s="59"/>
      <c r="S127" s="59"/>
      <c r="T127" s="59"/>
      <c r="U127" s="59"/>
    </row>
    <row r="128" ht="35.25" customHeight="1">
      <c r="A128" s="59"/>
      <c r="B128" s="59"/>
      <c r="C128" s="59"/>
      <c r="D128" s="59"/>
      <c r="E128" s="178"/>
      <c r="F128" s="59"/>
      <c r="G128" s="59"/>
      <c r="H128" s="59"/>
      <c r="I128" s="178"/>
      <c r="J128" s="59"/>
      <c r="K128" s="59"/>
      <c r="L128" s="59"/>
      <c r="M128" s="59"/>
      <c r="N128" s="59"/>
      <c r="O128" s="59"/>
      <c r="P128" s="59"/>
      <c r="Q128" s="59"/>
      <c r="R128" s="59"/>
      <c r="S128" s="59"/>
      <c r="T128" s="59"/>
      <c r="U128" s="59"/>
    </row>
    <row r="129" ht="35.25" customHeight="1">
      <c r="A129" s="59"/>
      <c r="B129" s="59"/>
      <c r="C129" s="59"/>
      <c r="D129" s="59"/>
      <c r="E129" s="178"/>
      <c r="F129" s="59"/>
      <c r="G129" s="59"/>
      <c r="H129" s="59"/>
      <c r="I129" s="178"/>
      <c r="J129" s="59"/>
      <c r="K129" s="59"/>
      <c r="L129" s="59"/>
      <c r="M129" s="59"/>
      <c r="N129" s="59"/>
      <c r="O129" s="59"/>
      <c r="P129" s="59"/>
      <c r="Q129" s="59"/>
      <c r="R129" s="59"/>
      <c r="S129" s="59"/>
      <c r="T129" s="59"/>
      <c r="U129" s="59"/>
    </row>
    <row r="130" ht="35.25" customHeight="1">
      <c r="A130" s="59"/>
      <c r="B130" s="59"/>
      <c r="C130" s="59"/>
      <c r="D130" s="59"/>
      <c r="E130" s="178"/>
      <c r="F130" s="59"/>
      <c r="G130" s="59"/>
      <c r="H130" s="59"/>
      <c r="I130" s="178"/>
      <c r="J130" s="59"/>
      <c r="K130" s="59"/>
      <c r="L130" s="59"/>
      <c r="M130" s="59"/>
      <c r="N130" s="59"/>
      <c r="O130" s="59"/>
      <c r="P130" s="59"/>
      <c r="Q130" s="59"/>
      <c r="R130" s="59"/>
      <c r="S130" s="59"/>
      <c r="T130" s="59"/>
      <c r="U130" s="59"/>
    </row>
    <row r="131" ht="35.25" customHeight="1">
      <c r="A131" s="59"/>
      <c r="B131" s="59"/>
      <c r="C131" s="59"/>
      <c r="D131" s="59"/>
      <c r="E131" s="178"/>
      <c r="F131" s="59"/>
      <c r="G131" s="59"/>
      <c r="H131" s="59"/>
      <c r="I131" s="178"/>
      <c r="J131" s="59"/>
      <c r="K131" s="59"/>
      <c r="L131" s="59"/>
      <c r="M131" s="59"/>
      <c r="N131" s="59"/>
      <c r="O131" s="59"/>
      <c r="P131" s="59"/>
      <c r="Q131" s="59"/>
      <c r="R131" s="59"/>
      <c r="S131" s="59"/>
      <c r="T131" s="59"/>
      <c r="U131" s="59"/>
    </row>
    <row r="132" ht="35.25" customHeight="1">
      <c r="A132" s="59"/>
      <c r="B132" s="59"/>
      <c r="C132" s="59"/>
      <c r="D132" s="59"/>
      <c r="E132" s="178"/>
      <c r="F132" s="59"/>
      <c r="G132" s="59"/>
      <c r="H132" s="59"/>
      <c r="I132" s="178"/>
      <c r="J132" s="59"/>
      <c r="K132" s="59"/>
      <c r="L132" s="59"/>
      <c r="M132" s="59"/>
      <c r="N132" s="59"/>
      <c r="O132" s="59"/>
      <c r="P132" s="59"/>
      <c r="Q132" s="59"/>
      <c r="R132" s="59"/>
      <c r="S132" s="59"/>
      <c r="T132" s="59"/>
      <c r="U132" s="59"/>
    </row>
    <row r="133" ht="35.25" customHeight="1">
      <c r="A133" s="59"/>
      <c r="B133" s="59"/>
      <c r="C133" s="59"/>
      <c r="D133" s="59"/>
      <c r="E133" s="178"/>
      <c r="F133" s="59"/>
      <c r="G133" s="59"/>
      <c r="H133" s="59"/>
      <c r="I133" s="178"/>
      <c r="J133" s="59"/>
      <c r="K133" s="59"/>
      <c r="L133" s="59"/>
      <c r="M133" s="59"/>
      <c r="N133" s="59"/>
      <c r="O133" s="59"/>
      <c r="P133" s="59"/>
      <c r="Q133" s="59"/>
      <c r="R133" s="59"/>
      <c r="S133" s="59"/>
      <c r="T133" s="59"/>
      <c r="U133" s="59"/>
    </row>
    <row r="134" ht="35.25" customHeight="1">
      <c r="A134" s="59"/>
      <c r="B134" s="59"/>
      <c r="C134" s="59"/>
      <c r="D134" s="59"/>
      <c r="E134" s="178"/>
      <c r="F134" s="59"/>
      <c r="G134" s="59"/>
      <c r="H134" s="59"/>
      <c r="I134" s="178"/>
      <c r="J134" s="59"/>
      <c r="K134" s="59"/>
      <c r="L134" s="59"/>
      <c r="M134" s="59"/>
      <c r="N134" s="59"/>
      <c r="O134" s="59"/>
      <c r="P134" s="59"/>
      <c r="Q134" s="59"/>
      <c r="R134" s="59"/>
      <c r="S134" s="59"/>
      <c r="T134" s="59"/>
      <c r="U134" s="59"/>
    </row>
    <row r="135" ht="35.25" customHeight="1">
      <c r="A135" s="59"/>
      <c r="B135" s="59"/>
      <c r="C135" s="59"/>
      <c r="D135" s="59"/>
      <c r="E135" s="178"/>
      <c r="F135" s="59"/>
      <c r="G135" s="59"/>
      <c r="H135" s="59"/>
      <c r="I135" s="178"/>
      <c r="J135" s="59"/>
      <c r="K135" s="59"/>
      <c r="L135" s="59"/>
      <c r="M135" s="59"/>
      <c r="N135" s="59"/>
      <c r="O135" s="59"/>
      <c r="P135" s="59"/>
      <c r="Q135" s="59"/>
      <c r="R135" s="59"/>
      <c r="S135" s="59"/>
      <c r="T135" s="59"/>
      <c r="U135" s="59"/>
    </row>
    <row r="136" ht="35.25" customHeight="1">
      <c r="A136" s="59"/>
      <c r="B136" s="59"/>
      <c r="C136" s="59"/>
      <c r="D136" s="59"/>
      <c r="E136" s="178"/>
      <c r="F136" s="59"/>
      <c r="G136" s="59"/>
      <c r="H136" s="59"/>
      <c r="I136" s="178"/>
      <c r="J136" s="59"/>
      <c r="K136" s="59"/>
      <c r="L136" s="59"/>
      <c r="M136" s="59"/>
      <c r="N136" s="59"/>
      <c r="O136" s="59"/>
      <c r="P136" s="59"/>
      <c r="Q136" s="59"/>
      <c r="R136" s="59"/>
      <c r="S136" s="59"/>
      <c r="T136" s="59"/>
      <c r="U136" s="59"/>
    </row>
    <row r="137" ht="35.25" customHeight="1">
      <c r="A137" s="59"/>
      <c r="B137" s="59"/>
      <c r="C137" s="59"/>
      <c r="D137" s="59"/>
      <c r="E137" s="178"/>
      <c r="F137" s="59"/>
      <c r="G137" s="59"/>
      <c r="H137" s="59"/>
      <c r="I137" s="178"/>
      <c r="J137" s="59"/>
      <c r="K137" s="59"/>
      <c r="L137" s="59"/>
      <c r="M137" s="59"/>
      <c r="N137" s="59"/>
      <c r="O137" s="59"/>
      <c r="P137" s="59"/>
      <c r="Q137" s="59"/>
      <c r="R137" s="59"/>
      <c r="S137" s="59"/>
      <c r="T137" s="59"/>
      <c r="U137" s="59"/>
    </row>
    <row r="138" ht="35.25" customHeight="1">
      <c r="A138" s="59"/>
      <c r="B138" s="59"/>
      <c r="C138" s="59"/>
      <c r="D138" s="59"/>
      <c r="E138" s="178"/>
      <c r="F138" s="59"/>
      <c r="G138" s="59"/>
      <c r="H138" s="59"/>
      <c r="I138" s="178"/>
      <c r="J138" s="59"/>
      <c r="K138" s="59"/>
      <c r="L138" s="59"/>
      <c r="M138" s="59"/>
      <c r="N138" s="59"/>
      <c r="O138" s="59"/>
      <c r="P138" s="59"/>
      <c r="Q138" s="59"/>
      <c r="R138" s="59"/>
      <c r="S138" s="59"/>
      <c r="T138" s="59"/>
      <c r="U138" s="59"/>
    </row>
    <row r="139" ht="35.25" customHeight="1">
      <c r="A139" s="59"/>
      <c r="B139" s="59"/>
      <c r="C139" s="59"/>
      <c r="D139" s="59"/>
      <c r="E139" s="178"/>
      <c r="F139" s="59"/>
      <c r="G139" s="59"/>
      <c r="H139" s="59"/>
      <c r="I139" s="178"/>
      <c r="J139" s="59"/>
      <c r="K139" s="59"/>
      <c r="L139" s="59"/>
      <c r="M139" s="59"/>
      <c r="N139" s="59"/>
      <c r="O139" s="59"/>
      <c r="P139" s="59"/>
      <c r="Q139" s="59"/>
      <c r="R139" s="59"/>
      <c r="S139" s="59"/>
      <c r="T139" s="59"/>
      <c r="U139" s="59"/>
    </row>
    <row r="140" ht="35.25" customHeight="1">
      <c r="A140" s="59"/>
      <c r="B140" s="59"/>
      <c r="C140" s="59"/>
      <c r="D140" s="59"/>
      <c r="E140" s="178"/>
      <c r="F140" s="59"/>
      <c r="G140" s="59"/>
      <c r="H140" s="59"/>
      <c r="I140" s="178"/>
      <c r="J140" s="59"/>
      <c r="K140" s="59"/>
      <c r="L140" s="59"/>
      <c r="M140" s="59"/>
      <c r="N140" s="59"/>
      <c r="O140" s="59"/>
      <c r="P140" s="59"/>
      <c r="Q140" s="59"/>
      <c r="R140" s="59"/>
      <c r="S140" s="59"/>
      <c r="T140" s="59"/>
      <c r="U140" s="59"/>
    </row>
    <row r="141" ht="35.25" customHeight="1">
      <c r="A141" s="59"/>
      <c r="B141" s="59"/>
      <c r="C141" s="59"/>
      <c r="D141" s="59"/>
      <c r="E141" s="178"/>
      <c r="F141" s="59"/>
      <c r="G141" s="59"/>
      <c r="H141" s="59"/>
      <c r="I141" s="178"/>
      <c r="J141" s="59"/>
      <c r="K141" s="59"/>
      <c r="L141" s="59"/>
      <c r="M141" s="59"/>
      <c r="N141" s="59"/>
      <c r="O141" s="59"/>
      <c r="P141" s="59"/>
      <c r="Q141" s="59"/>
      <c r="R141" s="59"/>
      <c r="S141" s="59"/>
      <c r="T141" s="59"/>
      <c r="U141" s="59"/>
    </row>
    <row r="142" ht="35.25" customHeight="1">
      <c r="A142" s="59"/>
      <c r="B142" s="59"/>
      <c r="C142" s="59"/>
      <c r="D142" s="59"/>
      <c r="E142" s="178"/>
      <c r="F142" s="59"/>
      <c r="G142" s="59"/>
      <c r="H142" s="59"/>
      <c r="I142" s="178"/>
      <c r="J142" s="59"/>
      <c r="K142" s="59"/>
      <c r="L142" s="59"/>
      <c r="M142" s="59"/>
      <c r="N142" s="59"/>
      <c r="O142" s="59"/>
      <c r="P142" s="59"/>
      <c r="Q142" s="59"/>
      <c r="R142" s="59"/>
      <c r="S142" s="59"/>
      <c r="T142" s="59"/>
      <c r="U142" s="59"/>
    </row>
    <row r="143" ht="35.25" customHeight="1">
      <c r="A143" s="59"/>
      <c r="B143" s="59"/>
      <c r="C143" s="59"/>
      <c r="D143" s="59"/>
      <c r="E143" s="178"/>
      <c r="F143" s="59"/>
      <c r="G143" s="59"/>
      <c r="H143" s="59"/>
      <c r="I143" s="178"/>
      <c r="J143" s="59"/>
      <c r="K143" s="59"/>
      <c r="L143" s="59"/>
      <c r="M143" s="59"/>
      <c r="N143" s="59"/>
      <c r="O143" s="59"/>
      <c r="P143" s="59"/>
      <c r="Q143" s="59"/>
      <c r="R143" s="59"/>
      <c r="S143" s="59"/>
      <c r="T143" s="59"/>
      <c r="U143" s="59"/>
    </row>
    <row r="144" ht="35.25" customHeight="1">
      <c r="A144" s="59"/>
      <c r="B144" s="59"/>
      <c r="C144" s="59"/>
      <c r="D144" s="59"/>
      <c r="E144" s="178"/>
      <c r="F144" s="59"/>
      <c r="G144" s="59"/>
      <c r="H144" s="59"/>
      <c r="I144" s="178"/>
      <c r="J144" s="59"/>
      <c r="K144" s="59"/>
      <c r="L144" s="59"/>
      <c r="M144" s="59"/>
      <c r="N144" s="59"/>
      <c r="O144" s="59"/>
      <c r="P144" s="59"/>
      <c r="Q144" s="59"/>
      <c r="R144" s="59"/>
      <c r="S144" s="59"/>
      <c r="T144" s="59"/>
      <c r="U144" s="59"/>
    </row>
    <row r="145" ht="35.25" customHeight="1">
      <c r="A145" s="59"/>
      <c r="B145" s="59"/>
      <c r="C145" s="59"/>
      <c r="D145" s="59"/>
      <c r="E145" s="178"/>
      <c r="F145" s="59"/>
      <c r="G145" s="59"/>
      <c r="H145" s="59"/>
      <c r="I145" s="178"/>
      <c r="J145" s="59"/>
      <c r="K145" s="59"/>
      <c r="L145" s="59"/>
      <c r="M145" s="59"/>
      <c r="N145" s="59"/>
      <c r="O145" s="59"/>
      <c r="P145" s="59"/>
      <c r="Q145" s="59"/>
      <c r="R145" s="59"/>
      <c r="S145" s="59"/>
      <c r="T145" s="59"/>
      <c r="U145" s="59"/>
    </row>
    <row r="146" ht="35.25" customHeight="1">
      <c r="A146" s="59"/>
      <c r="B146" s="59"/>
      <c r="C146" s="59"/>
      <c r="D146" s="59"/>
      <c r="E146" s="178"/>
      <c r="F146" s="59"/>
      <c r="G146" s="59"/>
      <c r="H146" s="59"/>
      <c r="I146" s="178"/>
      <c r="J146" s="59"/>
      <c r="K146" s="59"/>
      <c r="L146" s="59"/>
      <c r="M146" s="59"/>
      <c r="N146" s="59"/>
      <c r="O146" s="59"/>
      <c r="P146" s="59"/>
      <c r="Q146" s="59"/>
      <c r="R146" s="59"/>
      <c r="S146" s="59"/>
      <c r="T146" s="59"/>
      <c r="U146" s="59"/>
    </row>
    <row r="147" ht="35.25" customHeight="1">
      <c r="A147" s="59"/>
      <c r="B147" s="59"/>
      <c r="C147" s="59"/>
      <c r="D147" s="59"/>
      <c r="E147" s="178"/>
      <c r="F147" s="59"/>
      <c r="G147" s="59"/>
      <c r="H147" s="59"/>
      <c r="I147" s="178"/>
      <c r="J147" s="59"/>
      <c r="K147" s="59"/>
      <c r="L147" s="59"/>
      <c r="M147" s="59"/>
      <c r="N147" s="59"/>
      <c r="O147" s="59"/>
      <c r="P147" s="59"/>
      <c r="Q147" s="59"/>
      <c r="R147" s="59"/>
      <c r="S147" s="59"/>
      <c r="T147" s="59"/>
      <c r="U147" s="59"/>
    </row>
    <row r="148" ht="35.25" customHeight="1">
      <c r="A148" s="59"/>
      <c r="B148" s="59"/>
      <c r="C148" s="59"/>
      <c r="D148" s="59"/>
      <c r="E148" s="178"/>
      <c r="F148" s="59"/>
      <c r="G148" s="59"/>
      <c r="H148" s="59"/>
      <c r="I148" s="178"/>
      <c r="J148" s="59"/>
      <c r="K148" s="59"/>
      <c r="L148" s="59"/>
      <c r="M148" s="59"/>
      <c r="N148" s="59"/>
      <c r="O148" s="59"/>
      <c r="P148" s="59"/>
      <c r="Q148" s="59"/>
      <c r="R148" s="59"/>
      <c r="S148" s="59"/>
      <c r="T148" s="59"/>
      <c r="U148" s="59"/>
    </row>
    <row r="149" ht="35.25" customHeight="1">
      <c r="A149" s="59"/>
      <c r="B149" s="59"/>
      <c r="C149" s="59"/>
      <c r="D149" s="59"/>
      <c r="E149" s="178"/>
      <c r="F149" s="59"/>
      <c r="G149" s="59"/>
      <c r="H149" s="59"/>
      <c r="I149" s="178"/>
      <c r="J149" s="59"/>
      <c r="K149" s="59"/>
      <c r="L149" s="59"/>
      <c r="M149" s="59"/>
      <c r="N149" s="59"/>
      <c r="O149" s="59"/>
      <c r="P149" s="59"/>
      <c r="Q149" s="59"/>
      <c r="R149" s="59"/>
      <c r="S149" s="59"/>
      <c r="T149" s="59"/>
      <c r="U149" s="59"/>
    </row>
    <row r="150" ht="35.25" customHeight="1">
      <c r="A150" s="59"/>
      <c r="B150" s="59"/>
      <c r="C150" s="59"/>
      <c r="D150" s="59"/>
      <c r="E150" s="178"/>
      <c r="F150" s="59"/>
      <c r="G150" s="59"/>
      <c r="H150" s="59"/>
      <c r="I150" s="178"/>
      <c r="J150" s="59"/>
      <c r="K150" s="59"/>
      <c r="L150" s="59"/>
      <c r="M150" s="59"/>
      <c r="N150" s="59"/>
      <c r="O150" s="59"/>
      <c r="P150" s="59"/>
      <c r="Q150" s="59"/>
      <c r="R150" s="59"/>
      <c r="S150" s="59"/>
      <c r="T150" s="59"/>
      <c r="U150" s="59"/>
    </row>
    <row r="151" ht="35.25" customHeight="1">
      <c r="A151" s="59"/>
      <c r="B151" s="59"/>
      <c r="C151" s="59"/>
      <c r="D151" s="59"/>
      <c r="E151" s="178"/>
      <c r="F151" s="59"/>
      <c r="G151" s="59"/>
      <c r="H151" s="59"/>
      <c r="I151" s="178"/>
      <c r="J151" s="59"/>
      <c r="K151" s="59"/>
      <c r="L151" s="59"/>
      <c r="M151" s="59"/>
      <c r="N151" s="59"/>
      <c r="O151" s="59"/>
      <c r="P151" s="59"/>
      <c r="Q151" s="59"/>
      <c r="R151" s="59"/>
      <c r="S151" s="59"/>
      <c r="T151" s="59"/>
      <c r="U151" s="59"/>
    </row>
    <row r="152" ht="35.25" customHeight="1">
      <c r="A152" s="59"/>
      <c r="B152" s="59"/>
      <c r="C152" s="59"/>
      <c r="D152" s="59"/>
      <c r="E152" s="178"/>
      <c r="F152" s="59"/>
      <c r="G152" s="59"/>
      <c r="H152" s="59"/>
      <c r="I152" s="178"/>
      <c r="J152" s="59"/>
      <c r="K152" s="59"/>
      <c r="L152" s="59"/>
      <c r="M152" s="59"/>
      <c r="N152" s="59"/>
      <c r="O152" s="59"/>
      <c r="P152" s="59"/>
      <c r="Q152" s="59"/>
      <c r="R152" s="59"/>
      <c r="S152" s="59"/>
      <c r="T152" s="59"/>
      <c r="U152" s="59"/>
    </row>
    <row r="153" ht="35.25" customHeight="1">
      <c r="A153" s="59"/>
      <c r="B153" s="59"/>
      <c r="C153" s="59"/>
      <c r="D153" s="59"/>
      <c r="E153" s="178"/>
      <c r="F153" s="59"/>
      <c r="G153" s="59"/>
      <c r="H153" s="59"/>
      <c r="I153" s="178"/>
      <c r="J153" s="59"/>
      <c r="K153" s="59"/>
      <c r="L153" s="59"/>
      <c r="M153" s="59"/>
      <c r="N153" s="59"/>
      <c r="O153" s="59"/>
      <c r="P153" s="59"/>
      <c r="Q153" s="59"/>
      <c r="R153" s="59"/>
      <c r="S153" s="59"/>
      <c r="T153" s="59"/>
      <c r="U153" s="59"/>
    </row>
    <row r="154" ht="35.25" customHeight="1">
      <c r="A154" s="59"/>
      <c r="B154" s="59"/>
      <c r="C154" s="59"/>
      <c r="D154" s="59"/>
      <c r="E154" s="178"/>
      <c r="F154" s="59"/>
      <c r="G154" s="59"/>
      <c r="H154" s="59"/>
      <c r="I154" s="178"/>
      <c r="J154" s="59"/>
      <c r="K154" s="59"/>
      <c r="L154" s="59"/>
      <c r="M154" s="59"/>
      <c r="N154" s="59"/>
      <c r="O154" s="59"/>
      <c r="P154" s="59"/>
      <c r="Q154" s="59"/>
      <c r="R154" s="59"/>
      <c r="S154" s="59"/>
      <c r="T154" s="59"/>
      <c r="U154" s="59"/>
    </row>
    <row r="155" ht="35.25" customHeight="1">
      <c r="A155" s="59"/>
      <c r="B155" s="59"/>
      <c r="C155" s="59"/>
      <c r="D155" s="59"/>
      <c r="E155" s="178"/>
      <c r="F155" s="59"/>
      <c r="G155" s="59"/>
      <c r="H155" s="59"/>
      <c r="I155" s="178"/>
      <c r="J155" s="59"/>
      <c r="K155" s="59"/>
      <c r="L155" s="59"/>
      <c r="M155" s="59"/>
      <c r="N155" s="59"/>
      <c r="O155" s="59"/>
      <c r="P155" s="59"/>
      <c r="Q155" s="59"/>
      <c r="R155" s="59"/>
      <c r="S155" s="59"/>
      <c r="T155" s="59"/>
      <c r="U155" s="59"/>
    </row>
    <row r="156" ht="35.25" customHeight="1">
      <c r="A156" s="59"/>
      <c r="B156" s="59"/>
      <c r="C156" s="59"/>
      <c r="D156" s="59"/>
      <c r="E156" s="178"/>
      <c r="F156" s="59"/>
      <c r="G156" s="59"/>
      <c r="H156" s="59"/>
      <c r="I156" s="178"/>
      <c r="J156" s="59"/>
      <c r="K156" s="59"/>
      <c r="L156" s="59"/>
      <c r="M156" s="59"/>
      <c r="N156" s="59"/>
      <c r="O156" s="59"/>
      <c r="P156" s="59"/>
      <c r="Q156" s="59"/>
      <c r="R156" s="59"/>
      <c r="S156" s="59"/>
      <c r="T156" s="59"/>
      <c r="U156" s="59"/>
    </row>
    <row r="157" ht="35.25" customHeight="1">
      <c r="A157" s="59"/>
      <c r="B157" s="59"/>
      <c r="C157" s="59"/>
      <c r="D157" s="59"/>
      <c r="E157" s="178"/>
      <c r="F157" s="59"/>
      <c r="G157" s="59"/>
      <c r="H157" s="59"/>
      <c r="I157" s="178"/>
      <c r="J157" s="59"/>
      <c r="K157" s="59"/>
      <c r="L157" s="59"/>
      <c r="M157" s="59"/>
      <c r="N157" s="59"/>
      <c r="O157" s="59"/>
      <c r="P157" s="59"/>
      <c r="Q157" s="59"/>
      <c r="R157" s="59"/>
      <c r="S157" s="59"/>
      <c r="T157" s="59"/>
      <c r="U157" s="59"/>
    </row>
    <row r="158" ht="35.25" customHeight="1">
      <c r="A158" s="59"/>
      <c r="B158" s="59"/>
      <c r="C158" s="59"/>
      <c r="D158" s="59"/>
      <c r="E158" s="178"/>
      <c r="F158" s="59"/>
      <c r="G158" s="59"/>
      <c r="H158" s="59"/>
      <c r="I158" s="178"/>
      <c r="J158" s="59"/>
      <c r="K158" s="59"/>
      <c r="L158" s="59"/>
      <c r="M158" s="59"/>
      <c r="N158" s="59"/>
      <c r="O158" s="59"/>
      <c r="P158" s="59"/>
      <c r="Q158" s="59"/>
      <c r="R158" s="59"/>
      <c r="S158" s="59"/>
      <c r="T158" s="59"/>
      <c r="U158" s="59"/>
    </row>
    <row r="159" ht="35.25" customHeight="1">
      <c r="A159" s="59"/>
      <c r="B159" s="59"/>
      <c r="C159" s="59"/>
      <c r="D159" s="59"/>
      <c r="E159" s="178"/>
      <c r="F159" s="59"/>
      <c r="G159" s="59"/>
      <c r="H159" s="59"/>
      <c r="I159" s="178"/>
      <c r="J159" s="59"/>
      <c r="K159" s="59"/>
      <c r="L159" s="59"/>
      <c r="M159" s="59"/>
      <c r="N159" s="59"/>
      <c r="O159" s="59"/>
      <c r="P159" s="59"/>
      <c r="Q159" s="59"/>
      <c r="R159" s="59"/>
      <c r="S159" s="59"/>
      <c r="T159" s="59"/>
      <c r="U159" s="59"/>
    </row>
    <row r="160" ht="35.25" customHeight="1">
      <c r="A160" s="59"/>
      <c r="B160" s="59"/>
      <c r="C160" s="59"/>
      <c r="D160" s="59"/>
      <c r="E160" s="178"/>
      <c r="F160" s="59"/>
      <c r="G160" s="59"/>
      <c r="H160" s="59"/>
      <c r="I160" s="178"/>
      <c r="J160" s="59"/>
      <c r="K160" s="59"/>
      <c r="L160" s="59"/>
      <c r="M160" s="59"/>
      <c r="N160" s="59"/>
      <c r="O160" s="59"/>
      <c r="P160" s="59"/>
      <c r="Q160" s="59"/>
      <c r="R160" s="59"/>
      <c r="S160" s="59"/>
      <c r="T160" s="59"/>
      <c r="U160" s="59"/>
    </row>
    <row r="161" ht="35.25" customHeight="1">
      <c r="A161" s="59"/>
      <c r="B161" s="59"/>
      <c r="C161" s="59"/>
      <c r="D161" s="59"/>
      <c r="E161" s="178"/>
      <c r="F161" s="59"/>
      <c r="G161" s="59"/>
      <c r="H161" s="59"/>
      <c r="I161" s="178"/>
      <c r="J161" s="59"/>
      <c r="K161" s="59"/>
      <c r="L161" s="59"/>
      <c r="M161" s="59"/>
      <c r="N161" s="59"/>
      <c r="O161" s="59"/>
      <c r="P161" s="59"/>
      <c r="Q161" s="59"/>
      <c r="R161" s="59"/>
      <c r="S161" s="59"/>
      <c r="T161" s="59"/>
      <c r="U161" s="59"/>
    </row>
    <row r="162" ht="35.25" customHeight="1">
      <c r="A162" s="59"/>
      <c r="B162" s="59"/>
      <c r="C162" s="59"/>
      <c r="D162" s="59"/>
      <c r="E162" s="178"/>
      <c r="F162" s="59"/>
      <c r="G162" s="59"/>
      <c r="H162" s="59"/>
      <c r="I162" s="178"/>
      <c r="J162" s="59"/>
      <c r="K162" s="59"/>
      <c r="L162" s="59"/>
      <c r="M162" s="59"/>
      <c r="N162" s="59"/>
      <c r="O162" s="59"/>
      <c r="P162" s="59"/>
      <c r="Q162" s="59"/>
      <c r="R162" s="59"/>
      <c r="S162" s="59"/>
      <c r="T162" s="59"/>
      <c r="U162" s="59"/>
    </row>
    <row r="163" ht="35.25" customHeight="1">
      <c r="A163" s="59"/>
      <c r="B163" s="59"/>
      <c r="C163" s="59"/>
      <c r="D163" s="59"/>
      <c r="E163" s="178"/>
      <c r="F163" s="59"/>
      <c r="G163" s="59"/>
      <c r="H163" s="59"/>
      <c r="I163" s="178"/>
      <c r="J163" s="59"/>
      <c r="K163" s="59"/>
      <c r="L163" s="59"/>
      <c r="M163" s="59"/>
      <c r="N163" s="59"/>
      <c r="O163" s="59"/>
      <c r="P163" s="59"/>
      <c r="Q163" s="59"/>
      <c r="R163" s="59"/>
      <c r="S163" s="59"/>
      <c r="T163" s="59"/>
      <c r="U163" s="59"/>
    </row>
    <row r="164" ht="35.25" customHeight="1">
      <c r="A164" s="59"/>
      <c r="B164" s="59"/>
      <c r="C164" s="59"/>
      <c r="D164" s="59"/>
      <c r="E164" s="178"/>
      <c r="F164" s="59"/>
      <c r="G164" s="59"/>
      <c r="H164" s="59"/>
      <c r="I164" s="178"/>
      <c r="J164" s="59"/>
      <c r="K164" s="59"/>
      <c r="L164" s="59"/>
      <c r="M164" s="59"/>
      <c r="N164" s="59"/>
      <c r="O164" s="59"/>
      <c r="P164" s="59"/>
      <c r="Q164" s="59"/>
      <c r="R164" s="59"/>
      <c r="S164" s="59"/>
      <c r="T164" s="59"/>
      <c r="U164" s="59"/>
    </row>
    <row r="165" ht="35.25" customHeight="1">
      <c r="A165" s="59"/>
      <c r="B165" s="59"/>
      <c r="C165" s="59"/>
      <c r="D165" s="59"/>
      <c r="E165" s="178"/>
      <c r="F165" s="59"/>
      <c r="G165" s="59"/>
      <c r="H165" s="59"/>
      <c r="I165" s="178"/>
      <c r="J165" s="59"/>
      <c r="K165" s="59"/>
      <c r="L165" s="59"/>
      <c r="M165" s="59"/>
      <c r="N165" s="59"/>
      <c r="O165" s="59"/>
      <c r="P165" s="59"/>
      <c r="Q165" s="59"/>
      <c r="R165" s="59"/>
      <c r="S165" s="59"/>
      <c r="T165" s="59"/>
      <c r="U165" s="59"/>
    </row>
    <row r="166" ht="35.25" customHeight="1">
      <c r="A166" s="59"/>
      <c r="B166" s="59"/>
      <c r="C166" s="59"/>
      <c r="D166" s="59"/>
      <c r="E166" s="178"/>
      <c r="F166" s="59"/>
      <c r="G166" s="59"/>
      <c r="H166" s="59"/>
      <c r="I166" s="178"/>
      <c r="J166" s="59"/>
      <c r="K166" s="59"/>
      <c r="L166" s="59"/>
      <c r="M166" s="59"/>
      <c r="N166" s="59"/>
      <c r="O166" s="59"/>
      <c r="P166" s="59"/>
      <c r="Q166" s="59"/>
      <c r="R166" s="59"/>
      <c r="S166" s="59"/>
      <c r="T166" s="59"/>
      <c r="U166" s="59"/>
    </row>
    <row r="167" ht="35.25" customHeight="1">
      <c r="A167" s="59"/>
      <c r="B167" s="59"/>
      <c r="C167" s="59"/>
      <c r="D167" s="59"/>
      <c r="E167" s="178"/>
      <c r="F167" s="59"/>
      <c r="G167" s="59"/>
      <c r="H167" s="59"/>
      <c r="I167" s="178"/>
      <c r="J167" s="59"/>
      <c r="K167" s="59"/>
      <c r="L167" s="59"/>
      <c r="M167" s="59"/>
      <c r="N167" s="59"/>
      <c r="O167" s="59"/>
      <c r="P167" s="59"/>
      <c r="Q167" s="59"/>
      <c r="R167" s="59"/>
      <c r="S167" s="59"/>
      <c r="T167" s="59"/>
      <c r="U167" s="59"/>
    </row>
    <row r="168" ht="35.25" customHeight="1">
      <c r="A168" s="59"/>
      <c r="B168" s="59"/>
      <c r="C168" s="59"/>
      <c r="D168" s="59"/>
      <c r="E168" s="178"/>
      <c r="F168" s="59"/>
      <c r="G168" s="59"/>
      <c r="H168" s="59"/>
      <c r="I168" s="178"/>
      <c r="J168" s="59"/>
      <c r="K168" s="59"/>
      <c r="L168" s="59"/>
      <c r="M168" s="59"/>
      <c r="N168" s="59"/>
      <c r="O168" s="59"/>
      <c r="P168" s="59"/>
      <c r="Q168" s="59"/>
      <c r="R168" s="59"/>
      <c r="S168" s="59"/>
      <c r="T168" s="59"/>
      <c r="U168" s="59"/>
    </row>
    <row r="169" ht="35.25" customHeight="1">
      <c r="A169" s="59"/>
      <c r="B169" s="59"/>
      <c r="C169" s="59"/>
      <c r="D169" s="59"/>
      <c r="E169" s="178"/>
      <c r="F169" s="59"/>
      <c r="G169" s="59"/>
      <c r="H169" s="59"/>
      <c r="I169" s="178"/>
      <c r="J169" s="59"/>
      <c r="K169" s="59"/>
      <c r="L169" s="59"/>
      <c r="M169" s="59"/>
      <c r="N169" s="59"/>
      <c r="O169" s="59"/>
      <c r="P169" s="59"/>
      <c r="Q169" s="59"/>
      <c r="R169" s="59"/>
      <c r="S169" s="59"/>
      <c r="T169" s="59"/>
      <c r="U169" s="59"/>
    </row>
    <row r="170" ht="35.25" customHeight="1">
      <c r="A170" s="59"/>
      <c r="B170" s="59"/>
      <c r="C170" s="59"/>
      <c r="D170" s="59"/>
      <c r="E170" s="178"/>
      <c r="F170" s="59"/>
      <c r="G170" s="59"/>
      <c r="H170" s="59"/>
      <c r="I170" s="178"/>
      <c r="J170" s="59"/>
      <c r="K170" s="59"/>
      <c r="L170" s="59"/>
      <c r="M170" s="59"/>
      <c r="N170" s="59"/>
      <c r="O170" s="59"/>
      <c r="P170" s="59"/>
      <c r="Q170" s="59"/>
      <c r="R170" s="59"/>
      <c r="S170" s="59"/>
      <c r="T170" s="59"/>
      <c r="U170" s="59"/>
    </row>
    <row r="171" ht="35.25" customHeight="1">
      <c r="A171" s="59"/>
      <c r="B171" s="59"/>
      <c r="C171" s="59"/>
      <c r="D171" s="59"/>
      <c r="E171" s="178"/>
      <c r="F171" s="59"/>
      <c r="G171" s="59"/>
      <c r="H171" s="59"/>
      <c r="I171" s="178"/>
      <c r="J171" s="59"/>
      <c r="K171" s="59"/>
      <c r="L171" s="59"/>
      <c r="M171" s="59"/>
      <c r="N171" s="59"/>
      <c r="O171" s="59"/>
      <c r="P171" s="59"/>
      <c r="Q171" s="59"/>
      <c r="R171" s="59"/>
      <c r="S171" s="59"/>
      <c r="T171" s="59"/>
      <c r="U171" s="59"/>
    </row>
    <row r="172" ht="35.25" customHeight="1">
      <c r="A172" s="59"/>
      <c r="B172" s="59"/>
      <c r="C172" s="59"/>
      <c r="D172" s="59"/>
      <c r="E172" s="178"/>
      <c r="F172" s="59"/>
      <c r="G172" s="59"/>
      <c r="H172" s="59"/>
      <c r="I172" s="178"/>
      <c r="J172" s="59"/>
      <c r="K172" s="59"/>
      <c r="L172" s="59"/>
      <c r="M172" s="59"/>
      <c r="N172" s="59"/>
      <c r="O172" s="59"/>
      <c r="P172" s="59"/>
      <c r="Q172" s="59"/>
      <c r="R172" s="59"/>
      <c r="S172" s="59"/>
      <c r="T172" s="59"/>
      <c r="U172" s="59"/>
    </row>
    <row r="173" ht="35.25" customHeight="1">
      <c r="A173" s="59"/>
      <c r="B173" s="59"/>
      <c r="C173" s="59"/>
      <c r="D173" s="59"/>
      <c r="E173" s="178"/>
      <c r="F173" s="59"/>
      <c r="G173" s="59"/>
      <c r="H173" s="59"/>
      <c r="I173" s="178"/>
      <c r="J173" s="59"/>
      <c r="K173" s="59"/>
      <c r="L173" s="59"/>
      <c r="M173" s="59"/>
      <c r="N173" s="59"/>
      <c r="O173" s="59"/>
      <c r="P173" s="59"/>
      <c r="Q173" s="59"/>
      <c r="R173" s="59"/>
      <c r="S173" s="59"/>
      <c r="T173" s="59"/>
      <c r="U173" s="59"/>
    </row>
    <row r="174" ht="35.25" customHeight="1">
      <c r="A174" s="59"/>
      <c r="B174" s="59"/>
      <c r="C174" s="59"/>
      <c r="D174" s="59"/>
      <c r="E174" s="178"/>
      <c r="F174" s="59"/>
      <c r="G174" s="59"/>
      <c r="H174" s="59"/>
      <c r="I174" s="178"/>
      <c r="J174" s="59"/>
      <c r="K174" s="59"/>
      <c r="L174" s="59"/>
      <c r="M174" s="59"/>
      <c r="N174" s="59"/>
      <c r="O174" s="59"/>
      <c r="P174" s="59"/>
      <c r="Q174" s="59"/>
      <c r="R174" s="59"/>
      <c r="S174" s="59"/>
      <c r="T174" s="59"/>
      <c r="U174" s="59"/>
    </row>
    <row r="175" ht="35.25" customHeight="1">
      <c r="A175" s="59"/>
      <c r="B175" s="59"/>
      <c r="C175" s="59"/>
      <c r="D175" s="59"/>
      <c r="E175" s="178"/>
      <c r="F175" s="59"/>
      <c r="G175" s="59"/>
      <c r="H175" s="59"/>
      <c r="I175" s="178"/>
      <c r="J175" s="59"/>
      <c r="K175" s="59"/>
      <c r="L175" s="59"/>
      <c r="M175" s="59"/>
      <c r="N175" s="59"/>
      <c r="O175" s="59"/>
      <c r="P175" s="59"/>
      <c r="Q175" s="59"/>
      <c r="R175" s="59"/>
      <c r="S175" s="59"/>
      <c r="T175" s="59"/>
      <c r="U175" s="59"/>
    </row>
    <row r="176" ht="35.25" customHeight="1">
      <c r="A176" s="59"/>
      <c r="B176" s="59"/>
      <c r="C176" s="59"/>
      <c r="D176" s="59"/>
      <c r="E176" s="178"/>
      <c r="F176" s="59"/>
      <c r="G176" s="59"/>
      <c r="H176" s="59"/>
      <c r="I176" s="178"/>
      <c r="J176" s="59"/>
      <c r="K176" s="59"/>
      <c r="L176" s="59"/>
      <c r="M176" s="59"/>
      <c r="N176" s="59"/>
      <c r="O176" s="59"/>
      <c r="P176" s="59"/>
      <c r="Q176" s="59"/>
      <c r="R176" s="59"/>
      <c r="S176" s="59"/>
      <c r="T176" s="59"/>
      <c r="U176" s="59"/>
    </row>
    <row r="177" ht="35.25" customHeight="1">
      <c r="A177" s="59"/>
      <c r="B177" s="59"/>
      <c r="C177" s="59"/>
      <c r="D177" s="59"/>
      <c r="E177" s="178"/>
      <c r="F177" s="59"/>
      <c r="G177" s="59"/>
      <c r="H177" s="59"/>
      <c r="I177" s="178"/>
      <c r="J177" s="59"/>
      <c r="K177" s="59"/>
      <c r="L177" s="59"/>
      <c r="M177" s="59"/>
      <c r="N177" s="59"/>
      <c r="O177" s="59"/>
      <c r="P177" s="59"/>
      <c r="Q177" s="59"/>
      <c r="R177" s="59"/>
      <c r="S177" s="59"/>
      <c r="T177" s="59"/>
      <c r="U177" s="59"/>
    </row>
    <row r="178" ht="35.25" customHeight="1">
      <c r="A178" s="59"/>
      <c r="B178" s="59"/>
      <c r="C178" s="59"/>
      <c r="D178" s="59"/>
      <c r="E178" s="178"/>
      <c r="F178" s="59"/>
      <c r="G178" s="59"/>
      <c r="H178" s="59"/>
      <c r="I178" s="178"/>
      <c r="J178" s="59"/>
      <c r="K178" s="59"/>
      <c r="L178" s="59"/>
      <c r="M178" s="59"/>
      <c r="N178" s="59"/>
      <c r="O178" s="59"/>
      <c r="P178" s="59"/>
      <c r="Q178" s="59"/>
      <c r="R178" s="59"/>
      <c r="S178" s="59"/>
      <c r="T178" s="59"/>
      <c r="U178" s="59"/>
    </row>
    <row r="179" ht="35.25" customHeight="1">
      <c r="A179" s="59"/>
      <c r="B179" s="59"/>
      <c r="C179" s="59"/>
      <c r="D179" s="59"/>
      <c r="E179" s="178"/>
      <c r="F179" s="59"/>
      <c r="G179" s="59"/>
      <c r="H179" s="59"/>
      <c r="I179" s="178"/>
      <c r="J179" s="59"/>
      <c r="K179" s="59"/>
      <c r="L179" s="59"/>
      <c r="M179" s="59"/>
      <c r="N179" s="59"/>
      <c r="O179" s="59"/>
      <c r="P179" s="59"/>
      <c r="Q179" s="59"/>
      <c r="R179" s="59"/>
      <c r="S179" s="59"/>
      <c r="T179" s="59"/>
      <c r="U179" s="59"/>
    </row>
    <row r="180" ht="35.25" customHeight="1">
      <c r="A180" s="59"/>
      <c r="B180" s="59"/>
      <c r="C180" s="59"/>
      <c r="D180" s="59"/>
      <c r="E180" s="178"/>
      <c r="F180" s="59"/>
      <c r="G180" s="59"/>
      <c r="H180" s="59"/>
      <c r="I180" s="178"/>
      <c r="J180" s="59"/>
      <c r="K180" s="59"/>
      <c r="L180" s="59"/>
      <c r="M180" s="59"/>
      <c r="N180" s="59"/>
      <c r="O180" s="59"/>
      <c r="P180" s="59"/>
      <c r="Q180" s="59"/>
      <c r="R180" s="59"/>
      <c r="S180" s="59"/>
      <c r="T180" s="59"/>
      <c r="U180" s="59"/>
    </row>
    <row r="181" ht="35.25" customHeight="1">
      <c r="A181" s="59"/>
      <c r="B181" s="59"/>
      <c r="C181" s="59"/>
      <c r="D181" s="59"/>
      <c r="E181" s="178"/>
      <c r="F181" s="59"/>
      <c r="G181" s="59"/>
      <c r="H181" s="59"/>
      <c r="I181" s="178"/>
      <c r="J181" s="59"/>
      <c r="K181" s="59"/>
      <c r="L181" s="59"/>
      <c r="M181" s="59"/>
      <c r="N181" s="59"/>
      <c r="O181" s="59"/>
      <c r="P181" s="59"/>
      <c r="Q181" s="59"/>
      <c r="R181" s="59"/>
      <c r="S181" s="59"/>
      <c r="T181" s="59"/>
      <c r="U181" s="59"/>
    </row>
    <row r="182" ht="35.25" customHeight="1">
      <c r="A182" s="59"/>
      <c r="B182" s="59"/>
      <c r="C182" s="59"/>
      <c r="D182" s="59"/>
      <c r="E182" s="178"/>
      <c r="F182" s="59"/>
      <c r="G182" s="59"/>
      <c r="H182" s="59"/>
      <c r="I182" s="178"/>
      <c r="J182" s="59"/>
      <c r="K182" s="59"/>
      <c r="L182" s="59"/>
      <c r="M182" s="59"/>
      <c r="N182" s="59"/>
      <c r="O182" s="59"/>
      <c r="P182" s="59"/>
      <c r="Q182" s="59"/>
      <c r="R182" s="59"/>
      <c r="S182" s="59"/>
      <c r="T182" s="59"/>
      <c r="U182" s="59"/>
    </row>
    <row r="183" ht="35.25" customHeight="1">
      <c r="A183" s="59"/>
      <c r="B183" s="59"/>
      <c r="C183" s="59"/>
      <c r="D183" s="59"/>
      <c r="E183" s="178"/>
      <c r="F183" s="59"/>
      <c r="G183" s="59"/>
      <c r="H183" s="59"/>
      <c r="I183" s="178"/>
      <c r="J183" s="59"/>
      <c r="K183" s="59"/>
      <c r="L183" s="59"/>
      <c r="M183" s="59"/>
      <c r="N183" s="59"/>
      <c r="O183" s="59"/>
      <c r="P183" s="59"/>
      <c r="Q183" s="59"/>
      <c r="R183" s="59"/>
      <c r="S183" s="59"/>
      <c r="T183" s="59"/>
      <c r="U183" s="59"/>
    </row>
    <row r="184" ht="35.25" customHeight="1">
      <c r="A184" s="59"/>
      <c r="B184" s="59"/>
      <c r="C184" s="59"/>
      <c r="D184" s="59"/>
      <c r="E184" s="178"/>
      <c r="F184" s="59"/>
      <c r="G184" s="59"/>
      <c r="H184" s="59"/>
      <c r="I184" s="178"/>
      <c r="J184" s="59"/>
      <c r="K184" s="59"/>
      <c r="L184" s="59"/>
      <c r="M184" s="59"/>
      <c r="N184" s="59"/>
      <c r="O184" s="59"/>
      <c r="P184" s="59"/>
      <c r="Q184" s="59"/>
      <c r="R184" s="59"/>
      <c r="S184" s="59"/>
      <c r="T184" s="59"/>
      <c r="U184" s="59"/>
    </row>
    <row r="185" ht="35.25" customHeight="1">
      <c r="A185" s="59"/>
      <c r="B185" s="59"/>
      <c r="C185" s="59"/>
      <c r="D185" s="59"/>
      <c r="E185" s="178"/>
      <c r="F185" s="59"/>
      <c r="G185" s="59"/>
      <c r="H185" s="59"/>
      <c r="I185" s="178"/>
      <c r="J185" s="59"/>
      <c r="K185" s="59"/>
      <c r="L185" s="59"/>
      <c r="M185" s="59"/>
      <c r="N185" s="59"/>
      <c r="O185" s="59"/>
      <c r="P185" s="59"/>
      <c r="Q185" s="59"/>
      <c r="R185" s="59"/>
      <c r="S185" s="59"/>
      <c r="T185" s="59"/>
      <c r="U185" s="59"/>
    </row>
    <row r="186" ht="35.25" customHeight="1">
      <c r="A186" s="59"/>
      <c r="B186" s="59"/>
      <c r="C186" s="59"/>
      <c r="D186" s="59"/>
      <c r="E186" s="178"/>
      <c r="F186" s="59"/>
      <c r="G186" s="59"/>
      <c r="H186" s="59"/>
      <c r="I186" s="178"/>
      <c r="J186" s="59"/>
      <c r="K186" s="59"/>
      <c r="L186" s="59"/>
      <c r="M186" s="59"/>
      <c r="N186" s="59"/>
      <c r="O186" s="59"/>
      <c r="P186" s="59"/>
      <c r="Q186" s="59"/>
      <c r="R186" s="59"/>
      <c r="S186" s="59"/>
      <c r="T186" s="59"/>
      <c r="U186" s="59"/>
    </row>
    <row r="187" ht="35.25" customHeight="1">
      <c r="A187" s="59"/>
      <c r="B187" s="59"/>
      <c r="C187" s="59"/>
      <c r="D187" s="59"/>
      <c r="E187" s="178"/>
      <c r="F187" s="59"/>
      <c r="G187" s="59"/>
      <c r="H187" s="59"/>
      <c r="I187" s="178"/>
      <c r="J187" s="59"/>
      <c r="K187" s="59"/>
      <c r="L187" s="59"/>
      <c r="M187" s="59"/>
      <c r="N187" s="59"/>
      <c r="O187" s="59"/>
      <c r="P187" s="59"/>
      <c r="Q187" s="59"/>
      <c r="R187" s="59"/>
      <c r="S187" s="59"/>
      <c r="T187" s="59"/>
      <c r="U187" s="59"/>
    </row>
    <row r="188" ht="35.25" customHeight="1">
      <c r="A188" s="59"/>
      <c r="B188" s="59"/>
      <c r="C188" s="59"/>
      <c r="D188" s="59"/>
      <c r="E188" s="178"/>
      <c r="F188" s="59"/>
      <c r="G188" s="59"/>
      <c r="H188" s="59"/>
      <c r="I188" s="178"/>
      <c r="J188" s="59"/>
      <c r="K188" s="59"/>
      <c r="L188" s="59"/>
      <c r="M188" s="59"/>
      <c r="N188" s="59"/>
      <c r="O188" s="59"/>
      <c r="P188" s="59"/>
      <c r="Q188" s="59"/>
      <c r="R188" s="59"/>
      <c r="S188" s="59"/>
      <c r="T188" s="59"/>
      <c r="U188" s="59"/>
    </row>
    <row r="189" ht="35.25" customHeight="1">
      <c r="A189" s="59"/>
      <c r="B189" s="59"/>
      <c r="C189" s="59"/>
      <c r="D189" s="59"/>
      <c r="E189" s="178"/>
      <c r="F189" s="59"/>
      <c r="G189" s="59"/>
      <c r="H189" s="59"/>
      <c r="I189" s="178"/>
      <c r="J189" s="59"/>
      <c r="K189" s="59"/>
      <c r="L189" s="59"/>
      <c r="M189" s="59"/>
      <c r="N189" s="59"/>
      <c r="O189" s="59"/>
      <c r="P189" s="59"/>
      <c r="Q189" s="59"/>
      <c r="R189" s="59"/>
      <c r="S189" s="59"/>
      <c r="T189" s="59"/>
      <c r="U189" s="59"/>
    </row>
    <row r="190" ht="35.25" customHeight="1">
      <c r="A190" s="59"/>
      <c r="B190" s="59"/>
      <c r="C190" s="59"/>
      <c r="D190" s="59"/>
      <c r="E190" s="178"/>
      <c r="F190" s="59"/>
      <c r="G190" s="59"/>
      <c r="H190" s="59"/>
      <c r="I190" s="178"/>
      <c r="J190" s="59"/>
      <c r="K190" s="59"/>
      <c r="L190" s="59"/>
      <c r="M190" s="59"/>
      <c r="N190" s="59"/>
      <c r="O190" s="59"/>
      <c r="P190" s="59"/>
      <c r="Q190" s="59"/>
      <c r="R190" s="59"/>
      <c r="S190" s="59"/>
      <c r="T190" s="59"/>
      <c r="U190" s="59"/>
    </row>
    <row r="191" ht="35.25" customHeight="1">
      <c r="A191" s="59"/>
      <c r="B191" s="59"/>
      <c r="C191" s="59"/>
      <c r="D191" s="59"/>
      <c r="E191" s="178"/>
      <c r="F191" s="59"/>
      <c r="G191" s="59"/>
      <c r="H191" s="59"/>
      <c r="I191" s="178"/>
      <c r="J191" s="59"/>
      <c r="K191" s="59"/>
      <c r="L191" s="59"/>
      <c r="M191" s="59"/>
      <c r="N191" s="59"/>
      <c r="O191" s="59"/>
      <c r="P191" s="59"/>
      <c r="Q191" s="59"/>
      <c r="R191" s="59"/>
      <c r="S191" s="59"/>
      <c r="T191" s="59"/>
      <c r="U191" s="59"/>
    </row>
    <row r="192" ht="35.25" customHeight="1">
      <c r="A192" s="59"/>
      <c r="B192" s="59"/>
      <c r="C192" s="59"/>
      <c r="D192" s="59"/>
      <c r="E192" s="178"/>
      <c r="F192" s="59"/>
      <c r="G192" s="59"/>
      <c r="H192" s="59"/>
      <c r="I192" s="178"/>
      <c r="J192" s="59"/>
      <c r="K192" s="59"/>
      <c r="L192" s="59"/>
      <c r="M192" s="59"/>
      <c r="N192" s="59"/>
      <c r="O192" s="59"/>
      <c r="P192" s="59"/>
      <c r="Q192" s="59"/>
      <c r="R192" s="59"/>
      <c r="S192" s="59"/>
      <c r="T192" s="59"/>
      <c r="U192" s="59"/>
    </row>
    <row r="193" ht="35.25" customHeight="1">
      <c r="A193" s="59"/>
      <c r="B193" s="59"/>
      <c r="C193" s="59"/>
      <c r="D193" s="59"/>
      <c r="E193" s="178"/>
      <c r="F193" s="59"/>
      <c r="G193" s="59"/>
      <c r="H193" s="59"/>
      <c r="I193" s="178"/>
      <c r="J193" s="59"/>
      <c r="K193" s="59"/>
      <c r="L193" s="59"/>
      <c r="M193" s="59"/>
      <c r="N193" s="59"/>
      <c r="O193" s="59"/>
      <c r="P193" s="59"/>
      <c r="Q193" s="59"/>
      <c r="R193" s="59"/>
      <c r="S193" s="59"/>
      <c r="T193" s="59"/>
      <c r="U193" s="59"/>
    </row>
    <row r="194" ht="35.25" customHeight="1">
      <c r="A194" s="59"/>
      <c r="B194" s="59"/>
      <c r="C194" s="59"/>
      <c r="D194" s="59"/>
      <c r="E194" s="178"/>
      <c r="F194" s="59"/>
      <c r="G194" s="59"/>
      <c r="H194" s="59"/>
      <c r="I194" s="178"/>
      <c r="J194" s="59"/>
      <c r="K194" s="59"/>
      <c r="L194" s="59"/>
      <c r="M194" s="59"/>
      <c r="N194" s="59"/>
      <c r="O194" s="59"/>
      <c r="P194" s="59"/>
      <c r="Q194" s="59"/>
      <c r="R194" s="59"/>
      <c r="S194" s="59"/>
      <c r="T194" s="59"/>
      <c r="U194" s="59"/>
    </row>
    <row r="195" ht="35.25" customHeight="1">
      <c r="A195" s="59"/>
      <c r="B195" s="59"/>
      <c r="C195" s="59"/>
      <c r="D195" s="59"/>
      <c r="E195" s="178"/>
      <c r="F195" s="59"/>
      <c r="G195" s="59"/>
      <c r="H195" s="59"/>
      <c r="I195" s="178"/>
      <c r="J195" s="59"/>
      <c r="K195" s="59"/>
      <c r="L195" s="59"/>
      <c r="M195" s="59"/>
      <c r="N195" s="59"/>
      <c r="O195" s="59"/>
      <c r="P195" s="59"/>
      <c r="Q195" s="59"/>
      <c r="R195" s="59"/>
      <c r="S195" s="59"/>
      <c r="T195" s="59"/>
      <c r="U195" s="59"/>
    </row>
    <row r="196" ht="35.25" customHeight="1">
      <c r="A196" s="59"/>
      <c r="B196" s="59"/>
      <c r="C196" s="59"/>
      <c r="D196" s="59"/>
      <c r="E196" s="178"/>
      <c r="F196" s="59"/>
      <c r="G196" s="59"/>
      <c r="H196" s="59"/>
      <c r="I196" s="178"/>
      <c r="J196" s="59"/>
      <c r="K196" s="59"/>
      <c r="L196" s="59"/>
      <c r="M196" s="59"/>
      <c r="N196" s="59"/>
      <c r="O196" s="59"/>
      <c r="P196" s="59"/>
      <c r="Q196" s="59"/>
      <c r="R196" s="59"/>
      <c r="S196" s="59"/>
      <c r="T196" s="59"/>
      <c r="U196" s="59"/>
    </row>
    <row r="197" ht="35.25" customHeight="1">
      <c r="A197" s="59"/>
      <c r="B197" s="59"/>
      <c r="C197" s="59"/>
      <c r="D197" s="59"/>
      <c r="E197" s="178"/>
      <c r="F197" s="59"/>
      <c r="G197" s="59"/>
      <c r="H197" s="59"/>
      <c r="I197" s="178"/>
      <c r="J197" s="59"/>
      <c r="K197" s="59"/>
      <c r="L197" s="59"/>
      <c r="M197" s="59"/>
      <c r="N197" s="59"/>
      <c r="O197" s="59"/>
      <c r="P197" s="59"/>
      <c r="Q197" s="59"/>
      <c r="R197" s="59"/>
      <c r="S197" s="59"/>
      <c r="T197" s="59"/>
      <c r="U197" s="59"/>
    </row>
    <row r="198" ht="35.25" customHeight="1">
      <c r="A198" s="59"/>
      <c r="B198" s="59"/>
      <c r="C198" s="59"/>
      <c r="D198" s="59"/>
      <c r="E198" s="178"/>
      <c r="F198" s="59"/>
      <c r="G198" s="59"/>
      <c r="H198" s="59"/>
      <c r="I198" s="178"/>
      <c r="J198" s="59"/>
      <c r="K198" s="59"/>
      <c r="L198" s="59"/>
      <c r="M198" s="59"/>
      <c r="N198" s="59"/>
      <c r="O198" s="59"/>
      <c r="P198" s="59"/>
      <c r="Q198" s="59"/>
      <c r="R198" s="59"/>
      <c r="S198" s="59"/>
      <c r="T198" s="59"/>
      <c r="U198" s="59"/>
    </row>
    <row r="199" ht="35.25" customHeight="1">
      <c r="A199" s="59"/>
      <c r="B199" s="59"/>
      <c r="C199" s="59"/>
      <c r="D199" s="59"/>
      <c r="E199" s="178"/>
      <c r="F199" s="59"/>
      <c r="G199" s="59"/>
      <c r="H199" s="59"/>
      <c r="I199" s="178"/>
      <c r="J199" s="59"/>
      <c r="K199" s="59"/>
      <c r="L199" s="59"/>
      <c r="M199" s="59"/>
      <c r="N199" s="59"/>
      <c r="O199" s="59"/>
      <c r="P199" s="59"/>
      <c r="Q199" s="59"/>
      <c r="R199" s="59"/>
      <c r="S199" s="59"/>
      <c r="T199" s="59"/>
      <c r="U199" s="59"/>
    </row>
    <row r="200" ht="35.25" customHeight="1">
      <c r="A200" s="59"/>
      <c r="B200" s="59"/>
      <c r="C200" s="59"/>
      <c r="D200" s="59"/>
      <c r="E200" s="178"/>
      <c r="F200" s="59"/>
      <c r="G200" s="59"/>
      <c r="H200" s="59"/>
      <c r="I200" s="178"/>
      <c r="J200" s="59"/>
      <c r="K200" s="59"/>
      <c r="L200" s="59"/>
      <c r="M200" s="59"/>
      <c r="N200" s="59"/>
      <c r="O200" s="59"/>
      <c r="P200" s="59"/>
      <c r="Q200" s="59"/>
      <c r="R200" s="59"/>
      <c r="S200" s="59"/>
      <c r="T200" s="59"/>
      <c r="U200" s="59"/>
    </row>
    <row r="201" ht="35.25" customHeight="1">
      <c r="A201" s="59"/>
      <c r="B201" s="59"/>
      <c r="C201" s="59"/>
      <c r="D201" s="59"/>
      <c r="E201" s="178"/>
      <c r="F201" s="59"/>
      <c r="G201" s="59"/>
      <c r="H201" s="59"/>
      <c r="I201" s="178"/>
      <c r="J201" s="59"/>
      <c r="K201" s="59"/>
      <c r="L201" s="59"/>
      <c r="M201" s="59"/>
      <c r="N201" s="59"/>
      <c r="O201" s="59"/>
      <c r="P201" s="59"/>
      <c r="Q201" s="59"/>
      <c r="R201" s="59"/>
      <c r="S201" s="59"/>
      <c r="T201" s="59"/>
      <c r="U201" s="59"/>
    </row>
    <row r="202" ht="35.25" customHeight="1">
      <c r="A202" s="59"/>
      <c r="B202" s="59"/>
      <c r="C202" s="59"/>
      <c r="D202" s="59"/>
      <c r="E202" s="178"/>
      <c r="F202" s="59"/>
      <c r="G202" s="59"/>
      <c r="H202" s="59"/>
      <c r="I202" s="178"/>
      <c r="J202" s="59"/>
      <c r="K202" s="59"/>
      <c r="L202" s="59"/>
      <c r="M202" s="59"/>
      <c r="N202" s="59"/>
      <c r="O202" s="59"/>
      <c r="P202" s="59"/>
      <c r="Q202" s="59"/>
      <c r="R202" s="59"/>
      <c r="S202" s="59"/>
      <c r="T202" s="59"/>
      <c r="U202" s="59"/>
    </row>
    <row r="203" ht="35.25" customHeight="1">
      <c r="A203" s="59"/>
      <c r="B203" s="59"/>
      <c r="C203" s="59"/>
      <c r="D203" s="59"/>
      <c r="E203" s="178"/>
      <c r="F203" s="59"/>
      <c r="G203" s="59"/>
      <c r="H203" s="59"/>
      <c r="I203" s="178"/>
      <c r="J203" s="59"/>
      <c r="K203" s="59"/>
      <c r="L203" s="59"/>
      <c r="M203" s="59"/>
      <c r="N203" s="59"/>
      <c r="O203" s="59"/>
      <c r="P203" s="59"/>
      <c r="Q203" s="59"/>
      <c r="R203" s="59"/>
      <c r="S203" s="59"/>
      <c r="T203" s="59"/>
      <c r="U203" s="59"/>
    </row>
    <row r="204" ht="35.25" customHeight="1">
      <c r="A204" s="59"/>
      <c r="B204" s="59"/>
      <c r="C204" s="59"/>
      <c r="D204" s="59"/>
      <c r="E204" s="178"/>
      <c r="F204" s="59"/>
      <c r="G204" s="59"/>
      <c r="H204" s="59"/>
      <c r="I204" s="178"/>
      <c r="J204" s="59"/>
      <c r="K204" s="59"/>
      <c r="L204" s="59"/>
      <c r="M204" s="59"/>
      <c r="N204" s="59"/>
      <c r="O204" s="59"/>
      <c r="P204" s="59"/>
      <c r="Q204" s="59"/>
      <c r="R204" s="59"/>
      <c r="S204" s="59"/>
      <c r="T204" s="59"/>
      <c r="U204" s="59"/>
    </row>
    <row r="205" ht="35.25" customHeight="1">
      <c r="A205" s="59"/>
      <c r="B205" s="59"/>
      <c r="C205" s="59"/>
      <c r="D205" s="59"/>
      <c r="E205" s="178"/>
      <c r="F205" s="59"/>
      <c r="G205" s="59"/>
      <c r="H205" s="59"/>
      <c r="I205" s="178"/>
      <c r="J205" s="59"/>
      <c r="K205" s="59"/>
      <c r="L205" s="59"/>
      <c r="M205" s="59"/>
      <c r="N205" s="59"/>
      <c r="O205" s="59"/>
      <c r="P205" s="59"/>
      <c r="Q205" s="59"/>
      <c r="R205" s="59"/>
      <c r="S205" s="59"/>
      <c r="T205" s="59"/>
      <c r="U205" s="59"/>
    </row>
    <row r="206" ht="35.25" customHeight="1">
      <c r="A206" s="59"/>
      <c r="B206" s="59"/>
      <c r="C206" s="59"/>
      <c r="D206" s="59"/>
      <c r="E206" s="178"/>
      <c r="F206" s="59"/>
      <c r="G206" s="59"/>
      <c r="H206" s="59"/>
      <c r="I206" s="178"/>
      <c r="J206" s="59"/>
      <c r="K206" s="59"/>
      <c r="L206" s="59"/>
      <c r="M206" s="59"/>
      <c r="N206" s="59"/>
      <c r="O206" s="59"/>
      <c r="P206" s="59"/>
      <c r="Q206" s="59"/>
      <c r="R206" s="59"/>
      <c r="S206" s="59"/>
      <c r="T206" s="59"/>
      <c r="U206" s="59"/>
    </row>
    <row r="207" ht="35.25" customHeight="1">
      <c r="A207" s="59"/>
      <c r="B207" s="59"/>
      <c r="C207" s="59"/>
      <c r="D207" s="59"/>
      <c r="E207" s="178"/>
      <c r="F207" s="59"/>
      <c r="G207" s="59"/>
      <c r="H207" s="59"/>
      <c r="I207" s="178"/>
      <c r="J207" s="59"/>
      <c r="K207" s="59"/>
      <c r="L207" s="59"/>
      <c r="M207" s="59"/>
      <c r="N207" s="59"/>
      <c r="O207" s="59"/>
      <c r="P207" s="59"/>
      <c r="Q207" s="59"/>
      <c r="R207" s="59"/>
      <c r="S207" s="59"/>
      <c r="T207" s="59"/>
      <c r="U207" s="59"/>
    </row>
    <row r="208" ht="35.25" customHeight="1">
      <c r="A208" s="59"/>
      <c r="B208" s="59"/>
      <c r="C208" s="59"/>
      <c r="D208" s="59"/>
      <c r="E208" s="178"/>
      <c r="F208" s="59"/>
      <c r="G208" s="59"/>
      <c r="H208" s="59"/>
      <c r="I208" s="178"/>
      <c r="J208" s="59"/>
      <c r="K208" s="59"/>
      <c r="L208" s="59"/>
      <c r="M208" s="59"/>
      <c r="N208" s="59"/>
      <c r="O208" s="59"/>
      <c r="P208" s="59"/>
      <c r="Q208" s="59"/>
      <c r="R208" s="59"/>
      <c r="S208" s="59"/>
      <c r="T208" s="59"/>
      <c r="U208" s="59"/>
    </row>
    <row r="209" ht="35.25" customHeight="1">
      <c r="A209" s="59"/>
      <c r="B209" s="59"/>
      <c r="C209" s="59"/>
      <c r="D209" s="59"/>
      <c r="E209" s="178"/>
      <c r="F209" s="59"/>
      <c r="G209" s="59"/>
      <c r="H209" s="59"/>
      <c r="I209" s="178"/>
      <c r="J209" s="59"/>
      <c r="K209" s="59"/>
      <c r="L209" s="59"/>
      <c r="M209" s="59"/>
      <c r="N209" s="59"/>
      <c r="O209" s="59"/>
      <c r="P209" s="59"/>
      <c r="Q209" s="59"/>
      <c r="R209" s="59"/>
      <c r="S209" s="59"/>
      <c r="T209" s="59"/>
      <c r="U209" s="59"/>
    </row>
    <row r="210" ht="35.25" customHeight="1">
      <c r="A210" s="59"/>
      <c r="B210" s="59"/>
      <c r="C210" s="59"/>
      <c r="D210" s="59"/>
      <c r="E210" s="178"/>
      <c r="F210" s="59"/>
      <c r="G210" s="59"/>
      <c r="H210" s="59"/>
      <c r="I210" s="178"/>
      <c r="J210" s="59"/>
      <c r="K210" s="59"/>
      <c r="L210" s="59"/>
      <c r="M210" s="59"/>
      <c r="N210" s="59"/>
      <c r="O210" s="59"/>
      <c r="P210" s="59"/>
      <c r="Q210" s="59"/>
      <c r="R210" s="59"/>
      <c r="S210" s="59"/>
      <c r="T210" s="59"/>
      <c r="U210" s="59"/>
    </row>
    <row r="211" ht="35.25" customHeight="1">
      <c r="A211" s="59"/>
      <c r="B211" s="59"/>
      <c r="C211" s="59"/>
      <c r="D211" s="59"/>
      <c r="E211" s="178"/>
      <c r="F211" s="59"/>
      <c r="G211" s="59"/>
      <c r="H211" s="59"/>
      <c r="I211" s="178"/>
      <c r="J211" s="59"/>
      <c r="K211" s="59"/>
      <c r="L211" s="59"/>
      <c r="M211" s="59"/>
      <c r="N211" s="59"/>
      <c r="O211" s="59"/>
      <c r="P211" s="59"/>
      <c r="Q211" s="59"/>
      <c r="R211" s="59"/>
      <c r="S211" s="59"/>
      <c r="T211" s="59"/>
      <c r="U211" s="59"/>
    </row>
    <row r="212" ht="35.25" customHeight="1">
      <c r="A212" s="59"/>
      <c r="B212" s="59"/>
      <c r="C212" s="59"/>
      <c r="D212" s="59"/>
      <c r="E212" s="178"/>
      <c r="F212" s="59"/>
      <c r="G212" s="59"/>
      <c r="H212" s="59"/>
      <c r="I212" s="178"/>
      <c r="J212" s="59"/>
      <c r="K212" s="59"/>
      <c r="L212" s="59"/>
      <c r="M212" s="59"/>
      <c r="N212" s="59"/>
      <c r="O212" s="59"/>
      <c r="P212" s="59"/>
      <c r="Q212" s="59"/>
      <c r="R212" s="59"/>
      <c r="S212" s="59"/>
      <c r="T212" s="59"/>
      <c r="U212" s="59"/>
    </row>
    <row r="213" ht="35.25" customHeight="1">
      <c r="A213" s="59"/>
      <c r="B213" s="59"/>
      <c r="C213" s="59"/>
      <c r="D213" s="59"/>
      <c r="E213" s="178"/>
      <c r="F213" s="59"/>
      <c r="G213" s="59"/>
      <c r="H213" s="59"/>
      <c r="I213" s="178"/>
      <c r="J213" s="59"/>
      <c r="K213" s="59"/>
      <c r="L213" s="59"/>
      <c r="M213" s="59"/>
      <c r="N213" s="59"/>
      <c r="O213" s="59"/>
      <c r="P213" s="59"/>
      <c r="Q213" s="59"/>
      <c r="R213" s="59"/>
      <c r="S213" s="59"/>
      <c r="T213" s="59"/>
      <c r="U213" s="59"/>
    </row>
    <row r="214" ht="35.25" customHeight="1">
      <c r="A214" s="59"/>
      <c r="B214" s="59"/>
      <c r="C214" s="59"/>
      <c r="D214" s="59"/>
      <c r="E214" s="178"/>
      <c r="F214" s="59"/>
      <c r="G214" s="59"/>
      <c r="H214" s="59"/>
      <c r="I214" s="178"/>
      <c r="J214" s="59"/>
      <c r="K214" s="59"/>
      <c r="L214" s="59"/>
      <c r="M214" s="59"/>
      <c r="N214" s="59"/>
      <c r="O214" s="59"/>
      <c r="P214" s="59"/>
      <c r="Q214" s="59"/>
      <c r="R214" s="59"/>
      <c r="S214" s="59"/>
      <c r="T214" s="59"/>
      <c r="U214" s="59"/>
    </row>
    <row r="215" ht="35.25" customHeight="1">
      <c r="A215" s="59"/>
      <c r="B215" s="59"/>
      <c r="C215" s="59"/>
      <c r="D215" s="59"/>
      <c r="E215" s="178"/>
      <c r="F215" s="59"/>
      <c r="G215" s="59"/>
      <c r="H215" s="59"/>
      <c r="I215" s="178"/>
      <c r="J215" s="59"/>
      <c r="K215" s="59"/>
      <c r="L215" s="59"/>
      <c r="M215" s="59"/>
      <c r="N215" s="59"/>
      <c r="O215" s="59"/>
      <c r="P215" s="59"/>
      <c r="Q215" s="59"/>
      <c r="R215" s="59"/>
      <c r="S215" s="59"/>
      <c r="T215" s="59"/>
      <c r="U215" s="59"/>
    </row>
    <row r="216" ht="35.25" customHeight="1">
      <c r="A216" s="59"/>
      <c r="B216" s="59"/>
      <c r="C216" s="59"/>
      <c r="D216" s="59"/>
      <c r="E216" s="178"/>
      <c r="F216" s="59"/>
      <c r="G216" s="59"/>
      <c r="H216" s="59"/>
      <c r="I216" s="178"/>
      <c r="J216" s="59"/>
      <c r="K216" s="59"/>
      <c r="L216" s="59"/>
      <c r="M216" s="59"/>
      <c r="N216" s="59"/>
      <c r="O216" s="59"/>
      <c r="P216" s="59"/>
      <c r="Q216" s="59"/>
      <c r="R216" s="59"/>
      <c r="S216" s="59"/>
      <c r="T216" s="59"/>
      <c r="U216" s="59"/>
    </row>
    <row r="217" ht="35.25" customHeight="1">
      <c r="A217" s="59"/>
      <c r="B217" s="59"/>
      <c r="C217" s="59"/>
      <c r="D217" s="59"/>
      <c r="E217" s="178"/>
      <c r="F217" s="59"/>
      <c r="G217" s="59"/>
      <c r="H217" s="59"/>
      <c r="I217" s="178"/>
      <c r="J217" s="59"/>
      <c r="K217" s="59"/>
      <c r="L217" s="59"/>
      <c r="M217" s="59"/>
      <c r="N217" s="59"/>
      <c r="O217" s="59"/>
      <c r="P217" s="59"/>
      <c r="Q217" s="59"/>
      <c r="R217" s="59"/>
      <c r="S217" s="59"/>
      <c r="T217" s="59"/>
      <c r="U217" s="59"/>
    </row>
    <row r="218" ht="35.25" customHeight="1">
      <c r="A218" s="59"/>
      <c r="B218" s="59"/>
      <c r="C218" s="59"/>
      <c r="D218" s="59"/>
      <c r="E218" s="178"/>
      <c r="F218" s="59"/>
      <c r="G218" s="59"/>
      <c r="H218" s="59"/>
      <c r="I218" s="178"/>
      <c r="J218" s="59"/>
      <c r="K218" s="59"/>
      <c r="L218" s="59"/>
      <c r="M218" s="59"/>
      <c r="N218" s="59"/>
      <c r="O218" s="59"/>
      <c r="P218" s="59"/>
      <c r="Q218" s="59"/>
      <c r="R218" s="59"/>
      <c r="S218" s="59"/>
      <c r="T218" s="59"/>
      <c r="U218" s="59"/>
    </row>
    <row r="219" ht="35.25" customHeight="1">
      <c r="A219" s="59"/>
      <c r="B219" s="59"/>
      <c r="C219" s="59"/>
      <c r="D219" s="59"/>
      <c r="E219" s="178"/>
      <c r="F219" s="59"/>
      <c r="G219" s="59"/>
      <c r="H219" s="59"/>
      <c r="I219" s="178"/>
      <c r="J219" s="59"/>
      <c r="K219" s="59"/>
      <c r="L219" s="59"/>
      <c r="M219" s="59"/>
      <c r="N219" s="59"/>
      <c r="O219" s="59"/>
      <c r="P219" s="59"/>
      <c r="Q219" s="59"/>
      <c r="R219" s="59"/>
      <c r="S219" s="59"/>
      <c r="T219" s="59"/>
      <c r="U219" s="59"/>
    </row>
    <row r="220" ht="35.25" customHeight="1">
      <c r="A220" s="59"/>
      <c r="B220" s="59"/>
      <c r="C220" s="59"/>
      <c r="D220" s="59"/>
      <c r="E220" s="178"/>
      <c r="F220" s="59"/>
      <c r="G220" s="59"/>
      <c r="H220" s="59"/>
      <c r="I220" s="178"/>
      <c r="J220" s="59"/>
      <c r="K220" s="59"/>
      <c r="L220" s="59"/>
      <c r="M220" s="59"/>
      <c r="N220" s="59"/>
      <c r="O220" s="59"/>
      <c r="P220" s="59"/>
      <c r="Q220" s="59"/>
      <c r="R220" s="59"/>
      <c r="S220" s="59"/>
      <c r="T220" s="59"/>
      <c r="U220" s="59"/>
    </row>
    <row r="221" ht="35.25" customHeight="1">
      <c r="A221" s="59"/>
      <c r="B221" s="59"/>
      <c r="C221" s="59"/>
      <c r="D221" s="59"/>
      <c r="E221" s="178"/>
      <c r="F221" s="59"/>
      <c r="G221" s="59"/>
      <c r="H221" s="59"/>
      <c r="I221" s="178"/>
      <c r="J221" s="59"/>
      <c r="K221" s="59"/>
      <c r="L221" s="59"/>
      <c r="M221" s="59"/>
      <c r="N221" s="59"/>
      <c r="O221" s="59"/>
      <c r="P221" s="59"/>
      <c r="Q221" s="59"/>
      <c r="R221" s="59"/>
      <c r="S221" s="59"/>
      <c r="T221" s="59"/>
      <c r="U221" s="59"/>
    </row>
    <row r="222" ht="35.25" customHeight="1">
      <c r="A222" s="59"/>
      <c r="B222" s="59"/>
      <c r="C222" s="59"/>
      <c r="D222" s="59"/>
      <c r="E222" s="178"/>
      <c r="F222" s="59"/>
      <c r="G222" s="59"/>
      <c r="H222" s="59"/>
      <c r="I222" s="178"/>
      <c r="J222" s="59"/>
      <c r="K222" s="59"/>
      <c r="L222" s="59"/>
      <c r="M222" s="59"/>
      <c r="N222" s="59"/>
      <c r="O222" s="59"/>
      <c r="P222" s="59"/>
      <c r="Q222" s="59"/>
      <c r="R222" s="59"/>
      <c r="S222" s="59"/>
      <c r="T222" s="59"/>
      <c r="U222" s="59"/>
    </row>
    <row r="223" ht="35.25" customHeight="1">
      <c r="A223" s="59"/>
      <c r="B223" s="59"/>
      <c r="C223" s="59"/>
      <c r="D223" s="59"/>
      <c r="E223" s="178"/>
      <c r="F223" s="59"/>
      <c r="G223" s="59"/>
      <c r="H223" s="59"/>
      <c r="I223" s="178"/>
      <c r="J223" s="59"/>
      <c r="K223" s="59"/>
      <c r="L223" s="59"/>
      <c r="M223" s="59"/>
      <c r="N223" s="59"/>
      <c r="O223" s="59"/>
      <c r="P223" s="59"/>
      <c r="Q223" s="59"/>
      <c r="R223" s="59"/>
      <c r="S223" s="59"/>
      <c r="T223" s="59"/>
      <c r="U223" s="59"/>
    </row>
    <row r="224" ht="35.25" customHeight="1">
      <c r="A224" s="59"/>
      <c r="B224" s="59"/>
      <c r="C224" s="59"/>
      <c r="D224" s="59"/>
      <c r="E224" s="178"/>
      <c r="F224" s="59"/>
      <c r="G224" s="59"/>
      <c r="H224" s="59"/>
      <c r="I224" s="178"/>
      <c r="J224" s="59"/>
      <c r="K224" s="59"/>
      <c r="L224" s="59"/>
      <c r="M224" s="59"/>
      <c r="N224" s="59"/>
      <c r="O224" s="59"/>
      <c r="P224" s="59"/>
      <c r="Q224" s="59"/>
      <c r="R224" s="59"/>
      <c r="S224" s="59"/>
      <c r="T224" s="59"/>
      <c r="U224" s="59"/>
    </row>
    <row r="225" ht="35.25" customHeight="1">
      <c r="A225" s="59"/>
      <c r="B225" s="59"/>
      <c r="C225" s="59"/>
      <c r="D225" s="59"/>
      <c r="E225" s="178"/>
      <c r="F225" s="59"/>
      <c r="G225" s="59"/>
      <c r="H225" s="59"/>
      <c r="I225" s="178"/>
      <c r="J225" s="59"/>
      <c r="K225" s="59"/>
      <c r="L225" s="59"/>
      <c r="M225" s="59"/>
      <c r="N225" s="59"/>
      <c r="O225" s="59"/>
      <c r="P225" s="59"/>
      <c r="Q225" s="59"/>
      <c r="R225" s="59"/>
      <c r="S225" s="59"/>
      <c r="T225" s="59"/>
      <c r="U225" s="59"/>
    </row>
    <row r="226" ht="35.25" customHeight="1">
      <c r="A226" s="59"/>
      <c r="B226" s="59"/>
      <c r="C226" s="59"/>
      <c r="D226" s="59"/>
      <c r="E226" s="178"/>
      <c r="F226" s="59"/>
      <c r="G226" s="59"/>
      <c r="H226" s="59"/>
      <c r="I226" s="178"/>
      <c r="J226" s="59"/>
      <c r="K226" s="59"/>
      <c r="L226" s="59"/>
      <c r="M226" s="59"/>
      <c r="N226" s="59"/>
      <c r="O226" s="59"/>
      <c r="P226" s="59"/>
      <c r="Q226" s="59"/>
      <c r="R226" s="59"/>
      <c r="S226" s="59"/>
      <c r="T226" s="59"/>
      <c r="U226" s="59"/>
    </row>
    <row r="227" ht="35.25" customHeight="1">
      <c r="A227" s="59"/>
      <c r="B227" s="59"/>
      <c r="C227" s="59"/>
      <c r="D227" s="59"/>
      <c r="E227" s="178"/>
      <c r="F227" s="59"/>
      <c r="G227" s="59"/>
      <c r="H227" s="59"/>
      <c r="I227" s="178"/>
      <c r="J227" s="59"/>
      <c r="K227" s="59"/>
      <c r="L227" s="59"/>
      <c r="M227" s="59"/>
      <c r="N227" s="59"/>
      <c r="O227" s="59"/>
      <c r="P227" s="59"/>
      <c r="Q227" s="59"/>
      <c r="R227" s="59"/>
      <c r="S227" s="59"/>
      <c r="T227" s="59"/>
      <c r="U227" s="59"/>
    </row>
    <row r="228" ht="35.25" customHeight="1">
      <c r="A228" s="59"/>
      <c r="B228" s="59"/>
      <c r="C228" s="59"/>
      <c r="D228" s="59"/>
      <c r="E228" s="178"/>
      <c r="F228" s="59"/>
      <c r="G228" s="59"/>
      <c r="H228" s="59"/>
      <c r="I228" s="178"/>
      <c r="J228" s="59"/>
      <c r="K228" s="59"/>
      <c r="L228" s="59"/>
      <c r="M228" s="59"/>
      <c r="N228" s="59"/>
      <c r="O228" s="59"/>
      <c r="P228" s="59"/>
      <c r="Q228" s="59"/>
      <c r="R228" s="59"/>
      <c r="S228" s="59"/>
      <c r="T228" s="59"/>
      <c r="U228" s="59"/>
    </row>
    <row r="229" ht="35.25" customHeight="1">
      <c r="A229" s="59"/>
      <c r="B229" s="59"/>
      <c r="C229" s="59"/>
      <c r="D229" s="59"/>
      <c r="E229" s="178"/>
      <c r="F229" s="59"/>
      <c r="G229" s="59"/>
      <c r="H229" s="59"/>
      <c r="I229" s="178"/>
      <c r="J229" s="59"/>
      <c r="K229" s="59"/>
      <c r="L229" s="59"/>
      <c r="M229" s="59"/>
      <c r="N229" s="59"/>
      <c r="O229" s="59"/>
      <c r="P229" s="59"/>
      <c r="Q229" s="59"/>
      <c r="R229" s="59"/>
      <c r="S229" s="59"/>
      <c r="T229" s="59"/>
      <c r="U229" s="59"/>
    </row>
    <row r="230" ht="35.25" customHeight="1">
      <c r="A230" s="59"/>
      <c r="B230" s="59"/>
      <c r="C230" s="59"/>
      <c r="D230" s="59"/>
      <c r="E230" s="178"/>
      <c r="F230" s="59"/>
      <c r="G230" s="59"/>
      <c r="H230" s="59"/>
      <c r="I230" s="178"/>
      <c r="J230" s="59"/>
      <c r="K230" s="59"/>
      <c r="L230" s="59"/>
      <c r="M230" s="59"/>
      <c r="N230" s="59"/>
      <c r="O230" s="59"/>
      <c r="P230" s="59"/>
      <c r="Q230" s="59"/>
      <c r="R230" s="59"/>
      <c r="S230" s="59"/>
      <c r="T230" s="59"/>
      <c r="U230" s="59"/>
    </row>
    <row r="231" ht="35.25" customHeight="1">
      <c r="A231" s="59"/>
      <c r="B231" s="59"/>
      <c r="C231" s="59"/>
      <c r="D231" s="59"/>
      <c r="E231" s="178"/>
      <c r="F231" s="59"/>
      <c r="G231" s="59"/>
      <c r="H231" s="59"/>
      <c r="I231" s="178"/>
      <c r="J231" s="59"/>
      <c r="K231" s="59"/>
      <c r="L231" s="59"/>
      <c r="M231" s="59"/>
      <c r="N231" s="59"/>
      <c r="O231" s="59"/>
      <c r="P231" s="59"/>
      <c r="Q231" s="59"/>
      <c r="R231" s="59"/>
      <c r="S231" s="59"/>
      <c r="T231" s="59"/>
      <c r="U231" s="59"/>
    </row>
    <row r="232" ht="35.25" customHeight="1">
      <c r="A232" s="59"/>
      <c r="B232" s="59"/>
      <c r="C232" s="59"/>
      <c r="D232" s="59"/>
      <c r="E232" s="178"/>
      <c r="F232" s="59"/>
      <c r="G232" s="59"/>
      <c r="H232" s="59"/>
      <c r="I232" s="178"/>
      <c r="J232" s="59"/>
      <c r="K232" s="59"/>
      <c r="L232" s="59"/>
      <c r="M232" s="59"/>
      <c r="N232" s="59"/>
      <c r="O232" s="59"/>
      <c r="P232" s="59"/>
      <c r="Q232" s="59"/>
      <c r="R232" s="59"/>
      <c r="S232" s="59"/>
      <c r="T232" s="59"/>
      <c r="U232" s="59"/>
    </row>
    <row r="233" ht="35.25" customHeight="1">
      <c r="A233" s="59"/>
      <c r="B233" s="59"/>
      <c r="C233" s="59"/>
      <c r="D233" s="59"/>
      <c r="E233" s="178"/>
      <c r="F233" s="59"/>
      <c r="G233" s="59"/>
      <c r="H233" s="59"/>
      <c r="I233" s="178"/>
      <c r="J233" s="59"/>
      <c r="K233" s="59"/>
      <c r="L233" s="59"/>
      <c r="M233" s="59"/>
      <c r="N233" s="59"/>
      <c r="O233" s="59"/>
      <c r="P233" s="59"/>
      <c r="Q233" s="59"/>
      <c r="R233" s="59"/>
      <c r="S233" s="59"/>
      <c r="T233" s="59"/>
      <c r="U233" s="59"/>
    </row>
    <row r="234" ht="35.25" customHeight="1">
      <c r="A234" s="59"/>
      <c r="B234" s="59"/>
      <c r="C234" s="59"/>
      <c r="D234" s="59"/>
      <c r="E234" s="178"/>
      <c r="F234" s="59"/>
      <c r="G234" s="59"/>
      <c r="H234" s="59"/>
      <c r="I234" s="178"/>
      <c r="J234" s="59"/>
      <c r="K234" s="59"/>
      <c r="L234" s="59"/>
      <c r="M234" s="59"/>
      <c r="N234" s="59"/>
      <c r="O234" s="59"/>
      <c r="P234" s="59"/>
      <c r="Q234" s="59"/>
      <c r="R234" s="59"/>
      <c r="S234" s="59"/>
      <c r="T234" s="59"/>
      <c r="U234" s="59"/>
    </row>
    <row r="235" ht="35.25" customHeight="1">
      <c r="A235" s="59"/>
      <c r="B235" s="59"/>
      <c r="C235" s="59"/>
      <c r="D235" s="59"/>
      <c r="E235" s="178"/>
      <c r="F235" s="59"/>
      <c r="G235" s="59"/>
      <c r="H235" s="59"/>
      <c r="I235" s="178"/>
      <c r="J235" s="59"/>
      <c r="K235" s="59"/>
      <c r="L235" s="59"/>
      <c r="M235" s="59"/>
      <c r="N235" s="59"/>
      <c r="O235" s="59"/>
      <c r="P235" s="59"/>
      <c r="Q235" s="59"/>
      <c r="R235" s="59"/>
      <c r="S235" s="59"/>
      <c r="T235" s="59"/>
      <c r="U235" s="59"/>
    </row>
    <row r="236" ht="35.25" customHeight="1">
      <c r="A236" s="59"/>
      <c r="B236" s="59"/>
      <c r="C236" s="59"/>
      <c r="D236" s="59"/>
      <c r="E236" s="178"/>
      <c r="F236" s="59"/>
      <c r="G236" s="59"/>
      <c r="H236" s="59"/>
      <c r="I236" s="178"/>
      <c r="J236" s="59"/>
      <c r="K236" s="59"/>
      <c r="L236" s="59"/>
      <c r="M236" s="59"/>
      <c r="N236" s="59"/>
      <c r="O236" s="59"/>
      <c r="P236" s="59"/>
      <c r="Q236" s="59"/>
      <c r="R236" s="59"/>
      <c r="S236" s="59"/>
      <c r="T236" s="59"/>
      <c r="U236" s="59"/>
    </row>
    <row r="237" ht="35.25" customHeight="1">
      <c r="A237" s="59"/>
      <c r="B237" s="59"/>
      <c r="C237" s="59"/>
      <c r="D237" s="59"/>
      <c r="E237" s="178"/>
      <c r="F237" s="59"/>
      <c r="G237" s="59"/>
      <c r="H237" s="59"/>
      <c r="I237" s="178"/>
      <c r="J237" s="59"/>
      <c r="K237" s="59"/>
      <c r="L237" s="59"/>
      <c r="M237" s="59"/>
      <c r="N237" s="59"/>
      <c r="O237" s="59"/>
      <c r="P237" s="59"/>
      <c r="Q237" s="59"/>
      <c r="R237" s="59"/>
      <c r="S237" s="59"/>
      <c r="T237" s="59"/>
      <c r="U237" s="59"/>
    </row>
    <row r="238" ht="35.25" customHeight="1">
      <c r="A238" s="59"/>
      <c r="B238" s="59"/>
      <c r="C238" s="59"/>
      <c r="D238" s="59"/>
      <c r="E238" s="178"/>
      <c r="F238" s="59"/>
      <c r="G238" s="59"/>
      <c r="H238" s="59"/>
      <c r="I238" s="178"/>
      <c r="J238" s="59"/>
      <c r="K238" s="59"/>
      <c r="L238" s="59"/>
      <c r="M238" s="59"/>
      <c r="N238" s="59"/>
      <c r="O238" s="59"/>
      <c r="P238" s="59"/>
      <c r="Q238" s="59"/>
      <c r="R238" s="59"/>
      <c r="S238" s="59"/>
      <c r="T238" s="59"/>
      <c r="U238" s="59"/>
    </row>
    <row r="239" ht="35.25" customHeight="1">
      <c r="A239" s="59"/>
      <c r="B239" s="59"/>
      <c r="C239" s="59"/>
      <c r="D239" s="59"/>
      <c r="E239" s="178"/>
      <c r="F239" s="59"/>
      <c r="G239" s="59"/>
      <c r="H239" s="59"/>
      <c r="I239" s="178"/>
      <c r="J239" s="59"/>
      <c r="K239" s="59"/>
      <c r="L239" s="59"/>
      <c r="M239" s="59"/>
      <c r="N239" s="59"/>
      <c r="O239" s="59"/>
      <c r="P239" s="59"/>
      <c r="Q239" s="59"/>
      <c r="R239" s="59"/>
      <c r="S239" s="59"/>
      <c r="T239" s="59"/>
      <c r="U239" s="59"/>
    </row>
    <row r="240" ht="35.25" customHeight="1">
      <c r="A240" s="59"/>
      <c r="B240" s="59"/>
      <c r="C240" s="59"/>
      <c r="D240" s="59"/>
      <c r="E240" s="178"/>
      <c r="F240" s="59"/>
      <c r="G240" s="59"/>
      <c r="H240" s="59"/>
      <c r="I240" s="178"/>
      <c r="J240" s="59"/>
      <c r="K240" s="59"/>
      <c r="L240" s="59"/>
      <c r="M240" s="59"/>
      <c r="N240" s="59"/>
      <c r="O240" s="59"/>
      <c r="P240" s="59"/>
      <c r="Q240" s="59"/>
      <c r="R240" s="59"/>
      <c r="S240" s="59"/>
      <c r="T240" s="59"/>
      <c r="U240" s="59"/>
    </row>
    <row r="241" ht="35.25" customHeight="1">
      <c r="A241" s="59"/>
      <c r="B241" s="59"/>
      <c r="C241" s="59"/>
      <c r="D241" s="59"/>
      <c r="E241" s="178"/>
      <c r="F241" s="59"/>
      <c r="G241" s="59"/>
      <c r="H241" s="59"/>
      <c r="I241" s="178"/>
      <c r="J241" s="59"/>
      <c r="K241" s="59"/>
      <c r="L241" s="59"/>
      <c r="M241" s="59"/>
      <c r="N241" s="59"/>
      <c r="O241" s="59"/>
      <c r="P241" s="59"/>
      <c r="Q241" s="59"/>
      <c r="R241" s="59"/>
      <c r="S241" s="59"/>
      <c r="T241" s="59"/>
      <c r="U241" s="59"/>
    </row>
    <row r="242" ht="35.25" customHeight="1">
      <c r="A242" s="59"/>
      <c r="B242" s="59"/>
      <c r="C242" s="59"/>
      <c r="D242" s="59"/>
      <c r="E242" s="178"/>
      <c r="F242" s="59"/>
      <c r="G242" s="59"/>
      <c r="H242" s="59"/>
      <c r="I242" s="178"/>
      <c r="J242" s="59"/>
      <c r="K242" s="59"/>
      <c r="L242" s="59"/>
      <c r="M242" s="59"/>
      <c r="N242" s="59"/>
      <c r="O242" s="59"/>
      <c r="P242" s="59"/>
      <c r="Q242" s="59"/>
      <c r="R242" s="59"/>
      <c r="S242" s="59"/>
      <c r="T242" s="59"/>
      <c r="U242" s="59"/>
    </row>
    <row r="243" ht="35.25" customHeight="1">
      <c r="A243" s="59"/>
      <c r="B243" s="59"/>
      <c r="C243" s="59"/>
      <c r="D243" s="59"/>
      <c r="E243" s="178"/>
      <c r="F243" s="59"/>
      <c r="G243" s="59"/>
      <c r="H243" s="59"/>
      <c r="I243" s="178"/>
      <c r="J243" s="59"/>
      <c r="K243" s="59"/>
      <c r="L243" s="59"/>
      <c r="M243" s="59"/>
      <c r="N243" s="59"/>
      <c r="O243" s="59"/>
      <c r="P243" s="59"/>
      <c r="Q243" s="59"/>
      <c r="R243" s="59"/>
      <c r="S243" s="59"/>
      <c r="T243" s="59"/>
      <c r="U243" s="59"/>
    </row>
    <row r="244" ht="35.25" customHeight="1">
      <c r="A244" s="59"/>
      <c r="B244" s="59"/>
      <c r="C244" s="59"/>
      <c r="D244" s="59"/>
      <c r="E244" s="178"/>
      <c r="F244" s="59"/>
      <c r="G244" s="59"/>
      <c r="H244" s="59"/>
      <c r="I244" s="178"/>
      <c r="J244" s="59"/>
      <c r="K244" s="59"/>
      <c r="L244" s="59"/>
      <c r="M244" s="59"/>
      <c r="N244" s="59"/>
      <c r="O244" s="59"/>
      <c r="P244" s="59"/>
      <c r="Q244" s="59"/>
      <c r="R244" s="59"/>
      <c r="S244" s="59"/>
      <c r="T244" s="59"/>
      <c r="U244" s="59"/>
    </row>
    <row r="245" ht="35.25" customHeight="1">
      <c r="A245" s="59"/>
      <c r="B245" s="59"/>
      <c r="C245" s="59"/>
      <c r="D245" s="59"/>
      <c r="E245" s="178"/>
      <c r="F245" s="59"/>
      <c r="G245" s="59"/>
      <c r="H245" s="59"/>
      <c r="I245" s="178"/>
      <c r="J245" s="59"/>
      <c r="K245" s="59"/>
      <c r="L245" s="59"/>
      <c r="M245" s="59"/>
      <c r="N245" s="59"/>
      <c r="O245" s="59"/>
      <c r="P245" s="59"/>
      <c r="Q245" s="59"/>
      <c r="R245" s="59"/>
      <c r="S245" s="59"/>
      <c r="T245" s="59"/>
      <c r="U245" s="59"/>
    </row>
    <row r="246" ht="35.25" customHeight="1">
      <c r="A246" s="59"/>
      <c r="B246" s="59"/>
      <c r="C246" s="59"/>
      <c r="D246" s="59"/>
      <c r="E246" s="178"/>
      <c r="F246" s="59"/>
      <c r="G246" s="59"/>
      <c r="H246" s="59"/>
      <c r="I246" s="178"/>
      <c r="J246" s="59"/>
      <c r="K246" s="59"/>
      <c r="L246" s="59"/>
      <c r="M246" s="59"/>
      <c r="N246" s="59"/>
      <c r="O246" s="59"/>
      <c r="P246" s="59"/>
      <c r="Q246" s="59"/>
      <c r="R246" s="59"/>
      <c r="S246" s="59"/>
      <c r="T246" s="59"/>
      <c r="U246" s="59"/>
    </row>
    <row r="247" ht="35.25" customHeight="1">
      <c r="A247" s="59"/>
      <c r="B247" s="59"/>
      <c r="C247" s="59"/>
      <c r="D247" s="59"/>
      <c r="E247" s="178"/>
      <c r="F247" s="59"/>
      <c r="G247" s="59"/>
      <c r="H247" s="59"/>
      <c r="I247" s="178"/>
      <c r="J247" s="59"/>
      <c r="K247" s="59"/>
      <c r="L247" s="59"/>
      <c r="M247" s="59"/>
      <c r="N247" s="59"/>
      <c r="O247" s="59"/>
      <c r="P247" s="59"/>
      <c r="Q247" s="59"/>
      <c r="R247" s="59"/>
      <c r="S247" s="59"/>
      <c r="T247" s="59"/>
      <c r="U247" s="59"/>
    </row>
    <row r="248" ht="35.25" customHeight="1">
      <c r="A248" s="59"/>
      <c r="B248" s="59"/>
      <c r="C248" s="59"/>
      <c r="D248" s="59"/>
      <c r="E248" s="178"/>
      <c r="F248" s="59"/>
      <c r="G248" s="59"/>
      <c r="H248" s="59"/>
      <c r="I248" s="178"/>
      <c r="J248" s="59"/>
      <c r="K248" s="59"/>
      <c r="L248" s="59"/>
      <c r="M248" s="59"/>
      <c r="N248" s="59"/>
      <c r="O248" s="59"/>
      <c r="P248" s="59"/>
      <c r="Q248" s="59"/>
      <c r="R248" s="59"/>
      <c r="S248" s="59"/>
      <c r="T248" s="59"/>
      <c r="U248" s="59"/>
    </row>
    <row r="249" ht="35.25" customHeight="1">
      <c r="A249" s="59"/>
      <c r="B249" s="59"/>
      <c r="C249" s="59"/>
      <c r="D249" s="59"/>
      <c r="E249" s="178"/>
      <c r="F249" s="59"/>
      <c r="G249" s="59"/>
      <c r="H249" s="59"/>
      <c r="I249" s="178"/>
      <c r="J249" s="59"/>
      <c r="K249" s="59"/>
      <c r="L249" s="59"/>
      <c r="M249" s="59"/>
      <c r="N249" s="59"/>
      <c r="O249" s="59"/>
      <c r="P249" s="59"/>
      <c r="Q249" s="59"/>
      <c r="R249" s="59"/>
      <c r="S249" s="59"/>
      <c r="T249" s="59"/>
      <c r="U249" s="59"/>
    </row>
    <row r="250" ht="35.25" customHeight="1">
      <c r="A250" s="59"/>
      <c r="B250" s="59"/>
      <c r="C250" s="59"/>
      <c r="D250" s="59"/>
      <c r="E250" s="178"/>
      <c r="F250" s="59"/>
      <c r="G250" s="59"/>
      <c r="H250" s="59"/>
      <c r="I250" s="178"/>
      <c r="J250" s="59"/>
      <c r="K250" s="59"/>
      <c r="L250" s="59"/>
      <c r="M250" s="59"/>
      <c r="N250" s="59"/>
      <c r="O250" s="59"/>
      <c r="P250" s="59"/>
      <c r="Q250" s="59"/>
      <c r="R250" s="59"/>
      <c r="S250" s="59"/>
      <c r="T250" s="59"/>
      <c r="U250" s="59"/>
    </row>
    <row r="251" ht="35.25" customHeight="1">
      <c r="A251" s="59"/>
      <c r="B251" s="59"/>
      <c r="C251" s="59"/>
      <c r="D251" s="59"/>
      <c r="E251" s="178"/>
      <c r="F251" s="59"/>
      <c r="G251" s="59"/>
      <c r="H251" s="59"/>
      <c r="I251" s="178"/>
      <c r="J251" s="59"/>
      <c r="K251" s="59"/>
      <c r="L251" s="59"/>
      <c r="M251" s="59"/>
      <c r="N251" s="59"/>
      <c r="O251" s="59"/>
      <c r="P251" s="59"/>
      <c r="Q251" s="59"/>
      <c r="R251" s="59"/>
      <c r="S251" s="59"/>
      <c r="T251" s="59"/>
      <c r="U251" s="59"/>
    </row>
    <row r="252" ht="35.25" customHeight="1">
      <c r="A252" s="59"/>
      <c r="B252" s="59"/>
      <c r="C252" s="59"/>
      <c r="D252" s="59"/>
      <c r="E252" s="178"/>
      <c r="F252" s="59"/>
      <c r="G252" s="59"/>
      <c r="H252" s="59"/>
      <c r="I252" s="178"/>
      <c r="J252" s="59"/>
      <c r="K252" s="59"/>
      <c r="L252" s="59"/>
      <c r="M252" s="59"/>
      <c r="N252" s="59"/>
      <c r="O252" s="59"/>
      <c r="P252" s="59"/>
      <c r="Q252" s="59"/>
      <c r="R252" s="59"/>
      <c r="S252" s="59"/>
      <c r="T252" s="59"/>
      <c r="U252" s="59"/>
    </row>
    <row r="253" ht="35.25" customHeight="1">
      <c r="A253" s="59"/>
      <c r="B253" s="59"/>
      <c r="C253" s="59"/>
      <c r="D253" s="59"/>
      <c r="E253" s="178"/>
      <c r="F253" s="59"/>
      <c r="G253" s="59"/>
      <c r="H253" s="59"/>
      <c r="I253" s="178"/>
      <c r="J253" s="59"/>
      <c r="K253" s="59"/>
      <c r="L253" s="59"/>
      <c r="M253" s="59"/>
      <c r="N253" s="59"/>
      <c r="O253" s="59"/>
      <c r="P253" s="59"/>
      <c r="Q253" s="59"/>
      <c r="R253" s="59"/>
      <c r="S253" s="59"/>
      <c r="T253" s="59"/>
      <c r="U253" s="59"/>
    </row>
    <row r="254" ht="35.25" customHeight="1">
      <c r="A254" s="59"/>
      <c r="B254" s="59"/>
      <c r="C254" s="59"/>
      <c r="D254" s="59"/>
      <c r="E254" s="178"/>
      <c r="F254" s="59"/>
      <c r="G254" s="59"/>
      <c r="H254" s="59"/>
      <c r="I254" s="178"/>
      <c r="J254" s="59"/>
      <c r="K254" s="59"/>
      <c r="L254" s="59"/>
      <c r="M254" s="59"/>
      <c r="N254" s="59"/>
      <c r="O254" s="59"/>
      <c r="P254" s="59"/>
      <c r="Q254" s="59"/>
      <c r="R254" s="59"/>
      <c r="S254" s="59"/>
      <c r="T254" s="59"/>
      <c r="U254" s="59"/>
    </row>
    <row r="255" ht="35.25" customHeight="1">
      <c r="A255" s="59"/>
      <c r="B255" s="59"/>
      <c r="C255" s="59"/>
      <c r="D255" s="59"/>
      <c r="E255" s="178"/>
      <c r="F255" s="59"/>
      <c r="G255" s="59"/>
      <c r="H255" s="59"/>
      <c r="I255" s="178"/>
      <c r="J255" s="59"/>
      <c r="K255" s="59"/>
      <c r="L255" s="59"/>
      <c r="M255" s="59"/>
      <c r="N255" s="59"/>
      <c r="O255" s="59"/>
      <c r="P255" s="59"/>
      <c r="Q255" s="59"/>
      <c r="R255" s="59"/>
      <c r="S255" s="59"/>
      <c r="T255" s="59"/>
      <c r="U255" s="59"/>
    </row>
    <row r="256" ht="35.25" customHeight="1">
      <c r="A256" s="59"/>
      <c r="B256" s="59"/>
      <c r="C256" s="59"/>
      <c r="D256" s="59"/>
      <c r="E256" s="178"/>
      <c r="F256" s="59"/>
      <c r="G256" s="59"/>
      <c r="H256" s="59"/>
      <c r="I256" s="178"/>
      <c r="J256" s="59"/>
      <c r="K256" s="59"/>
      <c r="L256" s="59"/>
      <c r="M256" s="59"/>
      <c r="N256" s="59"/>
      <c r="O256" s="59"/>
      <c r="P256" s="59"/>
      <c r="Q256" s="59"/>
      <c r="R256" s="59"/>
      <c r="S256" s="59"/>
      <c r="T256" s="59"/>
      <c r="U256" s="59"/>
    </row>
    <row r="257" ht="35.25" customHeight="1">
      <c r="A257" s="59"/>
      <c r="B257" s="59"/>
      <c r="C257" s="59"/>
      <c r="D257" s="59"/>
      <c r="E257" s="178"/>
      <c r="F257" s="59"/>
      <c r="G257" s="59"/>
      <c r="H257" s="59"/>
      <c r="I257" s="178"/>
      <c r="J257" s="59"/>
      <c r="K257" s="59"/>
      <c r="L257" s="59"/>
      <c r="M257" s="59"/>
      <c r="N257" s="59"/>
      <c r="O257" s="59"/>
      <c r="P257" s="59"/>
      <c r="Q257" s="59"/>
      <c r="R257" s="59"/>
      <c r="S257" s="59"/>
      <c r="T257" s="59"/>
      <c r="U257" s="59"/>
    </row>
    <row r="258" ht="35.25" customHeight="1">
      <c r="A258" s="59"/>
      <c r="B258" s="59"/>
      <c r="C258" s="59"/>
      <c r="D258" s="59"/>
      <c r="E258" s="178"/>
      <c r="F258" s="59"/>
      <c r="G258" s="59"/>
      <c r="H258" s="59"/>
      <c r="I258" s="178"/>
      <c r="J258" s="59"/>
      <c r="K258" s="59"/>
      <c r="L258" s="59"/>
      <c r="M258" s="59"/>
      <c r="N258" s="59"/>
      <c r="O258" s="59"/>
      <c r="P258" s="59"/>
      <c r="Q258" s="59"/>
      <c r="R258" s="59"/>
      <c r="S258" s="59"/>
      <c r="T258" s="59"/>
      <c r="U258" s="59"/>
    </row>
    <row r="259" ht="35.25" customHeight="1">
      <c r="A259" s="59"/>
      <c r="B259" s="59"/>
      <c r="C259" s="59"/>
      <c r="D259" s="59"/>
      <c r="E259" s="178"/>
      <c r="F259" s="59"/>
      <c r="G259" s="59"/>
      <c r="H259" s="59"/>
      <c r="I259" s="178"/>
      <c r="J259" s="59"/>
      <c r="K259" s="59"/>
      <c r="L259" s="59"/>
      <c r="M259" s="59"/>
      <c r="N259" s="59"/>
      <c r="O259" s="59"/>
      <c r="P259" s="59"/>
      <c r="Q259" s="59"/>
      <c r="R259" s="59"/>
      <c r="S259" s="59"/>
      <c r="T259" s="59"/>
      <c r="U259" s="59"/>
    </row>
    <row r="260" ht="35.25" customHeight="1">
      <c r="A260" s="59"/>
      <c r="B260" s="59"/>
      <c r="C260" s="59"/>
      <c r="D260" s="59"/>
      <c r="E260" s="178"/>
      <c r="F260" s="59"/>
      <c r="G260" s="59"/>
      <c r="H260" s="59"/>
      <c r="I260" s="178"/>
      <c r="J260" s="59"/>
      <c r="K260" s="59"/>
      <c r="L260" s="59"/>
      <c r="M260" s="59"/>
      <c r="N260" s="59"/>
      <c r="O260" s="59"/>
      <c r="P260" s="59"/>
      <c r="Q260" s="59"/>
      <c r="R260" s="59"/>
      <c r="S260" s="59"/>
      <c r="T260" s="59"/>
      <c r="U260" s="59"/>
    </row>
    <row r="261" ht="35.25" customHeight="1">
      <c r="A261" s="59"/>
      <c r="B261" s="59"/>
      <c r="C261" s="59"/>
      <c r="D261" s="59"/>
      <c r="E261" s="178"/>
      <c r="F261" s="59"/>
      <c r="G261" s="59"/>
      <c r="H261" s="59"/>
      <c r="I261" s="178"/>
      <c r="J261" s="59"/>
      <c r="K261" s="59"/>
      <c r="L261" s="59"/>
      <c r="M261" s="59"/>
      <c r="N261" s="59"/>
      <c r="O261" s="59"/>
      <c r="P261" s="59"/>
      <c r="Q261" s="59"/>
      <c r="R261" s="59"/>
      <c r="S261" s="59"/>
      <c r="T261" s="59"/>
      <c r="U261" s="59"/>
    </row>
    <row r="262" ht="35.25" customHeight="1">
      <c r="A262" s="59"/>
      <c r="B262" s="59"/>
      <c r="C262" s="59"/>
      <c r="D262" s="59"/>
      <c r="E262" s="178"/>
      <c r="F262" s="59"/>
      <c r="G262" s="59"/>
      <c r="H262" s="59"/>
      <c r="I262" s="178"/>
      <c r="J262" s="59"/>
      <c r="K262" s="59"/>
      <c r="L262" s="59"/>
      <c r="M262" s="59"/>
      <c r="N262" s="59"/>
      <c r="O262" s="59"/>
      <c r="P262" s="59"/>
      <c r="Q262" s="59"/>
      <c r="R262" s="59"/>
      <c r="S262" s="59"/>
      <c r="T262" s="59"/>
      <c r="U262" s="59"/>
    </row>
    <row r="263" ht="35.25" customHeight="1">
      <c r="A263" s="59"/>
      <c r="B263" s="59"/>
      <c r="C263" s="59"/>
      <c r="D263" s="59"/>
      <c r="E263" s="178"/>
      <c r="F263" s="59"/>
      <c r="G263" s="59"/>
      <c r="H263" s="59"/>
      <c r="I263" s="178"/>
      <c r="J263" s="59"/>
      <c r="K263" s="59"/>
      <c r="L263" s="59"/>
      <c r="M263" s="59"/>
      <c r="N263" s="59"/>
      <c r="O263" s="59"/>
      <c r="P263" s="59"/>
      <c r="Q263" s="59"/>
      <c r="R263" s="59"/>
      <c r="S263" s="59"/>
      <c r="T263" s="59"/>
      <c r="U263" s="59"/>
    </row>
    <row r="264" ht="35.25" customHeight="1">
      <c r="A264" s="59"/>
      <c r="B264" s="59"/>
      <c r="C264" s="59"/>
      <c r="D264" s="59"/>
      <c r="E264" s="178"/>
      <c r="F264" s="59"/>
      <c r="G264" s="59"/>
      <c r="H264" s="59"/>
      <c r="I264" s="178"/>
      <c r="J264" s="59"/>
      <c r="K264" s="59"/>
      <c r="L264" s="59"/>
      <c r="M264" s="59"/>
      <c r="N264" s="59"/>
      <c r="O264" s="59"/>
      <c r="P264" s="59"/>
      <c r="Q264" s="59"/>
      <c r="R264" s="59"/>
      <c r="S264" s="59"/>
      <c r="T264" s="59"/>
      <c r="U264" s="59"/>
    </row>
    <row r="265" ht="35.25" customHeight="1">
      <c r="A265" s="59"/>
      <c r="B265" s="59"/>
      <c r="C265" s="59"/>
      <c r="D265" s="59"/>
      <c r="E265" s="178"/>
      <c r="F265" s="59"/>
      <c r="G265" s="59"/>
      <c r="H265" s="59"/>
      <c r="I265" s="178"/>
      <c r="J265" s="59"/>
      <c r="K265" s="59"/>
      <c r="L265" s="59"/>
      <c r="M265" s="59"/>
      <c r="N265" s="59"/>
      <c r="O265" s="59"/>
      <c r="P265" s="59"/>
      <c r="Q265" s="59"/>
      <c r="R265" s="59"/>
      <c r="S265" s="59"/>
      <c r="T265" s="59"/>
      <c r="U265" s="59"/>
    </row>
    <row r="266" ht="35.25" customHeight="1">
      <c r="A266" s="59"/>
      <c r="B266" s="59"/>
      <c r="C266" s="59"/>
      <c r="D266" s="59"/>
      <c r="E266" s="178"/>
      <c r="F266" s="59"/>
      <c r="G266" s="59"/>
      <c r="H266" s="59"/>
      <c r="I266" s="178"/>
      <c r="J266" s="59"/>
      <c r="K266" s="59"/>
      <c r="L266" s="59"/>
      <c r="M266" s="59"/>
      <c r="N266" s="59"/>
      <c r="O266" s="59"/>
      <c r="P266" s="59"/>
      <c r="Q266" s="59"/>
      <c r="R266" s="59"/>
      <c r="S266" s="59"/>
      <c r="T266" s="59"/>
      <c r="U266" s="59"/>
    </row>
    <row r="267" ht="35.25" customHeight="1">
      <c r="A267" s="59"/>
      <c r="B267" s="59"/>
      <c r="C267" s="59"/>
      <c r="D267" s="59"/>
      <c r="E267" s="178"/>
      <c r="F267" s="59"/>
      <c r="G267" s="59"/>
      <c r="H267" s="59"/>
      <c r="I267" s="178"/>
      <c r="J267" s="59"/>
      <c r="K267" s="59"/>
      <c r="L267" s="59"/>
      <c r="M267" s="59"/>
      <c r="N267" s="59"/>
      <c r="O267" s="59"/>
      <c r="P267" s="59"/>
      <c r="Q267" s="59"/>
      <c r="R267" s="59"/>
      <c r="S267" s="59"/>
      <c r="T267" s="59"/>
      <c r="U267" s="59"/>
    </row>
    <row r="268" ht="35.25" customHeight="1">
      <c r="A268" s="59"/>
      <c r="B268" s="59"/>
      <c r="C268" s="59"/>
      <c r="D268" s="59"/>
      <c r="E268" s="178"/>
      <c r="F268" s="59"/>
      <c r="G268" s="59"/>
      <c r="H268" s="59"/>
      <c r="I268" s="178"/>
      <c r="J268" s="59"/>
      <c r="K268" s="59"/>
      <c r="L268" s="59"/>
      <c r="M268" s="59"/>
      <c r="N268" s="59"/>
      <c r="O268" s="59"/>
      <c r="P268" s="59"/>
      <c r="Q268" s="59"/>
      <c r="R268" s="59"/>
      <c r="S268" s="59"/>
      <c r="T268" s="59"/>
      <c r="U268" s="59"/>
    </row>
    <row r="269" ht="35.25" customHeight="1">
      <c r="A269" s="59"/>
      <c r="B269" s="59"/>
      <c r="C269" s="59"/>
      <c r="D269" s="59"/>
      <c r="E269" s="178"/>
      <c r="F269" s="59"/>
      <c r="G269" s="59"/>
      <c r="H269" s="59"/>
      <c r="I269" s="178"/>
      <c r="J269" s="59"/>
      <c r="K269" s="59"/>
      <c r="L269" s="59"/>
      <c r="M269" s="59"/>
      <c r="N269" s="59"/>
      <c r="O269" s="59"/>
      <c r="P269" s="59"/>
      <c r="Q269" s="59"/>
      <c r="R269" s="59"/>
      <c r="S269" s="59"/>
      <c r="T269" s="59"/>
      <c r="U269" s="59"/>
    </row>
    <row r="270" ht="35.25" customHeight="1">
      <c r="A270" s="59"/>
      <c r="B270" s="59"/>
      <c r="C270" s="59"/>
      <c r="D270" s="59"/>
      <c r="E270" s="178"/>
      <c r="F270" s="59"/>
      <c r="G270" s="59"/>
      <c r="H270" s="59"/>
      <c r="I270" s="178"/>
      <c r="J270" s="59"/>
      <c r="K270" s="59"/>
      <c r="L270" s="59"/>
      <c r="M270" s="59"/>
      <c r="N270" s="59"/>
      <c r="O270" s="59"/>
      <c r="P270" s="59"/>
      <c r="Q270" s="59"/>
      <c r="R270" s="59"/>
      <c r="S270" s="59"/>
      <c r="T270" s="59"/>
      <c r="U270" s="59"/>
    </row>
    <row r="271" ht="35.25" customHeight="1">
      <c r="A271" s="59"/>
      <c r="B271" s="59"/>
      <c r="C271" s="59"/>
      <c r="D271" s="59"/>
      <c r="E271" s="178"/>
      <c r="F271" s="59"/>
      <c r="G271" s="59"/>
      <c r="H271" s="59"/>
      <c r="I271" s="178"/>
      <c r="J271" s="59"/>
      <c r="K271" s="59"/>
      <c r="L271" s="59"/>
      <c r="M271" s="59"/>
      <c r="N271" s="59"/>
      <c r="O271" s="59"/>
      <c r="P271" s="59"/>
      <c r="Q271" s="59"/>
      <c r="R271" s="59"/>
      <c r="S271" s="59"/>
      <c r="T271" s="59"/>
      <c r="U271" s="59"/>
    </row>
    <row r="272" ht="35.25" customHeight="1">
      <c r="A272" s="59"/>
      <c r="B272" s="59"/>
      <c r="C272" s="59"/>
      <c r="D272" s="59"/>
      <c r="E272" s="178"/>
      <c r="F272" s="59"/>
      <c r="G272" s="59"/>
      <c r="H272" s="59"/>
      <c r="I272" s="178"/>
      <c r="J272" s="59"/>
      <c r="K272" s="59"/>
      <c r="L272" s="59"/>
      <c r="M272" s="59"/>
      <c r="N272" s="59"/>
      <c r="O272" s="59"/>
      <c r="P272" s="59"/>
      <c r="Q272" s="59"/>
      <c r="R272" s="59"/>
      <c r="S272" s="59"/>
      <c r="T272" s="59"/>
      <c r="U272" s="59"/>
    </row>
    <row r="273" ht="35.25" customHeight="1">
      <c r="A273" s="59"/>
      <c r="B273" s="59"/>
      <c r="C273" s="59"/>
      <c r="D273" s="59"/>
      <c r="E273" s="178"/>
      <c r="F273" s="59"/>
      <c r="G273" s="59"/>
      <c r="H273" s="59"/>
      <c r="I273" s="178"/>
      <c r="J273" s="59"/>
      <c r="K273" s="59"/>
      <c r="L273" s="59"/>
      <c r="M273" s="59"/>
      <c r="N273" s="59"/>
      <c r="O273" s="59"/>
      <c r="P273" s="59"/>
      <c r="Q273" s="59"/>
      <c r="R273" s="59"/>
      <c r="S273" s="59"/>
      <c r="T273" s="59"/>
      <c r="U273" s="59"/>
    </row>
    <row r="274" ht="35.25" customHeight="1">
      <c r="A274" s="59"/>
      <c r="B274" s="59"/>
      <c r="C274" s="59"/>
      <c r="D274" s="59"/>
      <c r="E274" s="178"/>
      <c r="F274" s="59"/>
      <c r="G274" s="59"/>
      <c r="H274" s="59"/>
      <c r="I274" s="178"/>
      <c r="J274" s="59"/>
      <c r="K274" s="59"/>
      <c r="L274" s="59"/>
      <c r="M274" s="59"/>
      <c r="N274" s="59"/>
      <c r="O274" s="59"/>
      <c r="P274" s="59"/>
      <c r="Q274" s="59"/>
      <c r="R274" s="59"/>
      <c r="S274" s="59"/>
      <c r="T274" s="59"/>
      <c r="U274" s="59"/>
    </row>
    <row r="275" ht="35.25" customHeight="1">
      <c r="A275" s="59"/>
      <c r="B275" s="59"/>
      <c r="C275" s="59"/>
      <c r="D275" s="59"/>
      <c r="E275" s="178"/>
      <c r="F275" s="59"/>
      <c r="G275" s="59"/>
      <c r="H275" s="59"/>
      <c r="I275" s="178"/>
      <c r="J275" s="59"/>
      <c r="K275" s="59"/>
      <c r="L275" s="59"/>
      <c r="M275" s="59"/>
      <c r="N275" s="59"/>
      <c r="O275" s="59"/>
      <c r="P275" s="59"/>
      <c r="Q275" s="59"/>
      <c r="R275" s="59"/>
      <c r="S275" s="59"/>
      <c r="T275" s="59"/>
      <c r="U275" s="59"/>
    </row>
    <row r="276" ht="35.25" customHeight="1">
      <c r="A276" s="59"/>
      <c r="B276" s="59"/>
      <c r="C276" s="59"/>
      <c r="D276" s="59"/>
      <c r="E276" s="178"/>
      <c r="F276" s="59"/>
      <c r="G276" s="59"/>
      <c r="H276" s="59"/>
      <c r="I276" s="178"/>
      <c r="J276" s="59"/>
      <c r="K276" s="59"/>
      <c r="L276" s="59"/>
      <c r="M276" s="59"/>
      <c r="N276" s="59"/>
      <c r="O276" s="59"/>
      <c r="P276" s="59"/>
      <c r="Q276" s="59"/>
      <c r="R276" s="59"/>
      <c r="S276" s="59"/>
      <c r="T276" s="59"/>
      <c r="U276" s="59"/>
    </row>
    <row r="277" ht="35.25" customHeight="1">
      <c r="A277" s="59"/>
      <c r="B277" s="59"/>
      <c r="C277" s="59"/>
      <c r="D277" s="59"/>
      <c r="E277" s="178"/>
      <c r="F277" s="59"/>
      <c r="G277" s="59"/>
      <c r="H277" s="59"/>
      <c r="I277" s="178"/>
      <c r="J277" s="59"/>
      <c r="K277" s="59"/>
      <c r="L277" s="59"/>
      <c r="M277" s="59"/>
      <c r="N277" s="59"/>
      <c r="O277" s="59"/>
      <c r="P277" s="59"/>
      <c r="Q277" s="59"/>
      <c r="R277" s="59"/>
      <c r="S277" s="59"/>
      <c r="T277" s="59"/>
      <c r="U277" s="59"/>
    </row>
    <row r="278" ht="35.25" customHeight="1">
      <c r="A278" s="59"/>
      <c r="B278" s="59"/>
      <c r="C278" s="59"/>
      <c r="D278" s="59"/>
      <c r="E278" s="178"/>
      <c r="F278" s="59"/>
      <c r="G278" s="59"/>
      <c r="H278" s="59"/>
      <c r="I278" s="178"/>
      <c r="J278" s="59"/>
      <c r="K278" s="59"/>
      <c r="L278" s="59"/>
      <c r="M278" s="59"/>
      <c r="N278" s="59"/>
      <c r="O278" s="59"/>
      <c r="P278" s="59"/>
      <c r="Q278" s="59"/>
      <c r="R278" s="59"/>
      <c r="S278" s="59"/>
      <c r="T278" s="59"/>
      <c r="U278" s="59"/>
    </row>
    <row r="279" ht="35.25" customHeight="1">
      <c r="A279" s="59"/>
      <c r="B279" s="59"/>
      <c r="C279" s="59"/>
      <c r="D279" s="59"/>
      <c r="E279" s="178"/>
      <c r="F279" s="59"/>
      <c r="G279" s="59"/>
      <c r="H279" s="59"/>
      <c r="I279" s="178"/>
      <c r="J279" s="59"/>
      <c r="K279" s="59"/>
      <c r="L279" s="59"/>
      <c r="M279" s="59"/>
      <c r="N279" s="59"/>
      <c r="O279" s="59"/>
      <c r="P279" s="59"/>
      <c r="Q279" s="59"/>
      <c r="R279" s="59"/>
      <c r="S279" s="59"/>
      <c r="T279" s="59"/>
      <c r="U279" s="59"/>
    </row>
    <row r="280" ht="35.25" customHeight="1">
      <c r="A280" s="59"/>
      <c r="B280" s="59"/>
      <c r="C280" s="59"/>
      <c r="D280" s="59"/>
      <c r="E280" s="178"/>
      <c r="F280" s="59"/>
      <c r="G280" s="59"/>
      <c r="H280" s="59"/>
      <c r="I280" s="178"/>
      <c r="J280" s="59"/>
      <c r="K280" s="59"/>
      <c r="L280" s="59"/>
      <c r="M280" s="59"/>
      <c r="N280" s="59"/>
      <c r="O280" s="59"/>
      <c r="P280" s="59"/>
      <c r="Q280" s="59"/>
      <c r="R280" s="59"/>
      <c r="S280" s="59"/>
      <c r="T280" s="59"/>
      <c r="U280" s="59"/>
    </row>
    <row r="281" ht="35.25" customHeight="1">
      <c r="A281" s="59"/>
      <c r="B281" s="59"/>
      <c r="C281" s="59"/>
      <c r="D281" s="59"/>
      <c r="E281" s="178"/>
      <c r="F281" s="59"/>
      <c r="G281" s="59"/>
      <c r="H281" s="59"/>
      <c r="I281" s="178"/>
      <c r="J281" s="59"/>
      <c r="K281" s="59"/>
      <c r="L281" s="59"/>
      <c r="M281" s="59"/>
      <c r="N281" s="59"/>
      <c r="O281" s="59"/>
      <c r="P281" s="59"/>
      <c r="Q281" s="59"/>
      <c r="R281" s="59"/>
      <c r="S281" s="59"/>
      <c r="T281" s="59"/>
      <c r="U281" s="59"/>
    </row>
    <row r="282" ht="35.25" customHeight="1">
      <c r="A282" s="59"/>
      <c r="B282" s="59"/>
      <c r="C282" s="59"/>
      <c r="D282" s="59"/>
      <c r="E282" s="178"/>
      <c r="F282" s="59"/>
      <c r="G282" s="59"/>
      <c r="H282" s="59"/>
      <c r="I282" s="178"/>
      <c r="J282" s="59"/>
      <c r="K282" s="59"/>
      <c r="L282" s="59"/>
      <c r="M282" s="59"/>
      <c r="N282" s="59"/>
      <c r="O282" s="59"/>
      <c r="P282" s="59"/>
      <c r="Q282" s="59"/>
      <c r="R282" s="59"/>
      <c r="S282" s="59"/>
      <c r="T282" s="59"/>
      <c r="U282" s="59"/>
    </row>
    <row r="283" ht="35.25" customHeight="1">
      <c r="A283" s="59"/>
      <c r="B283" s="59"/>
      <c r="C283" s="59"/>
      <c r="D283" s="59"/>
      <c r="E283" s="178"/>
      <c r="F283" s="59"/>
      <c r="G283" s="59"/>
      <c r="H283" s="59"/>
      <c r="I283" s="178"/>
      <c r="J283" s="59"/>
      <c r="K283" s="59"/>
      <c r="L283" s="59"/>
      <c r="M283" s="59"/>
      <c r="N283" s="59"/>
      <c r="O283" s="59"/>
      <c r="P283" s="59"/>
      <c r="Q283" s="59"/>
      <c r="R283" s="59"/>
      <c r="S283" s="59"/>
      <c r="T283" s="59"/>
      <c r="U283" s="59"/>
    </row>
    <row r="284" ht="35.25" customHeight="1">
      <c r="A284" s="59"/>
      <c r="B284" s="59"/>
      <c r="C284" s="59"/>
      <c r="D284" s="59"/>
      <c r="E284" s="178"/>
      <c r="F284" s="59"/>
      <c r="G284" s="59"/>
      <c r="H284" s="59"/>
      <c r="I284" s="178"/>
      <c r="J284" s="59"/>
      <c r="K284" s="59"/>
      <c r="L284" s="59"/>
      <c r="M284" s="59"/>
      <c r="N284" s="59"/>
      <c r="O284" s="59"/>
      <c r="P284" s="59"/>
      <c r="Q284" s="59"/>
      <c r="R284" s="59"/>
      <c r="S284" s="59"/>
      <c r="T284" s="59"/>
      <c r="U284" s="59"/>
    </row>
    <row r="285" ht="35.25" customHeight="1">
      <c r="A285" s="59"/>
      <c r="B285" s="59"/>
      <c r="C285" s="59"/>
      <c r="D285" s="59"/>
      <c r="E285" s="178"/>
      <c r="F285" s="59"/>
      <c r="G285" s="59"/>
      <c r="H285" s="59"/>
      <c r="I285" s="178"/>
      <c r="J285" s="59"/>
      <c r="K285" s="59"/>
      <c r="L285" s="59"/>
      <c r="M285" s="59"/>
      <c r="N285" s="59"/>
      <c r="O285" s="59"/>
      <c r="P285" s="59"/>
      <c r="Q285" s="59"/>
      <c r="R285" s="59"/>
      <c r="S285" s="59"/>
      <c r="T285" s="59"/>
      <c r="U285" s="59"/>
    </row>
    <row r="286" ht="35.25" customHeight="1">
      <c r="A286" s="59"/>
      <c r="B286" s="59"/>
      <c r="C286" s="59"/>
      <c r="D286" s="59"/>
      <c r="E286" s="178"/>
      <c r="F286" s="59"/>
      <c r="G286" s="59"/>
      <c r="H286" s="59"/>
      <c r="I286" s="178"/>
      <c r="J286" s="59"/>
      <c r="K286" s="59"/>
      <c r="L286" s="59"/>
      <c r="M286" s="59"/>
      <c r="N286" s="59"/>
      <c r="O286" s="59"/>
      <c r="P286" s="59"/>
      <c r="Q286" s="59"/>
      <c r="R286" s="59"/>
      <c r="S286" s="59"/>
      <c r="T286" s="59"/>
      <c r="U286" s="59"/>
    </row>
    <row r="287" ht="35.25" customHeight="1">
      <c r="A287" s="59"/>
      <c r="B287" s="59"/>
      <c r="C287" s="59"/>
      <c r="D287" s="59"/>
      <c r="E287" s="178"/>
      <c r="F287" s="59"/>
      <c r="G287" s="59"/>
      <c r="H287" s="59"/>
      <c r="I287" s="178"/>
      <c r="J287" s="59"/>
      <c r="K287" s="59"/>
      <c r="L287" s="59"/>
      <c r="M287" s="59"/>
      <c r="N287" s="59"/>
      <c r="O287" s="59"/>
      <c r="P287" s="59"/>
      <c r="Q287" s="59"/>
      <c r="R287" s="59"/>
      <c r="S287" s="59"/>
      <c r="T287" s="59"/>
      <c r="U287" s="59"/>
    </row>
    <row r="288" ht="35.25" customHeight="1">
      <c r="A288" s="59"/>
      <c r="B288" s="59"/>
      <c r="C288" s="59"/>
      <c r="D288" s="59"/>
      <c r="E288" s="178"/>
      <c r="F288" s="59"/>
      <c r="G288" s="59"/>
      <c r="H288" s="59"/>
      <c r="I288" s="178"/>
      <c r="J288" s="59"/>
      <c r="K288" s="59"/>
      <c r="L288" s="59"/>
      <c r="M288" s="59"/>
      <c r="N288" s="59"/>
      <c r="O288" s="59"/>
      <c r="P288" s="59"/>
      <c r="Q288" s="59"/>
      <c r="R288" s="59"/>
      <c r="S288" s="59"/>
      <c r="T288" s="59"/>
      <c r="U288" s="59"/>
    </row>
    <row r="289" ht="35.25" customHeight="1">
      <c r="A289" s="59"/>
      <c r="B289" s="59"/>
      <c r="C289" s="59"/>
      <c r="D289" s="59"/>
      <c r="E289" s="178"/>
      <c r="F289" s="59"/>
      <c r="G289" s="59"/>
      <c r="H289" s="59"/>
      <c r="I289" s="178"/>
      <c r="J289" s="59"/>
      <c r="K289" s="59"/>
      <c r="L289" s="59"/>
      <c r="M289" s="59"/>
      <c r="N289" s="59"/>
      <c r="O289" s="59"/>
      <c r="P289" s="59"/>
      <c r="Q289" s="59"/>
      <c r="R289" s="59"/>
      <c r="S289" s="59"/>
      <c r="T289" s="59"/>
      <c r="U289" s="59"/>
    </row>
    <row r="290" ht="35.25" customHeight="1">
      <c r="A290" s="59"/>
      <c r="B290" s="59"/>
      <c r="C290" s="59"/>
      <c r="D290" s="59"/>
      <c r="E290" s="178"/>
      <c r="F290" s="59"/>
      <c r="G290" s="59"/>
      <c r="H290" s="59"/>
      <c r="I290" s="178"/>
      <c r="J290" s="59"/>
      <c r="K290" s="59"/>
      <c r="L290" s="59"/>
      <c r="M290" s="59"/>
      <c r="N290" s="59"/>
      <c r="O290" s="59"/>
      <c r="P290" s="59"/>
      <c r="Q290" s="59"/>
      <c r="R290" s="59"/>
      <c r="S290" s="59"/>
      <c r="T290" s="59"/>
      <c r="U290" s="59"/>
    </row>
    <row r="291" ht="35.25" customHeight="1">
      <c r="A291" s="59"/>
      <c r="B291" s="59"/>
      <c r="C291" s="59"/>
      <c r="D291" s="59"/>
      <c r="E291" s="178"/>
      <c r="F291" s="59"/>
      <c r="G291" s="59"/>
      <c r="H291" s="59"/>
      <c r="I291" s="178"/>
      <c r="J291" s="59"/>
      <c r="K291" s="59"/>
      <c r="L291" s="59"/>
      <c r="M291" s="59"/>
      <c r="N291" s="59"/>
      <c r="O291" s="59"/>
      <c r="P291" s="59"/>
      <c r="Q291" s="59"/>
      <c r="R291" s="59"/>
      <c r="S291" s="59"/>
      <c r="T291" s="59"/>
      <c r="U291" s="59"/>
    </row>
    <row r="292" ht="35.25" customHeight="1">
      <c r="A292" s="59"/>
      <c r="B292" s="59"/>
      <c r="C292" s="59"/>
      <c r="D292" s="59"/>
      <c r="E292" s="178"/>
      <c r="F292" s="59"/>
      <c r="G292" s="59"/>
      <c r="H292" s="59"/>
      <c r="I292" s="178"/>
      <c r="J292" s="59"/>
      <c r="K292" s="59"/>
      <c r="L292" s="59"/>
      <c r="M292" s="59"/>
      <c r="N292" s="59"/>
      <c r="O292" s="59"/>
      <c r="P292" s="59"/>
      <c r="Q292" s="59"/>
      <c r="R292" s="59"/>
      <c r="S292" s="59"/>
      <c r="T292" s="59"/>
      <c r="U292" s="59"/>
    </row>
    <row r="293" ht="35.25" customHeight="1">
      <c r="A293" s="59"/>
      <c r="B293" s="59"/>
      <c r="C293" s="59"/>
      <c r="D293" s="59"/>
      <c r="E293" s="178"/>
      <c r="F293" s="59"/>
      <c r="G293" s="59"/>
      <c r="H293" s="59"/>
      <c r="I293" s="178"/>
      <c r="J293" s="59"/>
      <c r="K293" s="59"/>
      <c r="L293" s="59"/>
      <c r="M293" s="59"/>
      <c r="N293" s="59"/>
      <c r="O293" s="59"/>
      <c r="P293" s="59"/>
      <c r="Q293" s="59"/>
      <c r="R293" s="59"/>
      <c r="S293" s="59"/>
      <c r="T293" s="59"/>
      <c r="U293" s="59"/>
    </row>
    <row r="294" ht="35.25" customHeight="1">
      <c r="A294" s="59"/>
      <c r="B294" s="59"/>
      <c r="C294" s="59"/>
      <c r="D294" s="59"/>
      <c r="E294" s="178"/>
      <c r="F294" s="59"/>
      <c r="G294" s="59"/>
      <c r="H294" s="59"/>
      <c r="I294" s="178"/>
      <c r="J294" s="59"/>
      <c r="K294" s="59"/>
      <c r="L294" s="59"/>
      <c r="M294" s="59"/>
      <c r="N294" s="59"/>
      <c r="O294" s="59"/>
      <c r="P294" s="59"/>
      <c r="Q294" s="59"/>
      <c r="R294" s="59"/>
      <c r="S294" s="59"/>
      <c r="T294" s="59"/>
      <c r="U294" s="59"/>
    </row>
    <row r="295" ht="35.25" customHeight="1">
      <c r="A295" s="59"/>
      <c r="B295" s="59"/>
      <c r="C295" s="59"/>
      <c r="D295" s="59"/>
      <c r="E295" s="178"/>
      <c r="F295" s="59"/>
      <c r="G295" s="59"/>
      <c r="H295" s="59"/>
      <c r="I295" s="178"/>
      <c r="J295" s="59"/>
      <c r="K295" s="59"/>
      <c r="L295" s="59"/>
      <c r="M295" s="59"/>
      <c r="N295" s="59"/>
      <c r="O295" s="59"/>
      <c r="P295" s="59"/>
      <c r="Q295" s="59"/>
      <c r="R295" s="59"/>
      <c r="S295" s="59"/>
      <c r="T295" s="59"/>
      <c r="U295" s="59"/>
    </row>
    <row r="296" ht="35.25" customHeight="1">
      <c r="A296" s="59"/>
      <c r="B296" s="59"/>
      <c r="C296" s="59"/>
      <c r="D296" s="59"/>
      <c r="E296" s="178"/>
      <c r="F296" s="59"/>
      <c r="G296" s="59"/>
      <c r="H296" s="59"/>
      <c r="I296" s="178"/>
      <c r="J296" s="59"/>
      <c r="K296" s="59"/>
      <c r="L296" s="59"/>
      <c r="M296" s="59"/>
      <c r="N296" s="59"/>
      <c r="O296" s="59"/>
      <c r="P296" s="59"/>
      <c r="Q296" s="59"/>
      <c r="R296" s="59"/>
      <c r="S296" s="59"/>
      <c r="T296" s="59"/>
      <c r="U296" s="59"/>
    </row>
    <row r="297" ht="35.25" customHeight="1">
      <c r="A297" s="59"/>
      <c r="B297" s="59"/>
      <c r="C297" s="59"/>
      <c r="D297" s="59"/>
      <c r="E297" s="178"/>
      <c r="F297" s="59"/>
      <c r="G297" s="59"/>
      <c r="H297" s="59"/>
      <c r="I297" s="178"/>
      <c r="J297" s="59"/>
      <c r="K297" s="59"/>
      <c r="L297" s="59"/>
      <c r="M297" s="59"/>
      <c r="N297" s="59"/>
      <c r="O297" s="59"/>
      <c r="P297" s="59"/>
      <c r="Q297" s="59"/>
      <c r="R297" s="59"/>
      <c r="S297" s="59"/>
      <c r="T297" s="59"/>
      <c r="U297" s="59"/>
    </row>
    <row r="298" ht="35.25" customHeight="1">
      <c r="A298" s="59"/>
      <c r="B298" s="59"/>
      <c r="C298" s="59"/>
      <c r="D298" s="59"/>
      <c r="E298" s="178"/>
      <c r="F298" s="59"/>
      <c r="G298" s="59"/>
      <c r="H298" s="59"/>
      <c r="I298" s="178"/>
      <c r="J298" s="59"/>
      <c r="K298" s="59"/>
      <c r="L298" s="59"/>
      <c r="M298" s="59"/>
      <c r="N298" s="59"/>
      <c r="O298" s="59"/>
      <c r="P298" s="59"/>
      <c r="Q298" s="59"/>
      <c r="R298" s="59"/>
      <c r="S298" s="59"/>
      <c r="T298" s="59"/>
      <c r="U298" s="59"/>
    </row>
    <row r="299" ht="35.25" customHeight="1">
      <c r="A299" s="59"/>
      <c r="B299" s="59"/>
      <c r="C299" s="59"/>
      <c r="D299" s="59"/>
      <c r="E299" s="178"/>
      <c r="F299" s="59"/>
      <c r="G299" s="59"/>
      <c r="H299" s="59"/>
      <c r="I299" s="178"/>
      <c r="J299" s="59"/>
      <c r="K299" s="59"/>
      <c r="L299" s="59"/>
      <c r="M299" s="59"/>
      <c r="N299" s="59"/>
      <c r="O299" s="59"/>
      <c r="P299" s="59"/>
      <c r="Q299" s="59"/>
      <c r="R299" s="59"/>
      <c r="S299" s="59"/>
      <c r="T299" s="59"/>
      <c r="U299" s="59"/>
    </row>
    <row r="300" ht="35.25" customHeight="1">
      <c r="A300" s="59"/>
      <c r="B300" s="59"/>
      <c r="C300" s="59"/>
      <c r="D300" s="59"/>
      <c r="E300" s="178"/>
      <c r="F300" s="59"/>
      <c r="G300" s="59"/>
      <c r="H300" s="59"/>
      <c r="I300" s="178"/>
      <c r="J300" s="59"/>
      <c r="K300" s="59"/>
      <c r="L300" s="59"/>
      <c r="M300" s="59"/>
      <c r="N300" s="59"/>
      <c r="O300" s="59"/>
      <c r="P300" s="59"/>
      <c r="Q300" s="59"/>
      <c r="R300" s="59"/>
      <c r="S300" s="59"/>
      <c r="T300" s="59"/>
      <c r="U300" s="59"/>
    </row>
    <row r="301" ht="35.25" customHeight="1">
      <c r="A301" s="59"/>
      <c r="B301" s="59"/>
      <c r="C301" s="59"/>
      <c r="D301" s="59"/>
      <c r="E301" s="178"/>
      <c r="F301" s="59"/>
      <c r="G301" s="59"/>
      <c r="H301" s="59"/>
      <c r="I301" s="178"/>
      <c r="J301" s="59"/>
      <c r="K301" s="59"/>
      <c r="L301" s="59"/>
      <c r="M301" s="59"/>
      <c r="N301" s="59"/>
      <c r="O301" s="59"/>
      <c r="P301" s="59"/>
      <c r="Q301" s="59"/>
      <c r="R301" s="59"/>
      <c r="S301" s="59"/>
      <c r="T301" s="59"/>
      <c r="U301" s="59"/>
    </row>
    <row r="302" ht="35.25" customHeight="1">
      <c r="A302" s="59"/>
      <c r="B302" s="59"/>
      <c r="C302" s="59"/>
      <c r="D302" s="59"/>
      <c r="E302" s="178"/>
      <c r="F302" s="59"/>
      <c r="G302" s="59"/>
      <c r="H302" s="59"/>
      <c r="I302" s="178"/>
      <c r="J302" s="59"/>
      <c r="K302" s="59"/>
      <c r="L302" s="59"/>
      <c r="M302" s="59"/>
      <c r="N302" s="59"/>
      <c r="O302" s="59"/>
      <c r="P302" s="59"/>
      <c r="Q302" s="59"/>
      <c r="R302" s="59"/>
      <c r="S302" s="59"/>
      <c r="T302" s="59"/>
      <c r="U302" s="59"/>
    </row>
    <row r="303" ht="35.25" customHeight="1">
      <c r="A303" s="59"/>
      <c r="B303" s="59"/>
      <c r="C303" s="59"/>
      <c r="D303" s="59"/>
      <c r="E303" s="178"/>
      <c r="F303" s="59"/>
      <c r="G303" s="59"/>
      <c r="H303" s="59"/>
      <c r="I303" s="178"/>
      <c r="J303" s="59"/>
      <c r="K303" s="59"/>
      <c r="L303" s="59"/>
      <c r="M303" s="59"/>
      <c r="N303" s="59"/>
      <c r="O303" s="59"/>
      <c r="P303" s="59"/>
      <c r="Q303" s="59"/>
      <c r="R303" s="59"/>
      <c r="S303" s="59"/>
      <c r="T303" s="59"/>
      <c r="U303" s="59"/>
    </row>
    <row r="304" ht="35.25" customHeight="1">
      <c r="A304" s="59"/>
      <c r="B304" s="59"/>
      <c r="C304" s="59"/>
      <c r="D304" s="59"/>
      <c r="E304" s="178"/>
      <c r="F304" s="59"/>
      <c r="G304" s="59"/>
      <c r="H304" s="59"/>
      <c r="I304" s="178"/>
      <c r="J304" s="59"/>
      <c r="K304" s="59"/>
      <c r="L304" s="59"/>
      <c r="M304" s="59"/>
      <c r="N304" s="59"/>
      <c r="O304" s="59"/>
      <c r="P304" s="59"/>
      <c r="Q304" s="59"/>
      <c r="R304" s="59"/>
      <c r="S304" s="59"/>
      <c r="T304" s="59"/>
      <c r="U304" s="59"/>
    </row>
    <row r="305" ht="35.25" customHeight="1">
      <c r="A305" s="59"/>
      <c r="B305" s="59"/>
      <c r="C305" s="59"/>
      <c r="D305" s="59"/>
      <c r="E305" s="178"/>
      <c r="F305" s="59"/>
      <c r="G305" s="59"/>
      <c r="H305" s="59"/>
      <c r="I305" s="178"/>
      <c r="J305" s="59"/>
      <c r="K305" s="59"/>
      <c r="L305" s="59"/>
      <c r="M305" s="59"/>
      <c r="N305" s="59"/>
      <c r="O305" s="59"/>
      <c r="P305" s="59"/>
      <c r="Q305" s="59"/>
      <c r="R305" s="59"/>
      <c r="S305" s="59"/>
      <c r="T305" s="59"/>
      <c r="U305" s="59"/>
    </row>
    <row r="306" ht="35.25" customHeight="1">
      <c r="A306" s="59"/>
      <c r="B306" s="59"/>
      <c r="C306" s="59"/>
      <c r="D306" s="59"/>
      <c r="E306" s="178"/>
      <c r="F306" s="59"/>
      <c r="G306" s="59"/>
      <c r="H306" s="59"/>
      <c r="I306" s="178"/>
      <c r="J306" s="59"/>
      <c r="K306" s="59"/>
      <c r="L306" s="59"/>
      <c r="M306" s="59"/>
      <c r="N306" s="59"/>
      <c r="O306" s="59"/>
      <c r="P306" s="59"/>
      <c r="Q306" s="59"/>
      <c r="R306" s="59"/>
      <c r="S306" s="59"/>
      <c r="T306" s="59"/>
      <c r="U306" s="59"/>
    </row>
    <row r="307" ht="35.25" customHeight="1">
      <c r="A307" s="59"/>
      <c r="B307" s="59"/>
      <c r="C307" s="59"/>
      <c r="D307" s="59"/>
      <c r="E307" s="178"/>
      <c r="F307" s="59"/>
      <c r="G307" s="59"/>
      <c r="H307" s="59"/>
      <c r="I307" s="178"/>
      <c r="J307" s="59"/>
      <c r="K307" s="59"/>
      <c r="L307" s="59"/>
      <c r="M307" s="59"/>
      <c r="N307" s="59"/>
      <c r="O307" s="59"/>
      <c r="P307" s="59"/>
      <c r="Q307" s="59"/>
      <c r="R307" s="59"/>
      <c r="S307" s="59"/>
      <c r="T307" s="59"/>
      <c r="U307" s="59"/>
    </row>
    <row r="308" ht="35.25" customHeight="1">
      <c r="A308" s="59"/>
      <c r="B308" s="59"/>
      <c r="C308" s="59"/>
      <c r="D308" s="59"/>
      <c r="E308" s="178"/>
      <c r="F308" s="59"/>
      <c r="G308" s="59"/>
      <c r="H308" s="59"/>
      <c r="I308" s="178"/>
      <c r="J308" s="59"/>
      <c r="K308" s="59"/>
      <c r="L308" s="59"/>
      <c r="M308" s="59"/>
      <c r="N308" s="59"/>
      <c r="O308" s="59"/>
      <c r="P308" s="59"/>
      <c r="Q308" s="59"/>
      <c r="R308" s="59"/>
      <c r="S308" s="59"/>
      <c r="T308" s="59"/>
      <c r="U308" s="59"/>
    </row>
    <row r="309" ht="35.25" customHeight="1">
      <c r="A309" s="59"/>
      <c r="B309" s="59"/>
      <c r="C309" s="59"/>
      <c r="D309" s="59"/>
      <c r="E309" s="178"/>
      <c r="F309" s="59"/>
      <c r="G309" s="59"/>
      <c r="H309" s="59"/>
      <c r="I309" s="178"/>
      <c r="J309" s="59"/>
      <c r="K309" s="59"/>
      <c r="L309" s="59"/>
      <c r="M309" s="59"/>
      <c r="N309" s="59"/>
      <c r="O309" s="59"/>
      <c r="P309" s="59"/>
      <c r="Q309" s="59"/>
      <c r="R309" s="59"/>
      <c r="S309" s="59"/>
      <c r="T309" s="59"/>
      <c r="U309" s="59"/>
    </row>
    <row r="310" ht="35.25" customHeight="1">
      <c r="A310" s="59"/>
      <c r="B310" s="59"/>
      <c r="C310" s="59"/>
      <c r="D310" s="59"/>
      <c r="E310" s="178"/>
      <c r="F310" s="59"/>
      <c r="G310" s="59"/>
      <c r="H310" s="59"/>
      <c r="I310" s="178"/>
      <c r="J310" s="59"/>
      <c r="K310" s="59"/>
      <c r="L310" s="59"/>
      <c r="M310" s="59"/>
      <c r="N310" s="59"/>
      <c r="O310" s="59"/>
      <c r="P310" s="59"/>
      <c r="Q310" s="59"/>
      <c r="R310" s="59"/>
      <c r="S310" s="59"/>
      <c r="T310" s="59"/>
      <c r="U310" s="59"/>
    </row>
    <row r="311" ht="35.25" customHeight="1">
      <c r="A311" s="59"/>
      <c r="B311" s="59"/>
      <c r="C311" s="59"/>
      <c r="D311" s="59"/>
      <c r="E311" s="178"/>
      <c r="F311" s="59"/>
      <c r="G311" s="59"/>
      <c r="H311" s="59"/>
      <c r="I311" s="178"/>
      <c r="J311" s="59"/>
      <c r="K311" s="59"/>
      <c r="L311" s="59"/>
      <c r="M311" s="59"/>
      <c r="N311" s="59"/>
      <c r="O311" s="59"/>
      <c r="P311" s="59"/>
      <c r="Q311" s="59"/>
      <c r="R311" s="59"/>
      <c r="S311" s="59"/>
      <c r="T311" s="59"/>
      <c r="U311" s="59"/>
    </row>
    <row r="312" ht="35.25" customHeight="1">
      <c r="A312" s="59"/>
      <c r="B312" s="59"/>
      <c r="C312" s="59"/>
      <c r="D312" s="59"/>
      <c r="E312" s="178"/>
      <c r="F312" s="59"/>
      <c r="G312" s="59"/>
      <c r="H312" s="59"/>
      <c r="I312" s="178"/>
      <c r="J312" s="59"/>
      <c r="K312" s="59"/>
      <c r="L312" s="59"/>
      <c r="M312" s="59"/>
      <c r="N312" s="59"/>
      <c r="O312" s="59"/>
      <c r="P312" s="59"/>
      <c r="Q312" s="59"/>
      <c r="R312" s="59"/>
      <c r="S312" s="59"/>
      <c r="T312" s="59"/>
      <c r="U312" s="59"/>
    </row>
    <row r="313" ht="35.25" customHeight="1">
      <c r="A313" s="59"/>
      <c r="B313" s="59"/>
      <c r="C313" s="59"/>
      <c r="D313" s="59"/>
      <c r="E313" s="178"/>
      <c r="F313" s="59"/>
      <c r="G313" s="59"/>
      <c r="H313" s="59"/>
      <c r="I313" s="178"/>
      <c r="J313" s="59"/>
      <c r="K313" s="59"/>
      <c r="L313" s="59"/>
      <c r="M313" s="59"/>
      <c r="N313" s="59"/>
      <c r="O313" s="59"/>
      <c r="P313" s="59"/>
      <c r="Q313" s="59"/>
      <c r="R313" s="59"/>
      <c r="S313" s="59"/>
      <c r="T313" s="59"/>
      <c r="U313" s="59"/>
    </row>
    <row r="314" ht="35.25" customHeight="1">
      <c r="A314" s="59"/>
      <c r="B314" s="59"/>
      <c r="C314" s="59"/>
      <c r="D314" s="59"/>
      <c r="E314" s="178"/>
      <c r="F314" s="59"/>
      <c r="G314" s="59"/>
      <c r="H314" s="59"/>
      <c r="I314" s="178"/>
      <c r="J314" s="59"/>
      <c r="K314" s="59"/>
      <c r="L314" s="59"/>
      <c r="M314" s="59"/>
      <c r="N314" s="59"/>
      <c r="O314" s="59"/>
      <c r="P314" s="59"/>
      <c r="Q314" s="59"/>
      <c r="R314" s="59"/>
      <c r="S314" s="59"/>
      <c r="T314" s="59"/>
      <c r="U314" s="59"/>
    </row>
    <row r="315" ht="35.25" customHeight="1">
      <c r="A315" s="59"/>
      <c r="B315" s="59"/>
      <c r="C315" s="59"/>
      <c r="D315" s="59"/>
      <c r="E315" s="178"/>
      <c r="F315" s="59"/>
      <c r="G315" s="59"/>
      <c r="H315" s="59"/>
      <c r="I315" s="178"/>
      <c r="J315" s="59"/>
      <c r="K315" s="59"/>
      <c r="L315" s="59"/>
      <c r="M315" s="59"/>
      <c r="N315" s="59"/>
      <c r="O315" s="59"/>
      <c r="P315" s="59"/>
      <c r="Q315" s="59"/>
      <c r="R315" s="59"/>
      <c r="S315" s="59"/>
      <c r="T315" s="59"/>
      <c r="U315" s="59"/>
    </row>
    <row r="316" ht="35.25" customHeight="1">
      <c r="A316" s="59"/>
      <c r="B316" s="59"/>
      <c r="C316" s="59"/>
      <c r="D316" s="59"/>
      <c r="E316" s="178"/>
      <c r="F316" s="59"/>
      <c r="G316" s="59"/>
      <c r="H316" s="59"/>
      <c r="I316" s="178"/>
      <c r="J316" s="59"/>
      <c r="K316" s="59"/>
      <c r="L316" s="59"/>
      <c r="M316" s="59"/>
      <c r="N316" s="59"/>
      <c r="O316" s="59"/>
      <c r="P316" s="59"/>
      <c r="Q316" s="59"/>
      <c r="R316" s="59"/>
      <c r="S316" s="59"/>
      <c r="T316" s="59"/>
      <c r="U316" s="59"/>
    </row>
    <row r="317" ht="35.25" customHeight="1">
      <c r="A317" s="59"/>
      <c r="B317" s="59"/>
      <c r="C317" s="59"/>
      <c r="D317" s="59"/>
      <c r="E317" s="178"/>
      <c r="F317" s="59"/>
      <c r="G317" s="59"/>
      <c r="H317" s="59"/>
      <c r="I317" s="178"/>
      <c r="J317" s="59"/>
      <c r="K317" s="59"/>
      <c r="L317" s="59"/>
      <c r="M317" s="59"/>
      <c r="N317" s="59"/>
      <c r="O317" s="59"/>
      <c r="P317" s="59"/>
      <c r="Q317" s="59"/>
      <c r="R317" s="59"/>
      <c r="S317" s="59"/>
      <c r="T317" s="59"/>
      <c r="U317" s="59"/>
    </row>
    <row r="318" ht="35.25" customHeight="1">
      <c r="A318" s="59"/>
      <c r="B318" s="59"/>
      <c r="C318" s="59"/>
      <c r="D318" s="59"/>
      <c r="E318" s="178"/>
      <c r="F318" s="59"/>
      <c r="G318" s="59"/>
      <c r="H318" s="59"/>
      <c r="I318" s="178"/>
      <c r="J318" s="59"/>
      <c r="K318" s="59"/>
      <c r="L318" s="59"/>
      <c r="M318" s="59"/>
      <c r="N318" s="59"/>
      <c r="O318" s="59"/>
      <c r="P318" s="59"/>
      <c r="Q318" s="59"/>
      <c r="R318" s="59"/>
      <c r="S318" s="59"/>
      <c r="T318" s="59"/>
      <c r="U318" s="59"/>
    </row>
    <row r="319" ht="35.25" customHeight="1">
      <c r="A319" s="59"/>
      <c r="B319" s="59"/>
      <c r="C319" s="59"/>
      <c r="D319" s="59"/>
      <c r="E319" s="178"/>
      <c r="F319" s="59"/>
      <c r="G319" s="59"/>
      <c r="H319" s="59"/>
      <c r="I319" s="178"/>
      <c r="J319" s="59"/>
      <c r="K319" s="59"/>
      <c r="L319" s="59"/>
      <c r="M319" s="59"/>
      <c r="N319" s="59"/>
      <c r="O319" s="59"/>
      <c r="P319" s="59"/>
      <c r="Q319" s="59"/>
      <c r="R319" s="59"/>
      <c r="S319" s="59"/>
      <c r="T319" s="59"/>
      <c r="U319" s="59"/>
    </row>
    <row r="320" ht="35.25" customHeight="1">
      <c r="A320" s="59"/>
      <c r="B320" s="59"/>
      <c r="C320" s="59"/>
      <c r="D320" s="59"/>
      <c r="E320" s="178"/>
      <c r="F320" s="59"/>
      <c r="G320" s="59"/>
      <c r="H320" s="59"/>
      <c r="I320" s="178"/>
      <c r="J320" s="59"/>
      <c r="K320" s="59"/>
      <c r="L320" s="59"/>
      <c r="M320" s="59"/>
      <c r="N320" s="59"/>
      <c r="O320" s="59"/>
      <c r="P320" s="59"/>
      <c r="Q320" s="59"/>
      <c r="R320" s="59"/>
      <c r="S320" s="59"/>
      <c r="T320" s="59"/>
      <c r="U320" s="59"/>
    </row>
    <row r="321" ht="35.25" customHeight="1">
      <c r="A321" s="59"/>
      <c r="B321" s="59"/>
      <c r="C321" s="59"/>
      <c r="D321" s="59"/>
      <c r="E321" s="178"/>
      <c r="F321" s="59"/>
      <c r="G321" s="59"/>
      <c r="H321" s="59"/>
      <c r="I321" s="178"/>
      <c r="J321" s="59"/>
      <c r="K321" s="59"/>
      <c r="L321" s="59"/>
      <c r="M321" s="59"/>
      <c r="N321" s="59"/>
      <c r="O321" s="59"/>
      <c r="P321" s="59"/>
      <c r="Q321" s="59"/>
      <c r="R321" s="59"/>
      <c r="S321" s="59"/>
      <c r="T321" s="59"/>
      <c r="U321" s="59"/>
    </row>
    <row r="322" ht="35.25" customHeight="1">
      <c r="A322" s="59"/>
      <c r="B322" s="59"/>
      <c r="C322" s="59"/>
      <c r="D322" s="59"/>
      <c r="E322" s="178"/>
      <c r="F322" s="59"/>
      <c r="G322" s="59"/>
      <c r="H322" s="59"/>
      <c r="I322" s="178"/>
      <c r="J322" s="59"/>
      <c r="K322" s="59"/>
      <c r="L322" s="59"/>
      <c r="M322" s="59"/>
      <c r="N322" s="59"/>
      <c r="O322" s="59"/>
      <c r="P322" s="59"/>
      <c r="Q322" s="59"/>
      <c r="R322" s="59"/>
      <c r="S322" s="59"/>
      <c r="T322" s="59"/>
      <c r="U322" s="59"/>
    </row>
    <row r="323" ht="35.25" customHeight="1">
      <c r="A323" s="59"/>
      <c r="B323" s="59"/>
      <c r="C323" s="59"/>
      <c r="D323" s="59"/>
      <c r="E323" s="178"/>
      <c r="F323" s="59"/>
      <c r="G323" s="59"/>
      <c r="H323" s="59"/>
      <c r="I323" s="178"/>
      <c r="J323" s="59"/>
      <c r="K323" s="59"/>
      <c r="L323" s="59"/>
      <c r="M323" s="59"/>
      <c r="N323" s="59"/>
      <c r="O323" s="59"/>
      <c r="P323" s="59"/>
      <c r="Q323" s="59"/>
      <c r="R323" s="59"/>
      <c r="S323" s="59"/>
      <c r="T323" s="59"/>
      <c r="U323" s="59"/>
    </row>
    <row r="324" ht="35.25" customHeight="1">
      <c r="A324" s="59"/>
      <c r="B324" s="59"/>
      <c r="C324" s="59"/>
      <c r="D324" s="59"/>
      <c r="E324" s="178"/>
      <c r="F324" s="59"/>
      <c r="G324" s="59"/>
      <c r="H324" s="59"/>
      <c r="I324" s="178"/>
      <c r="J324" s="59"/>
      <c r="K324" s="59"/>
      <c r="L324" s="59"/>
      <c r="M324" s="59"/>
      <c r="N324" s="59"/>
      <c r="O324" s="59"/>
      <c r="P324" s="59"/>
      <c r="Q324" s="59"/>
      <c r="R324" s="59"/>
      <c r="S324" s="59"/>
      <c r="T324" s="59"/>
      <c r="U324" s="59"/>
    </row>
    <row r="325" ht="35.25" customHeight="1">
      <c r="A325" s="59"/>
      <c r="B325" s="59"/>
      <c r="C325" s="59"/>
      <c r="D325" s="59"/>
      <c r="E325" s="178"/>
      <c r="F325" s="59"/>
      <c r="G325" s="59"/>
      <c r="H325" s="59"/>
      <c r="I325" s="178"/>
      <c r="J325" s="59"/>
      <c r="K325" s="59"/>
      <c r="L325" s="59"/>
      <c r="M325" s="59"/>
      <c r="N325" s="59"/>
      <c r="O325" s="59"/>
      <c r="P325" s="59"/>
      <c r="Q325" s="59"/>
      <c r="R325" s="59"/>
      <c r="S325" s="59"/>
      <c r="T325" s="59"/>
      <c r="U325" s="59"/>
    </row>
    <row r="326" ht="35.25" customHeight="1">
      <c r="A326" s="59"/>
      <c r="B326" s="59"/>
      <c r="C326" s="59"/>
      <c r="D326" s="59"/>
      <c r="E326" s="178"/>
      <c r="F326" s="59"/>
      <c r="G326" s="59"/>
      <c r="H326" s="59"/>
      <c r="I326" s="178"/>
      <c r="J326" s="59"/>
      <c r="K326" s="59"/>
      <c r="L326" s="59"/>
      <c r="M326" s="59"/>
      <c r="N326" s="59"/>
      <c r="O326" s="59"/>
      <c r="P326" s="59"/>
      <c r="Q326" s="59"/>
      <c r="R326" s="59"/>
      <c r="S326" s="59"/>
      <c r="T326" s="59"/>
      <c r="U326" s="59"/>
    </row>
    <row r="327" ht="35.25" customHeight="1">
      <c r="A327" s="59"/>
      <c r="B327" s="59"/>
      <c r="C327" s="59"/>
      <c r="D327" s="59"/>
      <c r="E327" s="178"/>
      <c r="F327" s="59"/>
      <c r="G327" s="59"/>
      <c r="H327" s="59"/>
      <c r="I327" s="178"/>
      <c r="J327" s="59"/>
      <c r="K327" s="59"/>
      <c r="L327" s="59"/>
      <c r="M327" s="59"/>
      <c r="N327" s="59"/>
      <c r="O327" s="59"/>
      <c r="P327" s="59"/>
      <c r="Q327" s="59"/>
      <c r="R327" s="59"/>
      <c r="S327" s="59"/>
      <c r="T327" s="59"/>
      <c r="U327" s="59"/>
    </row>
    <row r="328" ht="35.25" customHeight="1">
      <c r="A328" s="59"/>
      <c r="B328" s="59"/>
      <c r="C328" s="59"/>
      <c r="D328" s="59"/>
      <c r="E328" s="178"/>
      <c r="F328" s="59"/>
      <c r="G328" s="59"/>
      <c r="H328" s="59"/>
      <c r="I328" s="178"/>
      <c r="J328" s="59"/>
      <c r="K328" s="59"/>
      <c r="L328" s="59"/>
      <c r="M328" s="59"/>
      <c r="N328" s="59"/>
      <c r="O328" s="59"/>
      <c r="P328" s="59"/>
      <c r="Q328" s="59"/>
      <c r="R328" s="59"/>
      <c r="S328" s="59"/>
      <c r="T328" s="59"/>
      <c r="U328" s="59"/>
    </row>
    <row r="329" ht="35.25" customHeight="1">
      <c r="A329" s="59"/>
      <c r="B329" s="59"/>
      <c r="C329" s="59"/>
      <c r="D329" s="59"/>
      <c r="E329" s="178"/>
      <c r="F329" s="59"/>
      <c r="G329" s="59"/>
      <c r="H329" s="59"/>
      <c r="I329" s="178"/>
      <c r="J329" s="59"/>
      <c r="K329" s="59"/>
      <c r="L329" s="59"/>
      <c r="M329" s="59"/>
      <c r="N329" s="59"/>
      <c r="O329" s="59"/>
      <c r="P329" s="59"/>
      <c r="Q329" s="59"/>
      <c r="R329" s="59"/>
      <c r="S329" s="59"/>
      <c r="T329" s="59"/>
      <c r="U329" s="59"/>
    </row>
    <row r="330" ht="35.25" customHeight="1">
      <c r="A330" s="59"/>
      <c r="B330" s="59"/>
      <c r="C330" s="59"/>
      <c r="D330" s="59"/>
      <c r="E330" s="178"/>
      <c r="F330" s="59"/>
      <c r="G330" s="59"/>
      <c r="H330" s="59"/>
      <c r="I330" s="178"/>
      <c r="J330" s="59"/>
      <c r="K330" s="59"/>
      <c r="L330" s="59"/>
      <c r="M330" s="59"/>
      <c r="N330" s="59"/>
      <c r="O330" s="59"/>
      <c r="P330" s="59"/>
      <c r="Q330" s="59"/>
      <c r="R330" s="59"/>
      <c r="S330" s="59"/>
      <c r="T330" s="59"/>
      <c r="U330" s="59"/>
    </row>
    <row r="331" ht="35.25" customHeight="1">
      <c r="A331" s="59"/>
      <c r="B331" s="59"/>
      <c r="C331" s="59"/>
      <c r="D331" s="59"/>
      <c r="E331" s="178"/>
      <c r="F331" s="59"/>
      <c r="G331" s="59"/>
      <c r="H331" s="59"/>
      <c r="I331" s="178"/>
      <c r="J331" s="59"/>
      <c r="K331" s="59"/>
      <c r="L331" s="59"/>
      <c r="M331" s="59"/>
      <c r="N331" s="59"/>
      <c r="O331" s="59"/>
      <c r="P331" s="59"/>
      <c r="Q331" s="59"/>
      <c r="R331" s="59"/>
      <c r="S331" s="59"/>
      <c r="T331" s="59"/>
      <c r="U331" s="59"/>
    </row>
    <row r="332" ht="35.25" customHeight="1">
      <c r="A332" s="59"/>
      <c r="B332" s="59"/>
      <c r="C332" s="59"/>
      <c r="D332" s="59"/>
      <c r="E332" s="178"/>
      <c r="F332" s="59"/>
      <c r="G332" s="59"/>
      <c r="H332" s="59"/>
      <c r="I332" s="178"/>
      <c r="J332" s="59"/>
      <c r="K332" s="59"/>
      <c r="L332" s="59"/>
      <c r="M332" s="59"/>
      <c r="N332" s="59"/>
      <c r="O332" s="59"/>
      <c r="P332" s="59"/>
      <c r="Q332" s="59"/>
      <c r="R332" s="59"/>
      <c r="S332" s="59"/>
      <c r="T332" s="59"/>
      <c r="U332" s="59"/>
    </row>
    <row r="333" ht="35.25" customHeight="1">
      <c r="A333" s="59"/>
      <c r="B333" s="59"/>
      <c r="C333" s="59"/>
      <c r="D333" s="59"/>
      <c r="E333" s="178"/>
      <c r="F333" s="59"/>
      <c r="G333" s="59"/>
      <c r="H333" s="59"/>
      <c r="I333" s="178"/>
      <c r="J333" s="59"/>
      <c r="K333" s="59"/>
      <c r="L333" s="59"/>
      <c r="M333" s="59"/>
      <c r="N333" s="59"/>
      <c r="O333" s="59"/>
      <c r="P333" s="59"/>
      <c r="Q333" s="59"/>
      <c r="R333" s="59"/>
      <c r="S333" s="59"/>
      <c r="T333" s="59"/>
      <c r="U333" s="59"/>
    </row>
    <row r="334" ht="35.25" customHeight="1">
      <c r="A334" s="59"/>
      <c r="B334" s="59"/>
      <c r="C334" s="59"/>
      <c r="D334" s="59"/>
      <c r="E334" s="178"/>
      <c r="F334" s="59"/>
      <c r="G334" s="59"/>
      <c r="H334" s="59"/>
      <c r="I334" s="178"/>
      <c r="J334" s="59"/>
      <c r="K334" s="59"/>
      <c r="L334" s="59"/>
      <c r="M334" s="59"/>
      <c r="N334" s="59"/>
      <c r="O334" s="59"/>
      <c r="P334" s="59"/>
      <c r="Q334" s="59"/>
      <c r="R334" s="59"/>
      <c r="S334" s="59"/>
      <c r="T334" s="59"/>
      <c r="U334" s="59"/>
    </row>
    <row r="335" ht="35.25" customHeight="1">
      <c r="A335" s="59"/>
      <c r="B335" s="59"/>
      <c r="C335" s="59"/>
      <c r="D335" s="59"/>
      <c r="E335" s="178"/>
      <c r="F335" s="59"/>
      <c r="G335" s="59"/>
      <c r="H335" s="59"/>
      <c r="I335" s="178"/>
      <c r="J335" s="59"/>
      <c r="K335" s="59"/>
      <c r="L335" s="59"/>
      <c r="M335" s="59"/>
      <c r="N335" s="59"/>
      <c r="O335" s="59"/>
      <c r="P335" s="59"/>
      <c r="Q335" s="59"/>
      <c r="R335" s="59"/>
      <c r="S335" s="59"/>
      <c r="T335" s="59"/>
      <c r="U335" s="59"/>
    </row>
    <row r="336" ht="35.25" customHeight="1">
      <c r="A336" s="59"/>
      <c r="B336" s="59"/>
      <c r="C336" s="59"/>
      <c r="D336" s="59"/>
      <c r="E336" s="178"/>
      <c r="F336" s="59"/>
      <c r="G336" s="59"/>
      <c r="H336" s="59"/>
      <c r="I336" s="178"/>
      <c r="J336" s="59"/>
      <c r="K336" s="59"/>
      <c r="L336" s="59"/>
      <c r="M336" s="59"/>
      <c r="N336" s="59"/>
      <c r="O336" s="59"/>
      <c r="P336" s="59"/>
      <c r="Q336" s="59"/>
      <c r="R336" s="59"/>
      <c r="S336" s="59"/>
      <c r="T336" s="59"/>
      <c r="U336" s="59"/>
    </row>
    <row r="337" ht="35.25" customHeight="1">
      <c r="A337" s="59"/>
      <c r="B337" s="59"/>
      <c r="C337" s="59"/>
      <c r="D337" s="59"/>
      <c r="E337" s="178"/>
      <c r="F337" s="59"/>
      <c r="G337" s="59"/>
      <c r="H337" s="59"/>
      <c r="I337" s="178"/>
      <c r="J337" s="59"/>
      <c r="K337" s="59"/>
      <c r="L337" s="59"/>
      <c r="M337" s="59"/>
      <c r="N337" s="59"/>
      <c r="O337" s="59"/>
      <c r="P337" s="59"/>
      <c r="Q337" s="59"/>
      <c r="R337" s="59"/>
      <c r="S337" s="59"/>
      <c r="T337" s="59"/>
      <c r="U337" s="59"/>
    </row>
    <row r="338" ht="35.25" customHeight="1">
      <c r="A338" s="59"/>
      <c r="B338" s="59"/>
      <c r="C338" s="59"/>
      <c r="D338" s="59"/>
      <c r="E338" s="178"/>
      <c r="F338" s="59"/>
      <c r="G338" s="59"/>
      <c r="H338" s="59"/>
      <c r="I338" s="178"/>
      <c r="J338" s="59"/>
      <c r="K338" s="59"/>
      <c r="L338" s="59"/>
      <c r="M338" s="59"/>
      <c r="N338" s="59"/>
      <c r="O338" s="59"/>
      <c r="P338" s="59"/>
      <c r="Q338" s="59"/>
      <c r="R338" s="59"/>
      <c r="S338" s="59"/>
      <c r="T338" s="59"/>
      <c r="U338" s="59"/>
    </row>
    <row r="339" ht="35.25" customHeight="1">
      <c r="A339" s="59"/>
      <c r="B339" s="59"/>
      <c r="C339" s="59"/>
      <c r="D339" s="59"/>
      <c r="E339" s="178"/>
      <c r="F339" s="59"/>
      <c r="G339" s="59"/>
      <c r="H339" s="59"/>
      <c r="I339" s="178"/>
      <c r="J339" s="59"/>
      <c r="K339" s="59"/>
      <c r="L339" s="59"/>
      <c r="M339" s="59"/>
      <c r="N339" s="59"/>
      <c r="O339" s="59"/>
      <c r="P339" s="59"/>
      <c r="Q339" s="59"/>
      <c r="R339" s="59"/>
      <c r="S339" s="59"/>
      <c r="T339" s="59"/>
      <c r="U339" s="59"/>
    </row>
    <row r="340" ht="35.25" customHeight="1">
      <c r="A340" s="59"/>
      <c r="B340" s="59"/>
      <c r="C340" s="59"/>
      <c r="D340" s="59"/>
      <c r="E340" s="178"/>
      <c r="F340" s="59"/>
      <c r="G340" s="59"/>
      <c r="H340" s="59"/>
      <c r="I340" s="178"/>
      <c r="J340" s="59"/>
      <c r="K340" s="59"/>
      <c r="L340" s="59"/>
      <c r="M340" s="59"/>
      <c r="N340" s="59"/>
      <c r="O340" s="59"/>
      <c r="P340" s="59"/>
      <c r="Q340" s="59"/>
      <c r="R340" s="59"/>
      <c r="S340" s="59"/>
      <c r="T340" s="59"/>
      <c r="U340" s="59"/>
    </row>
    <row r="341" ht="35.25" customHeight="1">
      <c r="A341" s="59"/>
      <c r="B341" s="59"/>
      <c r="C341" s="59"/>
      <c r="D341" s="59"/>
      <c r="E341" s="178"/>
      <c r="F341" s="59"/>
      <c r="G341" s="59"/>
      <c r="H341" s="59"/>
      <c r="I341" s="178"/>
      <c r="J341" s="59"/>
      <c r="K341" s="59"/>
      <c r="L341" s="59"/>
      <c r="M341" s="59"/>
      <c r="N341" s="59"/>
      <c r="O341" s="59"/>
      <c r="P341" s="59"/>
      <c r="Q341" s="59"/>
      <c r="R341" s="59"/>
      <c r="S341" s="59"/>
      <c r="T341" s="59"/>
      <c r="U341" s="59"/>
    </row>
    <row r="342" ht="35.25" customHeight="1">
      <c r="A342" s="59"/>
      <c r="B342" s="59"/>
      <c r="C342" s="59"/>
      <c r="D342" s="59"/>
      <c r="E342" s="178"/>
      <c r="F342" s="59"/>
      <c r="G342" s="59"/>
      <c r="H342" s="59"/>
      <c r="I342" s="178"/>
      <c r="J342" s="59"/>
      <c r="K342" s="59"/>
      <c r="L342" s="59"/>
      <c r="M342" s="59"/>
      <c r="N342" s="59"/>
      <c r="O342" s="59"/>
      <c r="P342" s="59"/>
      <c r="Q342" s="59"/>
      <c r="R342" s="59"/>
      <c r="S342" s="59"/>
      <c r="T342" s="59"/>
      <c r="U342" s="59"/>
    </row>
    <row r="343" ht="35.25" customHeight="1">
      <c r="A343" s="59"/>
      <c r="B343" s="59"/>
      <c r="C343" s="59"/>
      <c r="D343" s="59"/>
      <c r="E343" s="178"/>
      <c r="F343" s="59"/>
      <c r="G343" s="59"/>
      <c r="H343" s="59"/>
      <c r="I343" s="178"/>
      <c r="J343" s="59"/>
      <c r="K343" s="59"/>
      <c r="L343" s="59"/>
      <c r="M343" s="59"/>
      <c r="N343" s="59"/>
      <c r="O343" s="59"/>
      <c r="P343" s="59"/>
      <c r="Q343" s="59"/>
      <c r="R343" s="59"/>
      <c r="S343" s="59"/>
      <c r="T343" s="59"/>
      <c r="U343" s="59"/>
    </row>
    <row r="344" ht="35.25" customHeight="1">
      <c r="A344" s="59"/>
      <c r="B344" s="59"/>
      <c r="C344" s="59"/>
      <c r="D344" s="59"/>
      <c r="E344" s="178"/>
      <c r="F344" s="59"/>
      <c r="G344" s="59"/>
      <c r="H344" s="59"/>
      <c r="I344" s="178"/>
      <c r="J344" s="59"/>
      <c r="K344" s="59"/>
      <c r="L344" s="59"/>
      <c r="M344" s="59"/>
      <c r="N344" s="59"/>
      <c r="O344" s="59"/>
      <c r="P344" s="59"/>
      <c r="Q344" s="59"/>
      <c r="R344" s="59"/>
      <c r="S344" s="59"/>
      <c r="T344" s="59"/>
      <c r="U344" s="59"/>
    </row>
    <row r="345" ht="35.25" customHeight="1">
      <c r="A345" s="59"/>
      <c r="B345" s="59"/>
      <c r="C345" s="59"/>
      <c r="D345" s="59"/>
      <c r="E345" s="178"/>
      <c r="F345" s="59"/>
      <c r="G345" s="59"/>
      <c r="H345" s="59"/>
      <c r="I345" s="178"/>
      <c r="J345" s="59"/>
      <c r="K345" s="59"/>
      <c r="L345" s="59"/>
      <c r="M345" s="59"/>
      <c r="N345" s="59"/>
      <c r="O345" s="59"/>
      <c r="P345" s="59"/>
      <c r="Q345" s="59"/>
      <c r="R345" s="59"/>
      <c r="S345" s="59"/>
      <c r="T345" s="59"/>
      <c r="U345" s="59"/>
    </row>
    <row r="346" ht="35.25" customHeight="1">
      <c r="A346" s="59"/>
      <c r="B346" s="59"/>
      <c r="C346" s="59"/>
      <c r="D346" s="59"/>
      <c r="E346" s="178"/>
      <c r="F346" s="59"/>
      <c r="G346" s="59"/>
      <c r="H346" s="59"/>
      <c r="I346" s="178"/>
      <c r="J346" s="59"/>
      <c r="K346" s="59"/>
      <c r="L346" s="59"/>
      <c r="M346" s="59"/>
      <c r="N346" s="59"/>
      <c r="O346" s="59"/>
      <c r="P346" s="59"/>
      <c r="Q346" s="59"/>
      <c r="R346" s="59"/>
      <c r="S346" s="59"/>
      <c r="T346" s="59"/>
      <c r="U346" s="59"/>
    </row>
    <row r="347" ht="35.25" customHeight="1">
      <c r="A347" s="59"/>
      <c r="B347" s="59"/>
      <c r="C347" s="59"/>
      <c r="D347" s="59"/>
      <c r="E347" s="178"/>
      <c r="F347" s="59"/>
      <c r="G347" s="59"/>
      <c r="H347" s="59"/>
      <c r="I347" s="178"/>
      <c r="J347" s="59"/>
      <c r="K347" s="59"/>
      <c r="L347" s="59"/>
      <c r="M347" s="59"/>
      <c r="N347" s="59"/>
      <c r="O347" s="59"/>
      <c r="P347" s="59"/>
      <c r="Q347" s="59"/>
      <c r="R347" s="59"/>
      <c r="S347" s="59"/>
      <c r="T347" s="59"/>
      <c r="U347" s="59"/>
    </row>
    <row r="348" ht="35.25" customHeight="1">
      <c r="A348" s="59"/>
      <c r="B348" s="59"/>
      <c r="C348" s="59"/>
      <c r="D348" s="59"/>
      <c r="E348" s="178"/>
      <c r="F348" s="59"/>
      <c r="G348" s="59"/>
      <c r="H348" s="59"/>
      <c r="I348" s="178"/>
      <c r="J348" s="59"/>
      <c r="K348" s="59"/>
      <c r="L348" s="59"/>
      <c r="M348" s="59"/>
      <c r="N348" s="59"/>
      <c r="O348" s="59"/>
      <c r="P348" s="59"/>
      <c r="Q348" s="59"/>
      <c r="R348" s="59"/>
      <c r="S348" s="59"/>
      <c r="T348" s="59"/>
      <c r="U348" s="59"/>
    </row>
    <row r="349" ht="35.25" customHeight="1">
      <c r="A349" s="59"/>
      <c r="B349" s="59"/>
      <c r="C349" s="59"/>
      <c r="D349" s="59"/>
      <c r="E349" s="178"/>
      <c r="F349" s="59"/>
      <c r="G349" s="59"/>
      <c r="H349" s="59"/>
      <c r="I349" s="178"/>
      <c r="J349" s="59"/>
      <c r="K349" s="59"/>
      <c r="L349" s="59"/>
      <c r="M349" s="59"/>
      <c r="N349" s="59"/>
      <c r="O349" s="59"/>
      <c r="P349" s="59"/>
      <c r="Q349" s="59"/>
      <c r="R349" s="59"/>
      <c r="S349" s="59"/>
      <c r="T349" s="59"/>
      <c r="U349" s="59"/>
    </row>
    <row r="350" ht="35.25" customHeight="1">
      <c r="A350" s="59"/>
      <c r="B350" s="59"/>
      <c r="C350" s="59"/>
      <c r="D350" s="59"/>
      <c r="E350" s="178"/>
      <c r="F350" s="59"/>
      <c r="G350" s="59"/>
      <c r="H350" s="59"/>
      <c r="I350" s="178"/>
      <c r="J350" s="59"/>
      <c r="K350" s="59"/>
      <c r="L350" s="59"/>
      <c r="M350" s="59"/>
      <c r="N350" s="59"/>
      <c r="O350" s="59"/>
      <c r="P350" s="59"/>
      <c r="Q350" s="59"/>
      <c r="R350" s="59"/>
      <c r="S350" s="59"/>
      <c r="T350" s="59"/>
      <c r="U350" s="59"/>
    </row>
    <row r="351" ht="35.25" customHeight="1">
      <c r="A351" s="59"/>
      <c r="B351" s="59"/>
      <c r="C351" s="59"/>
      <c r="D351" s="59"/>
      <c r="E351" s="178"/>
      <c r="F351" s="59"/>
      <c r="G351" s="59"/>
      <c r="H351" s="59"/>
      <c r="I351" s="178"/>
      <c r="J351" s="59"/>
      <c r="K351" s="59"/>
      <c r="L351" s="59"/>
      <c r="M351" s="59"/>
      <c r="N351" s="59"/>
      <c r="O351" s="59"/>
      <c r="P351" s="59"/>
      <c r="Q351" s="59"/>
      <c r="R351" s="59"/>
      <c r="S351" s="59"/>
      <c r="T351" s="59"/>
      <c r="U351" s="59"/>
    </row>
    <row r="352" ht="35.25" customHeight="1">
      <c r="A352" s="59"/>
      <c r="B352" s="59"/>
      <c r="C352" s="59"/>
      <c r="D352" s="59"/>
      <c r="E352" s="178"/>
      <c r="F352" s="59"/>
      <c r="G352" s="59"/>
      <c r="H352" s="59"/>
      <c r="I352" s="178"/>
      <c r="J352" s="59"/>
      <c r="K352" s="59"/>
      <c r="L352" s="59"/>
      <c r="M352" s="59"/>
      <c r="N352" s="59"/>
      <c r="O352" s="59"/>
      <c r="P352" s="59"/>
      <c r="Q352" s="59"/>
      <c r="R352" s="59"/>
      <c r="S352" s="59"/>
      <c r="T352" s="59"/>
      <c r="U352" s="59"/>
    </row>
    <row r="353" ht="35.25" customHeight="1">
      <c r="A353" s="59"/>
      <c r="B353" s="59"/>
      <c r="C353" s="59"/>
      <c r="D353" s="59"/>
      <c r="E353" s="178"/>
      <c r="F353" s="59"/>
      <c r="G353" s="59"/>
      <c r="H353" s="59"/>
      <c r="I353" s="178"/>
      <c r="J353" s="59"/>
      <c r="K353" s="59"/>
      <c r="L353" s="59"/>
      <c r="M353" s="59"/>
      <c r="N353" s="59"/>
      <c r="O353" s="59"/>
      <c r="P353" s="59"/>
      <c r="Q353" s="59"/>
      <c r="R353" s="59"/>
      <c r="S353" s="59"/>
      <c r="T353" s="59"/>
      <c r="U353" s="59"/>
    </row>
    <row r="354" ht="35.25" customHeight="1">
      <c r="A354" s="59"/>
      <c r="B354" s="59"/>
      <c r="C354" s="59"/>
      <c r="D354" s="59"/>
      <c r="E354" s="178"/>
      <c r="F354" s="59"/>
      <c r="G354" s="59"/>
      <c r="H354" s="59"/>
      <c r="I354" s="178"/>
      <c r="J354" s="59"/>
      <c r="K354" s="59"/>
      <c r="L354" s="59"/>
      <c r="M354" s="59"/>
      <c r="N354" s="59"/>
      <c r="O354" s="59"/>
      <c r="P354" s="59"/>
      <c r="Q354" s="59"/>
      <c r="R354" s="59"/>
      <c r="S354" s="59"/>
      <c r="T354" s="59"/>
      <c r="U354" s="59"/>
    </row>
    <row r="355" ht="35.25" customHeight="1">
      <c r="A355" s="59"/>
      <c r="B355" s="59"/>
      <c r="C355" s="59"/>
      <c r="D355" s="59"/>
      <c r="E355" s="178"/>
      <c r="F355" s="59"/>
      <c r="G355" s="59"/>
      <c r="H355" s="59"/>
      <c r="I355" s="178"/>
      <c r="J355" s="59"/>
      <c r="K355" s="59"/>
      <c r="L355" s="59"/>
      <c r="M355" s="59"/>
      <c r="N355" s="59"/>
      <c r="O355" s="59"/>
      <c r="P355" s="59"/>
      <c r="Q355" s="59"/>
      <c r="R355" s="59"/>
      <c r="S355" s="59"/>
      <c r="T355" s="59"/>
      <c r="U355" s="59"/>
    </row>
    <row r="356" ht="35.25" customHeight="1">
      <c r="A356" s="59"/>
      <c r="B356" s="59"/>
      <c r="C356" s="59"/>
      <c r="D356" s="59"/>
      <c r="E356" s="178"/>
      <c r="F356" s="59"/>
      <c r="G356" s="59"/>
      <c r="H356" s="59"/>
      <c r="I356" s="178"/>
      <c r="J356" s="59"/>
      <c r="K356" s="59"/>
      <c r="L356" s="59"/>
      <c r="M356" s="59"/>
      <c r="N356" s="59"/>
      <c r="O356" s="59"/>
      <c r="P356" s="59"/>
      <c r="Q356" s="59"/>
      <c r="R356" s="59"/>
      <c r="S356" s="59"/>
      <c r="T356" s="59"/>
      <c r="U356" s="59"/>
    </row>
    <row r="357" ht="35.25" customHeight="1">
      <c r="A357" s="59"/>
      <c r="B357" s="59"/>
      <c r="C357" s="59"/>
      <c r="D357" s="59"/>
      <c r="E357" s="178"/>
      <c r="F357" s="59"/>
      <c r="G357" s="59"/>
      <c r="H357" s="59"/>
      <c r="I357" s="178"/>
      <c r="J357" s="59"/>
      <c r="K357" s="59"/>
      <c r="L357" s="59"/>
      <c r="M357" s="59"/>
      <c r="N357" s="59"/>
      <c r="O357" s="59"/>
      <c r="P357" s="59"/>
      <c r="Q357" s="59"/>
      <c r="R357" s="59"/>
      <c r="S357" s="59"/>
      <c r="T357" s="59"/>
      <c r="U357" s="59"/>
    </row>
    <row r="358" ht="35.25" customHeight="1">
      <c r="A358" s="59"/>
      <c r="B358" s="59"/>
      <c r="C358" s="59"/>
      <c r="D358" s="59"/>
      <c r="E358" s="178"/>
      <c r="F358" s="59"/>
      <c r="G358" s="59"/>
      <c r="H358" s="59"/>
      <c r="I358" s="178"/>
      <c r="J358" s="59"/>
      <c r="K358" s="59"/>
      <c r="L358" s="59"/>
      <c r="M358" s="59"/>
      <c r="N358" s="59"/>
      <c r="O358" s="59"/>
      <c r="P358" s="59"/>
      <c r="Q358" s="59"/>
      <c r="R358" s="59"/>
      <c r="S358" s="59"/>
      <c r="T358" s="59"/>
      <c r="U358" s="59"/>
    </row>
    <row r="359" ht="35.25" customHeight="1">
      <c r="A359" s="59"/>
      <c r="B359" s="59"/>
      <c r="C359" s="59"/>
      <c r="D359" s="59"/>
      <c r="E359" s="178"/>
      <c r="F359" s="59"/>
      <c r="G359" s="59"/>
      <c r="H359" s="59"/>
      <c r="I359" s="178"/>
      <c r="J359" s="59"/>
      <c r="K359" s="59"/>
      <c r="L359" s="59"/>
      <c r="M359" s="59"/>
      <c r="N359" s="59"/>
      <c r="O359" s="59"/>
      <c r="P359" s="59"/>
      <c r="Q359" s="59"/>
      <c r="R359" s="59"/>
      <c r="S359" s="59"/>
      <c r="T359" s="59"/>
      <c r="U359" s="59"/>
    </row>
    <row r="360" ht="35.25" customHeight="1">
      <c r="A360" s="59"/>
      <c r="B360" s="59"/>
      <c r="C360" s="59"/>
      <c r="D360" s="59"/>
      <c r="E360" s="178"/>
      <c r="F360" s="59"/>
      <c r="G360" s="59"/>
      <c r="H360" s="59"/>
      <c r="I360" s="178"/>
      <c r="J360" s="59"/>
      <c r="K360" s="59"/>
      <c r="L360" s="59"/>
      <c r="M360" s="59"/>
      <c r="N360" s="59"/>
      <c r="O360" s="59"/>
      <c r="P360" s="59"/>
      <c r="Q360" s="59"/>
      <c r="R360" s="59"/>
      <c r="S360" s="59"/>
      <c r="T360" s="59"/>
      <c r="U360" s="59"/>
    </row>
    <row r="361" ht="35.25" customHeight="1">
      <c r="A361" s="59"/>
      <c r="B361" s="59"/>
      <c r="C361" s="59"/>
      <c r="D361" s="59"/>
      <c r="E361" s="178"/>
      <c r="F361" s="59"/>
      <c r="G361" s="59"/>
      <c r="H361" s="59"/>
      <c r="I361" s="178"/>
      <c r="J361" s="59"/>
      <c r="K361" s="59"/>
      <c r="L361" s="59"/>
      <c r="M361" s="59"/>
      <c r="N361" s="59"/>
      <c r="O361" s="59"/>
      <c r="P361" s="59"/>
      <c r="Q361" s="59"/>
      <c r="R361" s="59"/>
      <c r="S361" s="59"/>
      <c r="T361" s="59"/>
      <c r="U361" s="59"/>
    </row>
    <row r="362" ht="35.25" customHeight="1">
      <c r="A362" s="59"/>
      <c r="B362" s="59"/>
      <c r="C362" s="59"/>
      <c r="D362" s="59"/>
      <c r="E362" s="178"/>
      <c r="F362" s="59"/>
      <c r="G362" s="59"/>
      <c r="H362" s="59"/>
      <c r="I362" s="178"/>
      <c r="J362" s="59"/>
      <c r="K362" s="59"/>
      <c r="L362" s="59"/>
      <c r="M362" s="59"/>
      <c r="N362" s="59"/>
      <c r="O362" s="59"/>
      <c r="P362" s="59"/>
      <c r="Q362" s="59"/>
      <c r="R362" s="59"/>
      <c r="S362" s="59"/>
      <c r="T362" s="59"/>
      <c r="U362" s="59"/>
    </row>
    <row r="363" ht="35.25" customHeight="1">
      <c r="A363" s="59"/>
      <c r="B363" s="59"/>
      <c r="C363" s="59"/>
      <c r="D363" s="59"/>
      <c r="E363" s="178"/>
      <c r="F363" s="59"/>
      <c r="G363" s="59"/>
      <c r="H363" s="59"/>
      <c r="I363" s="178"/>
      <c r="J363" s="59"/>
      <c r="K363" s="59"/>
      <c r="L363" s="59"/>
      <c r="M363" s="59"/>
      <c r="N363" s="59"/>
      <c r="O363" s="59"/>
      <c r="P363" s="59"/>
      <c r="Q363" s="59"/>
      <c r="R363" s="59"/>
      <c r="S363" s="59"/>
      <c r="T363" s="59"/>
      <c r="U363" s="59"/>
    </row>
    <row r="364" ht="35.25" customHeight="1">
      <c r="A364" s="59"/>
      <c r="B364" s="59"/>
      <c r="C364" s="59"/>
      <c r="D364" s="59"/>
      <c r="E364" s="178"/>
      <c r="F364" s="59"/>
      <c r="G364" s="59"/>
      <c r="H364" s="59"/>
      <c r="I364" s="178"/>
      <c r="J364" s="59"/>
      <c r="K364" s="59"/>
      <c r="L364" s="59"/>
      <c r="M364" s="59"/>
      <c r="N364" s="59"/>
      <c r="O364" s="59"/>
      <c r="P364" s="59"/>
      <c r="Q364" s="59"/>
      <c r="R364" s="59"/>
      <c r="S364" s="59"/>
      <c r="T364" s="59"/>
      <c r="U364" s="59"/>
    </row>
    <row r="365" ht="35.25" customHeight="1">
      <c r="A365" s="59"/>
      <c r="B365" s="59"/>
      <c r="C365" s="59"/>
      <c r="D365" s="59"/>
      <c r="E365" s="178"/>
      <c r="F365" s="59"/>
      <c r="G365" s="59"/>
      <c r="H365" s="59"/>
      <c r="I365" s="178"/>
      <c r="J365" s="59"/>
      <c r="K365" s="59"/>
      <c r="L365" s="59"/>
      <c r="M365" s="59"/>
      <c r="N365" s="59"/>
      <c r="O365" s="59"/>
      <c r="P365" s="59"/>
      <c r="Q365" s="59"/>
      <c r="R365" s="59"/>
      <c r="S365" s="59"/>
      <c r="T365" s="59"/>
      <c r="U365" s="59"/>
    </row>
    <row r="366" ht="35.25" customHeight="1">
      <c r="A366" s="59"/>
      <c r="B366" s="59"/>
      <c r="C366" s="59"/>
      <c r="D366" s="59"/>
      <c r="E366" s="178"/>
      <c r="F366" s="59"/>
      <c r="G366" s="59"/>
      <c r="H366" s="59"/>
      <c r="I366" s="178"/>
      <c r="J366" s="59"/>
      <c r="K366" s="59"/>
      <c r="L366" s="59"/>
      <c r="M366" s="59"/>
      <c r="N366" s="59"/>
      <c r="O366" s="59"/>
      <c r="P366" s="59"/>
      <c r="Q366" s="59"/>
      <c r="R366" s="59"/>
      <c r="S366" s="59"/>
      <c r="T366" s="59"/>
      <c r="U366" s="59"/>
    </row>
    <row r="367" ht="35.25" customHeight="1">
      <c r="A367" s="59"/>
      <c r="B367" s="59"/>
      <c r="C367" s="59"/>
      <c r="D367" s="59"/>
      <c r="E367" s="178"/>
      <c r="F367" s="59"/>
      <c r="G367" s="59"/>
      <c r="H367" s="59"/>
      <c r="I367" s="178"/>
      <c r="J367" s="59"/>
      <c r="K367" s="59"/>
      <c r="L367" s="59"/>
      <c r="M367" s="59"/>
      <c r="N367" s="59"/>
      <c r="O367" s="59"/>
      <c r="P367" s="59"/>
      <c r="Q367" s="59"/>
      <c r="R367" s="59"/>
      <c r="S367" s="59"/>
      <c r="T367" s="59"/>
      <c r="U367" s="59"/>
    </row>
    <row r="368" ht="35.25" customHeight="1">
      <c r="A368" s="59"/>
      <c r="B368" s="59"/>
      <c r="C368" s="59"/>
      <c r="D368" s="59"/>
      <c r="E368" s="178"/>
      <c r="F368" s="59"/>
      <c r="G368" s="59"/>
      <c r="H368" s="59"/>
      <c r="I368" s="178"/>
      <c r="J368" s="59"/>
      <c r="K368" s="59"/>
      <c r="L368" s="59"/>
      <c r="M368" s="59"/>
      <c r="N368" s="59"/>
      <c r="O368" s="59"/>
      <c r="P368" s="59"/>
      <c r="Q368" s="59"/>
      <c r="R368" s="59"/>
      <c r="S368" s="59"/>
      <c r="T368" s="59"/>
      <c r="U368" s="59"/>
    </row>
    <row r="369" ht="35.25" customHeight="1">
      <c r="A369" s="59"/>
      <c r="B369" s="59"/>
      <c r="C369" s="59"/>
      <c r="D369" s="59"/>
      <c r="E369" s="178"/>
      <c r="F369" s="59"/>
      <c r="G369" s="59"/>
      <c r="H369" s="59"/>
      <c r="I369" s="178"/>
      <c r="J369" s="59"/>
      <c r="K369" s="59"/>
      <c r="L369" s="59"/>
      <c r="M369" s="59"/>
      <c r="N369" s="59"/>
      <c r="O369" s="59"/>
      <c r="P369" s="59"/>
      <c r="Q369" s="59"/>
      <c r="R369" s="59"/>
      <c r="S369" s="59"/>
      <c r="T369" s="59"/>
      <c r="U369" s="59"/>
    </row>
    <row r="370" ht="35.25" customHeight="1">
      <c r="A370" s="59"/>
      <c r="B370" s="59"/>
      <c r="C370" s="59"/>
      <c r="D370" s="59"/>
      <c r="E370" s="178"/>
      <c r="F370" s="59"/>
      <c r="G370" s="59"/>
      <c r="H370" s="59"/>
      <c r="I370" s="178"/>
      <c r="J370" s="59"/>
      <c r="K370" s="59"/>
      <c r="L370" s="59"/>
      <c r="M370" s="59"/>
      <c r="N370" s="59"/>
      <c r="O370" s="59"/>
      <c r="P370" s="59"/>
      <c r="Q370" s="59"/>
      <c r="R370" s="59"/>
      <c r="S370" s="59"/>
      <c r="T370" s="59"/>
      <c r="U370" s="59"/>
    </row>
    <row r="371" ht="35.25" customHeight="1">
      <c r="A371" s="59"/>
      <c r="B371" s="59"/>
      <c r="C371" s="59"/>
      <c r="D371" s="59"/>
      <c r="E371" s="178"/>
      <c r="F371" s="59"/>
      <c r="G371" s="59"/>
      <c r="H371" s="59"/>
      <c r="I371" s="178"/>
      <c r="J371" s="59"/>
      <c r="K371" s="59"/>
      <c r="L371" s="59"/>
      <c r="M371" s="59"/>
      <c r="N371" s="59"/>
      <c r="O371" s="59"/>
      <c r="P371" s="59"/>
      <c r="Q371" s="59"/>
      <c r="R371" s="59"/>
      <c r="S371" s="59"/>
      <c r="T371" s="59"/>
      <c r="U371" s="59"/>
    </row>
    <row r="372" ht="35.25" customHeight="1">
      <c r="A372" s="59"/>
      <c r="B372" s="59"/>
      <c r="C372" s="59"/>
      <c r="D372" s="59"/>
      <c r="E372" s="178"/>
      <c r="F372" s="59"/>
      <c r="G372" s="59"/>
      <c r="H372" s="59"/>
      <c r="I372" s="178"/>
      <c r="J372" s="59"/>
      <c r="K372" s="59"/>
      <c r="L372" s="59"/>
      <c r="M372" s="59"/>
      <c r="N372" s="59"/>
      <c r="O372" s="59"/>
      <c r="P372" s="59"/>
      <c r="Q372" s="59"/>
      <c r="R372" s="59"/>
      <c r="S372" s="59"/>
      <c r="T372" s="59"/>
      <c r="U372" s="59"/>
    </row>
    <row r="373" ht="35.25" customHeight="1">
      <c r="A373" s="59"/>
      <c r="B373" s="59"/>
      <c r="C373" s="59"/>
      <c r="D373" s="59"/>
      <c r="E373" s="178"/>
      <c r="F373" s="59"/>
      <c r="G373" s="59"/>
      <c r="H373" s="59"/>
      <c r="I373" s="178"/>
      <c r="J373" s="59"/>
      <c r="K373" s="59"/>
      <c r="L373" s="59"/>
      <c r="M373" s="59"/>
      <c r="N373" s="59"/>
      <c r="O373" s="59"/>
      <c r="P373" s="59"/>
      <c r="Q373" s="59"/>
      <c r="R373" s="59"/>
      <c r="S373" s="59"/>
      <c r="T373" s="59"/>
      <c r="U373" s="59"/>
    </row>
    <row r="374" ht="35.25" customHeight="1">
      <c r="A374" s="59"/>
      <c r="B374" s="59"/>
      <c r="C374" s="59"/>
      <c r="D374" s="59"/>
      <c r="E374" s="178"/>
      <c r="F374" s="59"/>
      <c r="G374" s="59"/>
      <c r="H374" s="59"/>
      <c r="I374" s="178"/>
      <c r="J374" s="59"/>
      <c r="K374" s="59"/>
      <c r="L374" s="59"/>
      <c r="M374" s="59"/>
      <c r="N374" s="59"/>
      <c r="O374" s="59"/>
      <c r="P374" s="59"/>
      <c r="Q374" s="59"/>
      <c r="R374" s="59"/>
      <c r="S374" s="59"/>
      <c r="T374" s="59"/>
      <c r="U374" s="59"/>
    </row>
    <row r="375" ht="35.25" customHeight="1">
      <c r="A375" s="59"/>
      <c r="B375" s="59"/>
      <c r="C375" s="59"/>
      <c r="D375" s="59"/>
      <c r="E375" s="178"/>
      <c r="F375" s="59"/>
      <c r="G375" s="59"/>
      <c r="H375" s="59"/>
      <c r="I375" s="178"/>
      <c r="J375" s="59"/>
      <c r="K375" s="59"/>
      <c r="L375" s="59"/>
      <c r="M375" s="59"/>
      <c r="N375" s="59"/>
      <c r="O375" s="59"/>
      <c r="P375" s="59"/>
      <c r="Q375" s="59"/>
      <c r="R375" s="59"/>
      <c r="S375" s="59"/>
      <c r="T375" s="59"/>
      <c r="U375" s="59"/>
    </row>
    <row r="376" ht="35.25" customHeight="1">
      <c r="A376" s="59"/>
      <c r="B376" s="59"/>
      <c r="C376" s="59"/>
      <c r="D376" s="59"/>
      <c r="E376" s="178"/>
      <c r="F376" s="59"/>
      <c r="G376" s="59"/>
      <c r="H376" s="59"/>
      <c r="I376" s="178"/>
      <c r="J376" s="59"/>
      <c r="K376" s="59"/>
      <c r="L376" s="59"/>
      <c r="M376" s="59"/>
      <c r="N376" s="59"/>
      <c r="O376" s="59"/>
      <c r="P376" s="59"/>
      <c r="Q376" s="59"/>
      <c r="R376" s="59"/>
      <c r="S376" s="59"/>
      <c r="T376" s="59"/>
      <c r="U376" s="59"/>
    </row>
    <row r="377" ht="35.25" customHeight="1">
      <c r="A377" s="59"/>
      <c r="B377" s="59"/>
      <c r="C377" s="59"/>
      <c r="D377" s="59"/>
      <c r="E377" s="178"/>
      <c r="F377" s="59"/>
      <c r="G377" s="59"/>
      <c r="H377" s="59"/>
      <c r="I377" s="178"/>
      <c r="J377" s="59"/>
      <c r="K377" s="59"/>
      <c r="L377" s="59"/>
      <c r="M377" s="59"/>
      <c r="N377" s="59"/>
      <c r="O377" s="59"/>
      <c r="P377" s="59"/>
      <c r="Q377" s="59"/>
      <c r="R377" s="59"/>
      <c r="S377" s="59"/>
      <c r="T377" s="59"/>
      <c r="U377" s="59"/>
    </row>
    <row r="378" ht="35.25" customHeight="1">
      <c r="A378" s="59"/>
      <c r="B378" s="59"/>
      <c r="C378" s="59"/>
      <c r="D378" s="59"/>
      <c r="E378" s="178"/>
      <c r="F378" s="59"/>
      <c r="G378" s="59"/>
      <c r="H378" s="59"/>
      <c r="I378" s="178"/>
      <c r="J378" s="59"/>
      <c r="K378" s="59"/>
      <c r="L378" s="59"/>
      <c r="M378" s="59"/>
      <c r="N378" s="59"/>
      <c r="O378" s="59"/>
      <c r="P378" s="59"/>
      <c r="Q378" s="59"/>
      <c r="R378" s="59"/>
      <c r="S378" s="59"/>
      <c r="T378" s="59"/>
      <c r="U378" s="59"/>
    </row>
    <row r="379" ht="35.25" customHeight="1">
      <c r="A379" s="59"/>
      <c r="B379" s="59"/>
      <c r="C379" s="59"/>
      <c r="D379" s="59"/>
      <c r="E379" s="178"/>
      <c r="F379" s="59"/>
      <c r="G379" s="59"/>
      <c r="H379" s="59"/>
      <c r="I379" s="178"/>
      <c r="J379" s="59"/>
      <c r="K379" s="59"/>
      <c r="L379" s="59"/>
      <c r="M379" s="59"/>
      <c r="N379" s="59"/>
      <c r="O379" s="59"/>
      <c r="P379" s="59"/>
      <c r="Q379" s="59"/>
      <c r="R379" s="59"/>
      <c r="S379" s="59"/>
      <c r="T379" s="59"/>
      <c r="U379" s="59"/>
    </row>
    <row r="380" ht="35.25" customHeight="1">
      <c r="A380" s="59"/>
      <c r="B380" s="59"/>
      <c r="C380" s="59"/>
      <c r="D380" s="59"/>
      <c r="E380" s="178"/>
      <c r="F380" s="59"/>
      <c r="G380" s="59"/>
      <c r="H380" s="59"/>
      <c r="I380" s="178"/>
      <c r="J380" s="59"/>
      <c r="K380" s="59"/>
      <c r="L380" s="59"/>
      <c r="M380" s="59"/>
      <c r="N380" s="59"/>
      <c r="O380" s="59"/>
      <c r="P380" s="59"/>
      <c r="Q380" s="59"/>
      <c r="R380" s="59"/>
      <c r="S380" s="59"/>
      <c r="T380" s="59"/>
      <c r="U380" s="59"/>
    </row>
    <row r="381" ht="35.25" customHeight="1">
      <c r="A381" s="59"/>
      <c r="B381" s="59"/>
      <c r="C381" s="59"/>
      <c r="D381" s="59"/>
      <c r="E381" s="178"/>
      <c r="F381" s="59"/>
      <c r="G381" s="59"/>
      <c r="H381" s="59"/>
      <c r="I381" s="178"/>
      <c r="J381" s="59"/>
      <c r="K381" s="59"/>
      <c r="L381" s="59"/>
      <c r="M381" s="59"/>
      <c r="N381" s="59"/>
      <c r="O381" s="59"/>
      <c r="P381" s="59"/>
      <c r="Q381" s="59"/>
      <c r="R381" s="59"/>
      <c r="S381" s="59"/>
      <c r="T381" s="59"/>
      <c r="U381" s="59"/>
    </row>
    <row r="382" ht="35.25" customHeight="1">
      <c r="A382" s="59"/>
      <c r="B382" s="59"/>
      <c r="C382" s="59"/>
      <c r="D382" s="59"/>
      <c r="E382" s="178"/>
      <c r="F382" s="59"/>
      <c r="G382" s="59"/>
      <c r="H382" s="59"/>
      <c r="I382" s="178"/>
      <c r="J382" s="59"/>
      <c r="K382" s="59"/>
      <c r="L382" s="59"/>
      <c r="M382" s="59"/>
      <c r="N382" s="59"/>
      <c r="O382" s="59"/>
      <c r="P382" s="59"/>
      <c r="Q382" s="59"/>
      <c r="R382" s="59"/>
      <c r="S382" s="59"/>
      <c r="T382" s="59"/>
      <c r="U382" s="59"/>
    </row>
    <row r="383" ht="35.25" customHeight="1">
      <c r="A383" s="59"/>
      <c r="B383" s="59"/>
      <c r="C383" s="59"/>
      <c r="D383" s="59"/>
      <c r="E383" s="178"/>
      <c r="F383" s="59"/>
      <c r="G383" s="59"/>
      <c r="H383" s="59"/>
      <c r="I383" s="178"/>
      <c r="J383" s="59"/>
      <c r="K383" s="59"/>
      <c r="L383" s="59"/>
      <c r="M383" s="59"/>
      <c r="N383" s="59"/>
      <c r="O383" s="59"/>
      <c r="P383" s="59"/>
      <c r="Q383" s="59"/>
      <c r="R383" s="59"/>
      <c r="S383" s="59"/>
      <c r="T383" s="59"/>
      <c r="U383" s="59"/>
    </row>
    <row r="384" ht="35.25" customHeight="1">
      <c r="A384" s="59"/>
      <c r="B384" s="59"/>
      <c r="C384" s="59"/>
      <c r="D384" s="59"/>
      <c r="E384" s="178"/>
      <c r="F384" s="59"/>
      <c r="G384" s="59"/>
      <c r="H384" s="59"/>
      <c r="I384" s="178"/>
      <c r="J384" s="59"/>
      <c r="K384" s="59"/>
      <c r="L384" s="59"/>
      <c r="M384" s="59"/>
      <c r="N384" s="59"/>
      <c r="O384" s="59"/>
      <c r="P384" s="59"/>
      <c r="Q384" s="59"/>
      <c r="R384" s="59"/>
      <c r="S384" s="59"/>
      <c r="T384" s="59"/>
      <c r="U384" s="59"/>
    </row>
    <row r="385" ht="35.25" customHeight="1">
      <c r="A385" s="59"/>
      <c r="B385" s="59"/>
      <c r="C385" s="59"/>
      <c r="D385" s="59"/>
      <c r="E385" s="178"/>
      <c r="F385" s="59"/>
      <c r="G385" s="59"/>
      <c r="H385" s="59"/>
      <c r="I385" s="178"/>
      <c r="J385" s="59"/>
      <c r="K385" s="59"/>
      <c r="L385" s="59"/>
      <c r="M385" s="59"/>
      <c r="N385" s="59"/>
      <c r="O385" s="59"/>
      <c r="P385" s="59"/>
      <c r="Q385" s="59"/>
      <c r="R385" s="59"/>
      <c r="S385" s="59"/>
      <c r="T385" s="59"/>
      <c r="U385" s="59"/>
    </row>
    <row r="386" ht="35.25" customHeight="1">
      <c r="A386" s="59"/>
      <c r="B386" s="59"/>
      <c r="C386" s="59"/>
      <c r="D386" s="59"/>
      <c r="E386" s="178"/>
      <c r="F386" s="59"/>
      <c r="G386" s="59"/>
      <c r="H386" s="59"/>
      <c r="I386" s="178"/>
      <c r="J386" s="59"/>
      <c r="K386" s="59"/>
      <c r="L386" s="59"/>
      <c r="M386" s="59"/>
      <c r="N386" s="59"/>
      <c r="O386" s="59"/>
      <c r="P386" s="59"/>
      <c r="Q386" s="59"/>
      <c r="R386" s="59"/>
      <c r="S386" s="59"/>
      <c r="T386" s="59"/>
      <c r="U386" s="59"/>
    </row>
    <row r="387" ht="35.25" customHeight="1">
      <c r="A387" s="59"/>
      <c r="B387" s="59"/>
      <c r="C387" s="59"/>
      <c r="D387" s="59"/>
      <c r="E387" s="178"/>
      <c r="F387" s="59"/>
      <c r="G387" s="59"/>
      <c r="H387" s="59"/>
      <c r="I387" s="178"/>
      <c r="J387" s="59"/>
      <c r="K387" s="59"/>
      <c r="L387" s="59"/>
      <c r="M387" s="59"/>
      <c r="N387" s="59"/>
      <c r="O387" s="59"/>
      <c r="P387" s="59"/>
      <c r="Q387" s="59"/>
      <c r="R387" s="59"/>
      <c r="S387" s="59"/>
      <c r="T387" s="59"/>
      <c r="U387" s="59"/>
    </row>
    <row r="388" ht="35.25" customHeight="1">
      <c r="A388" s="59"/>
      <c r="B388" s="59"/>
      <c r="C388" s="59"/>
      <c r="D388" s="59"/>
      <c r="E388" s="178"/>
      <c r="F388" s="59"/>
      <c r="G388" s="59"/>
      <c r="H388" s="59"/>
      <c r="I388" s="178"/>
      <c r="J388" s="59"/>
      <c r="K388" s="59"/>
      <c r="L388" s="59"/>
      <c r="M388" s="59"/>
      <c r="N388" s="59"/>
      <c r="O388" s="59"/>
      <c r="P388" s="59"/>
      <c r="Q388" s="59"/>
      <c r="R388" s="59"/>
      <c r="S388" s="59"/>
      <c r="T388" s="59"/>
      <c r="U388" s="59"/>
    </row>
    <row r="389" ht="35.25" customHeight="1">
      <c r="A389" s="59"/>
      <c r="B389" s="59"/>
      <c r="C389" s="59"/>
      <c r="D389" s="59"/>
      <c r="E389" s="178"/>
      <c r="F389" s="59"/>
      <c r="G389" s="59"/>
      <c r="H389" s="59"/>
      <c r="I389" s="178"/>
      <c r="J389" s="59"/>
      <c r="K389" s="59"/>
      <c r="L389" s="59"/>
      <c r="M389" s="59"/>
      <c r="N389" s="59"/>
      <c r="O389" s="59"/>
      <c r="P389" s="59"/>
      <c r="Q389" s="59"/>
      <c r="R389" s="59"/>
      <c r="S389" s="59"/>
      <c r="T389" s="59"/>
      <c r="U389" s="59"/>
    </row>
    <row r="390" ht="35.25" customHeight="1">
      <c r="A390" s="59"/>
      <c r="B390" s="59"/>
      <c r="C390" s="59"/>
      <c r="D390" s="59"/>
      <c r="E390" s="178"/>
      <c r="F390" s="59"/>
      <c r="G390" s="59"/>
      <c r="H390" s="59"/>
      <c r="I390" s="178"/>
      <c r="J390" s="59"/>
      <c r="K390" s="59"/>
      <c r="L390" s="59"/>
      <c r="M390" s="59"/>
      <c r="N390" s="59"/>
      <c r="O390" s="59"/>
      <c r="P390" s="59"/>
      <c r="Q390" s="59"/>
      <c r="R390" s="59"/>
      <c r="S390" s="59"/>
      <c r="T390" s="59"/>
      <c r="U390" s="59"/>
    </row>
    <row r="391" ht="35.25" customHeight="1">
      <c r="A391" s="59"/>
      <c r="B391" s="59"/>
      <c r="C391" s="59"/>
      <c r="D391" s="59"/>
      <c r="E391" s="178"/>
      <c r="F391" s="59"/>
      <c r="G391" s="59"/>
      <c r="H391" s="59"/>
      <c r="I391" s="178"/>
      <c r="J391" s="59"/>
      <c r="K391" s="59"/>
      <c r="L391" s="59"/>
      <c r="M391" s="59"/>
      <c r="N391" s="59"/>
      <c r="O391" s="59"/>
      <c r="P391" s="59"/>
      <c r="Q391" s="59"/>
      <c r="R391" s="59"/>
      <c r="S391" s="59"/>
      <c r="T391" s="59"/>
      <c r="U391" s="59"/>
    </row>
    <row r="392" ht="35.25" customHeight="1">
      <c r="A392" s="59"/>
      <c r="B392" s="59"/>
      <c r="C392" s="59"/>
      <c r="D392" s="59"/>
      <c r="E392" s="178"/>
      <c r="F392" s="59"/>
      <c r="G392" s="59"/>
      <c r="H392" s="59"/>
      <c r="I392" s="178"/>
      <c r="J392" s="59"/>
      <c r="K392" s="59"/>
      <c r="L392" s="59"/>
      <c r="M392" s="59"/>
      <c r="N392" s="59"/>
      <c r="O392" s="59"/>
      <c r="P392" s="59"/>
      <c r="Q392" s="59"/>
      <c r="R392" s="59"/>
      <c r="S392" s="59"/>
      <c r="T392" s="59"/>
      <c r="U392" s="59"/>
    </row>
    <row r="393" ht="35.25" customHeight="1">
      <c r="A393" s="59"/>
      <c r="B393" s="59"/>
      <c r="C393" s="59"/>
      <c r="D393" s="59"/>
      <c r="E393" s="178"/>
      <c r="F393" s="59"/>
      <c r="G393" s="59"/>
      <c r="H393" s="59"/>
      <c r="I393" s="178"/>
      <c r="J393" s="59"/>
      <c r="K393" s="59"/>
      <c r="L393" s="59"/>
      <c r="M393" s="59"/>
      <c r="N393" s="59"/>
      <c r="O393" s="59"/>
      <c r="P393" s="59"/>
      <c r="Q393" s="59"/>
      <c r="R393" s="59"/>
      <c r="S393" s="59"/>
      <c r="T393" s="59"/>
      <c r="U393" s="59"/>
    </row>
    <row r="394" ht="35.25" customHeight="1">
      <c r="A394" s="59"/>
      <c r="B394" s="59"/>
      <c r="C394" s="59"/>
      <c r="D394" s="59"/>
      <c r="E394" s="178"/>
      <c r="F394" s="59"/>
      <c r="G394" s="59"/>
      <c r="H394" s="59"/>
      <c r="I394" s="178"/>
      <c r="J394" s="59"/>
      <c r="K394" s="59"/>
      <c r="L394" s="59"/>
      <c r="M394" s="59"/>
      <c r="N394" s="59"/>
      <c r="O394" s="59"/>
      <c r="P394" s="59"/>
      <c r="Q394" s="59"/>
      <c r="R394" s="59"/>
      <c r="S394" s="59"/>
      <c r="T394" s="59"/>
      <c r="U394" s="59"/>
    </row>
    <row r="395" ht="35.25" customHeight="1">
      <c r="A395" s="59"/>
      <c r="B395" s="59"/>
      <c r="C395" s="59"/>
      <c r="D395" s="59"/>
      <c r="E395" s="178"/>
      <c r="F395" s="59"/>
      <c r="G395" s="59"/>
      <c r="H395" s="59"/>
      <c r="I395" s="178"/>
      <c r="J395" s="59"/>
      <c r="K395" s="59"/>
      <c r="L395" s="59"/>
      <c r="M395" s="59"/>
      <c r="N395" s="59"/>
      <c r="O395" s="59"/>
      <c r="P395" s="59"/>
      <c r="Q395" s="59"/>
      <c r="R395" s="59"/>
      <c r="S395" s="59"/>
      <c r="T395" s="59"/>
      <c r="U395" s="59"/>
    </row>
    <row r="396" ht="35.25" customHeight="1">
      <c r="A396" s="59"/>
      <c r="B396" s="59"/>
      <c r="C396" s="59"/>
      <c r="D396" s="59"/>
      <c r="E396" s="178"/>
      <c r="F396" s="59"/>
      <c r="G396" s="59"/>
      <c r="H396" s="59"/>
      <c r="I396" s="178"/>
      <c r="J396" s="59"/>
      <c r="K396" s="59"/>
      <c r="L396" s="59"/>
      <c r="M396" s="59"/>
      <c r="N396" s="59"/>
      <c r="O396" s="59"/>
      <c r="P396" s="59"/>
      <c r="Q396" s="59"/>
      <c r="R396" s="59"/>
      <c r="S396" s="59"/>
      <c r="T396" s="59"/>
      <c r="U396" s="59"/>
    </row>
    <row r="397" ht="35.25" customHeight="1">
      <c r="A397" s="59"/>
      <c r="B397" s="59"/>
      <c r="C397" s="59"/>
      <c r="D397" s="59"/>
      <c r="E397" s="178"/>
      <c r="F397" s="59"/>
      <c r="G397" s="59"/>
      <c r="H397" s="59"/>
      <c r="I397" s="178"/>
      <c r="J397" s="59"/>
      <c r="K397" s="59"/>
      <c r="L397" s="59"/>
      <c r="M397" s="59"/>
      <c r="N397" s="59"/>
      <c r="O397" s="59"/>
      <c r="P397" s="59"/>
      <c r="Q397" s="59"/>
      <c r="R397" s="59"/>
      <c r="S397" s="59"/>
      <c r="T397" s="59"/>
      <c r="U397" s="59"/>
    </row>
    <row r="398" ht="35.25" customHeight="1">
      <c r="A398" s="59"/>
      <c r="B398" s="59"/>
      <c r="C398" s="59"/>
      <c r="D398" s="59"/>
      <c r="E398" s="178"/>
      <c r="F398" s="59"/>
      <c r="G398" s="59"/>
      <c r="H398" s="59"/>
      <c r="I398" s="178"/>
      <c r="J398" s="59"/>
      <c r="K398" s="59"/>
      <c r="L398" s="59"/>
      <c r="M398" s="59"/>
      <c r="N398" s="59"/>
      <c r="O398" s="59"/>
      <c r="P398" s="59"/>
      <c r="Q398" s="59"/>
      <c r="R398" s="59"/>
      <c r="S398" s="59"/>
      <c r="T398" s="59"/>
      <c r="U398" s="59"/>
    </row>
    <row r="399" ht="35.25" customHeight="1">
      <c r="A399" s="59"/>
      <c r="B399" s="59"/>
      <c r="C399" s="59"/>
      <c r="D399" s="59"/>
      <c r="E399" s="178"/>
      <c r="F399" s="59"/>
      <c r="G399" s="59"/>
      <c r="H399" s="59"/>
      <c r="I399" s="178"/>
      <c r="J399" s="59"/>
      <c r="K399" s="59"/>
      <c r="L399" s="59"/>
      <c r="M399" s="59"/>
      <c r="N399" s="59"/>
      <c r="O399" s="59"/>
      <c r="P399" s="59"/>
      <c r="Q399" s="59"/>
      <c r="R399" s="59"/>
      <c r="S399" s="59"/>
      <c r="T399" s="59"/>
      <c r="U399" s="59"/>
    </row>
    <row r="400" ht="35.25" customHeight="1">
      <c r="A400" s="59"/>
      <c r="B400" s="59"/>
      <c r="C400" s="59"/>
      <c r="D400" s="59"/>
      <c r="E400" s="178"/>
      <c r="F400" s="59"/>
      <c r="G400" s="59"/>
      <c r="H400" s="59"/>
      <c r="I400" s="178"/>
      <c r="J400" s="59"/>
      <c r="K400" s="59"/>
      <c r="L400" s="59"/>
      <c r="M400" s="59"/>
      <c r="N400" s="59"/>
      <c r="O400" s="59"/>
      <c r="P400" s="59"/>
      <c r="Q400" s="59"/>
      <c r="R400" s="59"/>
      <c r="S400" s="59"/>
      <c r="T400" s="59"/>
      <c r="U400" s="59"/>
    </row>
    <row r="401" ht="35.25" customHeight="1">
      <c r="A401" s="59"/>
      <c r="B401" s="59"/>
      <c r="C401" s="59"/>
      <c r="D401" s="59"/>
      <c r="E401" s="178"/>
      <c r="F401" s="59"/>
      <c r="G401" s="59"/>
      <c r="H401" s="59"/>
      <c r="I401" s="178"/>
      <c r="J401" s="59"/>
      <c r="K401" s="59"/>
      <c r="L401" s="59"/>
      <c r="M401" s="59"/>
      <c r="N401" s="59"/>
      <c r="O401" s="59"/>
      <c r="P401" s="59"/>
      <c r="Q401" s="59"/>
      <c r="R401" s="59"/>
      <c r="S401" s="59"/>
      <c r="T401" s="59"/>
      <c r="U401" s="59"/>
    </row>
    <row r="402" ht="35.25" customHeight="1">
      <c r="A402" s="59"/>
      <c r="B402" s="59"/>
      <c r="C402" s="59"/>
      <c r="D402" s="59"/>
      <c r="E402" s="178"/>
      <c r="F402" s="59"/>
      <c r="G402" s="59"/>
      <c r="H402" s="59"/>
      <c r="I402" s="178"/>
      <c r="J402" s="59"/>
      <c r="K402" s="59"/>
      <c r="L402" s="59"/>
      <c r="M402" s="59"/>
      <c r="N402" s="59"/>
      <c r="O402" s="59"/>
      <c r="P402" s="59"/>
      <c r="Q402" s="59"/>
      <c r="R402" s="59"/>
      <c r="S402" s="59"/>
      <c r="T402" s="59"/>
      <c r="U402" s="59"/>
    </row>
    <row r="403" ht="35.25" customHeight="1">
      <c r="A403" s="59"/>
      <c r="B403" s="59"/>
      <c r="C403" s="59"/>
      <c r="D403" s="59"/>
      <c r="E403" s="178"/>
      <c r="F403" s="59"/>
      <c r="G403" s="59"/>
      <c r="H403" s="59"/>
      <c r="I403" s="178"/>
      <c r="J403" s="59"/>
      <c r="K403" s="59"/>
      <c r="L403" s="59"/>
      <c r="M403" s="59"/>
      <c r="N403" s="59"/>
      <c r="O403" s="59"/>
      <c r="P403" s="59"/>
      <c r="Q403" s="59"/>
      <c r="R403" s="59"/>
      <c r="S403" s="59"/>
      <c r="T403" s="59"/>
      <c r="U403" s="59"/>
    </row>
    <row r="404" ht="35.25" customHeight="1">
      <c r="A404" s="59"/>
      <c r="B404" s="59"/>
      <c r="C404" s="59"/>
      <c r="D404" s="59"/>
      <c r="E404" s="178"/>
      <c r="F404" s="59"/>
      <c r="G404" s="59"/>
      <c r="H404" s="59"/>
      <c r="I404" s="178"/>
      <c r="J404" s="59"/>
      <c r="K404" s="59"/>
      <c r="L404" s="59"/>
      <c r="M404" s="59"/>
      <c r="N404" s="59"/>
      <c r="O404" s="59"/>
      <c r="P404" s="59"/>
      <c r="Q404" s="59"/>
      <c r="R404" s="59"/>
      <c r="S404" s="59"/>
      <c r="T404" s="59"/>
      <c r="U404" s="59"/>
    </row>
    <row r="405" ht="35.25" customHeight="1">
      <c r="A405" s="59"/>
      <c r="B405" s="59"/>
      <c r="C405" s="59"/>
      <c r="D405" s="59"/>
      <c r="E405" s="178"/>
      <c r="F405" s="59"/>
      <c r="G405" s="59"/>
      <c r="H405" s="59"/>
      <c r="I405" s="178"/>
      <c r="J405" s="59"/>
      <c r="K405" s="59"/>
      <c r="L405" s="59"/>
      <c r="M405" s="59"/>
      <c r="N405" s="59"/>
      <c r="O405" s="59"/>
      <c r="P405" s="59"/>
      <c r="Q405" s="59"/>
      <c r="R405" s="59"/>
      <c r="S405" s="59"/>
      <c r="T405" s="59"/>
      <c r="U405" s="59"/>
    </row>
    <row r="406" ht="35.25" customHeight="1">
      <c r="A406" s="59"/>
      <c r="B406" s="59"/>
      <c r="C406" s="59"/>
      <c r="D406" s="59"/>
      <c r="E406" s="178"/>
      <c r="F406" s="59"/>
      <c r="G406" s="59"/>
      <c r="H406" s="59"/>
      <c r="I406" s="178"/>
      <c r="J406" s="59"/>
      <c r="K406" s="59"/>
      <c r="L406" s="59"/>
      <c r="M406" s="59"/>
      <c r="N406" s="59"/>
      <c r="O406" s="59"/>
      <c r="P406" s="59"/>
      <c r="Q406" s="59"/>
      <c r="R406" s="59"/>
      <c r="S406" s="59"/>
      <c r="T406" s="59"/>
      <c r="U406" s="59"/>
    </row>
    <row r="407" ht="35.25" customHeight="1">
      <c r="A407" s="59"/>
      <c r="B407" s="59"/>
      <c r="C407" s="59"/>
      <c r="D407" s="59"/>
      <c r="E407" s="178"/>
      <c r="F407" s="59"/>
      <c r="G407" s="59"/>
      <c r="H407" s="59"/>
      <c r="I407" s="178"/>
      <c r="J407" s="59"/>
      <c r="K407" s="59"/>
      <c r="L407" s="59"/>
      <c r="M407" s="59"/>
      <c r="N407" s="59"/>
      <c r="O407" s="59"/>
      <c r="P407" s="59"/>
      <c r="Q407" s="59"/>
      <c r="R407" s="59"/>
      <c r="S407" s="59"/>
      <c r="T407" s="59"/>
      <c r="U407" s="59"/>
    </row>
    <row r="408" ht="35.25" customHeight="1">
      <c r="A408" s="59"/>
      <c r="B408" s="59"/>
      <c r="C408" s="59"/>
      <c r="D408" s="59"/>
      <c r="E408" s="178"/>
      <c r="F408" s="59"/>
      <c r="G408" s="59"/>
      <c r="H408" s="59"/>
      <c r="I408" s="178"/>
      <c r="J408" s="59"/>
      <c r="K408" s="59"/>
      <c r="L408" s="59"/>
      <c r="M408" s="59"/>
      <c r="N408" s="59"/>
      <c r="O408" s="59"/>
      <c r="P408" s="59"/>
      <c r="Q408" s="59"/>
      <c r="R408" s="59"/>
      <c r="S408" s="59"/>
      <c r="T408" s="59"/>
      <c r="U408" s="59"/>
    </row>
    <row r="409" ht="35.25" customHeight="1">
      <c r="A409" s="59"/>
      <c r="B409" s="59"/>
      <c r="C409" s="59"/>
      <c r="D409" s="59"/>
      <c r="E409" s="178"/>
      <c r="F409" s="59"/>
      <c r="G409" s="59"/>
      <c r="H409" s="59"/>
      <c r="I409" s="178"/>
      <c r="J409" s="59"/>
      <c r="K409" s="59"/>
      <c r="L409" s="59"/>
      <c r="M409" s="59"/>
      <c r="N409" s="59"/>
      <c r="O409" s="59"/>
      <c r="P409" s="59"/>
      <c r="Q409" s="59"/>
      <c r="R409" s="59"/>
      <c r="S409" s="59"/>
      <c r="T409" s="59"/>
      <c r="U409" s="59"/>
    </row>
    <row r="410" ht="35.25" customHeight="1">
      <c r="A410" s="59"/>
      <c r="B410" s="59"/>
      <c r="C410" s="59"/>
      <c r="D410" s="59"/>
      <c r="E410" s="178"/>
      <c r="F410" s="59"/>
      <c r="G410" s="59"/>
      <c r="H410" s="59"/>
      <c r="I410" s="178"/>
      <c r="J410" s="59"/>
      <c r="K410" s="59"/>
      <c r="L410" s="59"/>
      <c r="M410" s="59"/>
      <c r="N410" s="59"/>
      <c r="O410" s="59"/>
      <c r="P410" s="59"/>
      <c r="Q410" s="59"/>
      <c r="R410" s="59"/>
      <c r="S410" s="59"/>
      <c r="T410" s="59"/>
      <c r="U410" s="59"/>
    </row>
    <row r="411" ht="35.25" customHeight="1">
      <c r="A411" s="59"/>
      <c r="B411" s="59"/>
      <c r="C411" s="59"/>
      <c r="D411" s="59"/>
      <c r="E411" s="178"/>
      <c r="F411" s="59"/>
      <c r="G411" s="59"/>
      <c r="H411" s="59"/>
      <c r="I411" s="178"/>
      <c r="J411" s="59"/>
      <c r="K411" s="59"/>
      <c r="L411" s="59"/>
      <c r="M411" s="59"/>
      <c r="N411" s="59"/>
      <c r="O411" s="59"/>
      <c r="P411" s="59"/>
      <c r="Q411" s="59"/>
      <c r="R411" s="59"/>
      <c r="S411" s="59"/>
      <c r="T411" s="59"/>
      <c r="U411" s="59"/>
    </row>
    <row r="412" ht="35.25" customHeight="1">
      <c r="A412" s="59"/>
      <c r="B412" s="59"/>
      <c r="C412" s="59"/>
      <c r="D412" s="59"/>
      <c r="E412" s="178"/>
      <c r="F412" s="59"/>
      <c r="G412" s="59"/>
      <c r="H412" s="59"/>
      <c r="I412" s="178"/>
      <c r="J412" s="59"/>
      <c r="K412" s="59"/>
      <c r="L412" s="59"/>
      <c r="M412" s="59"/>
      <c r="N412" s="59"/>
      <c r="O412" s="59"/>
      <c r="P412" s="59"/>
      <c r="Q412" s="59"/>
      <c r="R412" s="59"/>
      <c r="S412" s="59"/>
      <c r="T412" s="59"/>
      <c r="U412" s="59"/>
    </row>
    <row r="413" ht="35.25" customHeight="1">
      <c r="A413" s="59"/>
      <c r="B413" s="59"/>
      <c r="C413" s="59"/>
      <c r="D413" s="59"/>
      <c r="E413" s="178"/>
      <c r="F413" s="59"/>
      <c r="G413" s="59"/>
      <c r="H413" s="59"/>
      <c r="I413" s="178"/>
      <c r="J413" s="59"/>
      <c r="K413" s="59"/>
      <c r="L413" s="59"/>
      <c r="M413" s="59"/>
      <c r="N413" s="59"/>
      <c r="O413" s="59"/>
      <c r="P413" s="59"/>
      <c r="Q413" s="59"/>
      <c r="R413" s="59"/>
      <c r="S413" s="59"/>
      <c r="T413" s="59"/>
      <c r="U413" s="59"/>
    </row>
    <row r="414" ht="35.25" customHeight="1">
      <c r="A414" s="59"/>
      <c r="B414" s="59"/>
      <c r="C414" s="59"/>
      <c r="D414" s="59"/>
      <c r="E414" s="178"/>
      <c r="F414" s="59"/>
      <c r="G414" s="59"/>
      <c r="H414" s="59"/>
      <c r="I414" s="178"/>
      <c r="J414" s="59"/>
      <c r="K414" s="59"/>
      <c r="L414" s="59"/>
      <c r="M414" s="59"/>
      <c r="N414" s="59"/>
      <c r="O414" s="59"/>
      <c r="P414" s="59"/>
      <c r="Q414" s="59"/>
      <c r="R414" s="59"/>
      <c r="S414" s="59"/>
      <c r="T414" s="59"/>
      <c r="U414" s="59"/>
    </row>
    <row r="415" ht="35.25" customHeight="1">
      <c r="A415" s="59"/>
      <c r="B415" s="59"/>
      <c r="C415" s="59"/>
      <c r="D415" s="59"/>
      <c r="E415" s="178"/>
      <c r="F415" s="59"/>
      <c r="G415" s="59"/>
      <c r="H415" s="59"/>
      <c r="I415" s="178"/>
      <c r="J415" s="59"/>
      <c r="K415" s="59"/>
      <c r="L415" s="59"/>
      <c r="M415" s="59"/>
      <c r="N415" s="59"/>
      <c r="O415" s="59"/>
      <c r="P415" s="59"/>
      <c r="Q415" s="59"/>
      <c r="R415" s="59"/>
      <c r="S415" s="59"/>
      <c r="T415" s="59"/>
      <c r="U415" s="59"/>
    </row>
    <row r="416" ht="35.25" customHeight="1">
      <c r="A416" s="59"/>
      <c r="B416" s="59"/>
      <c r="C416" s="59"/>
      <c r="D416" s="59"/>
      <c r="E416" s="178"/>
      <c r="F416" s="59"/>
      <c r="G416" s="59"/>
      <c r="H416" s="59"/>
      <c r="I416" s="178"/>
      <c r="J416" s="59"/>
      <c r="K416" s="59"/>
      <c r="L416" s="59"/>
      <c r="M416" s="59"/>
      <c r="N416" s="59"/>
      <c r="O416" s="59"/>
      <c r="P416" s="59"/>
      <c r="Q416" s="59"/>
      <c r="R416" s="59"/>
      <c r="S416" s="59"/>
      <c r="T416" s="59"/>
      <c r="U416" s="59"/>
    </row>
    <row r="417" ht="35.25" customHeight="1">
      <c r="A417" s="59"/>
      <c r="B417" s="59"/>
      <c r="C417" s="59"/>
      <c r="D417" s="59"/>
      <c r="E417" s="178"/>
      <c r="F417" s="59"/>
      <c r="G417" s="59"/>
      <c r="H417" s="59"/>
      <c r="I417" s="178"/>
      <c r="J417" s="59"/>
      <c r="K417" s="59"/>
      <c r="L417" s="59"/>
      <c r="M417" s="59"/>
      <c r="N417" s="59"/>
      <c r="O417" s="59"/>
      <c r="P417" s="59"/>
      <c r="Q417" s="59"/>
      <c r="R417" s="59"/>
      <c r="S417" s="59"/>
      <c r="T417" s="59"/>
      <c r="U417" s="59"/>
    </row>
    <row r="418" ht="35.25" customHeight="1">
      <c r="A418" s="59"/>
      <c r="B418" s="59"/>
      <c r="C418" s="59"/>
      <c r="D418" s="59"/>
      <c r="E418" s="178"/>
      <c r="F418" s="59"/>
      <c r="G418" s="59"/>
      <c r="H418" s="59"/>
      <c r="I418" s="178"/>
      <c r="J418" s="59"/>
      <c r="K418" s="59"/>
      <c r="L418" s="59"/>
      <c r="M418" s="59"/>
      <c r="N418" s="59"/>
      <c r="O418" s="59"/>
      <c r="P418" s="59"/>
      <c r="Q418" s="59"/>
      <c r="R418" s="59"/>
      <c r="S418" s="59"/>
      <c r="T418" s="59"/>
      <c r="U418" s="59"/>
    </row>
    <row r="419" ht="35.25" customHeight="1">
      <c r="A419" s="59"/>
      <c r="B419" s="59"/>
      <c r="C419" s="59"/>
      <c r="D419" s="59"/>
      <c r="E419" s="178"/>
      <c r="F419" s="59"/>
      <c r="G419" s="59"/>
      <c r="H419" s="59"/>
      <c r="I419" s="178"/>
      <c r="J419" s="59"/>
      <c r="K419" s="59"/>
      <c r="L419" s="59"/>
      <c r="M419" s="59"/>
      <c r="N419" s="59"/>
      <c r="O419" s="59"/>
      <c r="P419" s="59"/>
      <c r="Q419" s="59"/>
      <c r="R419" s="59"/>
      <c r="S419" s="59"/>
      <c r="T419" s="59"/>
      <c r="U419" s="59"/>
    </row>
    <row r="420" ht="35.25" customHeight="1">
      <c r="A420" s="59"/>
      <c r="B420" s="59"/>
      <c r="C420" s="59"/>
      <c r="D420" s="59"/>
      <c r="E420" s="178"/>
      <c r="F420" s="59"/>
      <c r="G420" s="59"/>
      <c r="H420" s="59"/>
      <c r="I420" s="178"/>
      <c r="J420" s="59"/>
      <c r="K420" s="59"/>
      <c r="L420" s="59"/>
      <c r="M420" s="59"/>
      <c r="N420" s="59"/>
      <c r="O420" s="59"/>
      <c r="P420" s="59"/>
      <c r="Q420" s="59"/>
      <c r="R420" s="59"/>
      <c r="S420" s="59"/>
      <c r="T420" s="59"/>
      <c r="U420" s="59"/>
    </row>
    <row r="421" ht="35.25" customHeight="1">
      <c r="A421" s="59"/>
      <c r="B421" s="59"/>
      <c r="C421" s="59"/>
      <c r="D421" s="59"/>
      <c r="E421" s="178"/>
      <c r="F421" s="59"/>
      <c r="G421" s="59"/>
      <c r="H421" s="59"/>
      <c r="I421" s="178"/>
      <c r="J421" s="59"/>
      <c r="K421" s="59"/>
      <c r="L421" s="59"/>
      <c r="M421" s="59"/>
      <c r="N421" s="59"/>
      <c r="O421" s="59"/>
      <c r="P421" s="59"/>
      <c r="Q421" s="59"/>
      <c r="R421" s="59"/>
      <c r="S421" s="59"/>
      <c r="T421" s="59"/>
      <c r="U421" s="59"/>
    </row>
    <row r="422" ht="35.25" customHeight="1">
      <c r="A422" s="59"/>
      <c r="B422" s="59"/>
      <c r="C422" s="59"/>
      <c r="D422" s="59"/>
      <c r="E422" s="178"/>
      <c r="F422" s="59"/>
      <c r="G422" s="59"/>
      <c r="H422" s="59"/>
      <c r="I422" s="178"/>
      <c r="J422" s="59"/>
      <c r="K422" s="59"/>
      <c r="L422" s="59"/>
      <c r="M422" s="59"/>
      <c r="N422" s="59"/>
      <c r="O422" s="59"/>
      <c r="P422" s="59"/>
      <c r="Q422" s="59"/>
      <c r="R422" s="59"/>
      <c r="S422" s="59"/>
      <c r="T422" s="59"/>
      <c r="U422" s="59"/>
    </row>
    <row r="423" ht="35.25" customHeight="1">
      <c r="A423" s="59"/>
      <c r="B423" s="59"/>
      <c r="C423" s="59"/>
      <c r="D423" s="59"/>
      <c r="E423" s="178"/>
      <c r="F423" s="59"/>
      <c r="G423" s="59"/>
      <c r="H423" s="59"/>
      <c r="I423" s="178"/>
      <c r="J423" s="59"/>
      <c r="K423" s="59"/>
      <c r="L423" s="59"/>
      <c r="M423" s="59"/>
      <c r="N423" s="59"/>
      <c r="O423" s="59"/>
      <c r="P423" s="59"/>
      <c r="Q423" s="59"/>
      <c r="R423" s="59"/>
      <c r="S423" s="59"/>
      <c r="T423" s="59"/>
      <c r="U423" s="59"/>
    </row>
    <row r="424" ht="35.25" customHeight="1">
      <c r="A424" s="59"/>
      <c r="B424" s="59"/>
      <c r="C424" s="59"/>
      <c r="D424" s="59"/>
      <c r="E424" s="178"/>
      <c r="F424" s="59"/>
      <c r="G424" s="59"/>
      <c r="H424" s="59"/>
      <c r="I424" s="178"/>
      <c r="J424" s="59"/>
      <c r="K424" s="59"/>
      <c r="L424" s="59"/>
      <c r="M424" s="59"/>
      <c r="N424" s="59"/>
      <c r="O424" s="59"/>
      <c r="P424" s="59"/>
      <c r="Q424" s="59"/>
      <c r="R424" s="59"/>
      <c r="S424" s="59"/>
      <c r="T424" s="59"/>
      <c r="U424" s="59"/>
    </row>
    <row r="425" ht="35.25" customHeight="1">
      <c r="A425" s="59"/>
      <c r="B425" s="59"/>
      <c r="C425" s="59"/>
      <c r="D425" s="59"/>
      <c r="E425" s="178"/>
      <c r="F425" s="59"/>
      <c r="G425" s="59"/>
      <c r="H425" s="59"/>
      <c r="I425" s="178"/>
      <c r="J425" s="59"/>
      <c r="K425" s="59"/>
      <c r="L425" s="59"/>
      <c r="M425" s="59"/>
      <c r="N425" s="59"/>
      <c r="O425" s="59"/>
      <c r="P425" s="59"/>
      <c r="Q425" s="59"/>
      <c r="R425" s="59"/>
      <c r="S425" s="59"/>
      <c r="T425" s="59"/>
      <c r="U425" s="59"/>
    </row>
    <row r="426" ht="35.25" customHeight="1">
      <c r="A426" s="59"/>
      <c r="B426" s="59"/>
      <c r="C426" s="59"/>
      <c r="D426" s="59"/>
      <c r="E426" s="178"/>
      <c r="F426" s="59"/>
      <c r="G426" s="59"/>
      <c r="H426" s="59"/>
      <c r="I426" s="178"/>
      <c r="J426" s="59"/>
      <c r="K426" s="59"/>
      <c r="L426" s="59"/>
      <c r="M426" s="59"/>
      <c r="N426" s="59"/>
      <c r="O426" s="59"/>
      <c r="P426" s="59"/>
      <c r="Q426" s="59"/>
      <c r="R426" s="59"/>
      <c r="S426" s="59"/>
      <c r="T426" s="59"/>
      <c r="U426" s="59"/>
    </row>
    <row r="427" ht="35.25" customHeight="1">
      <c r="A427" s="59"/>
      <c r="B427" s="59"/>
      <c r="C427" s="59"/>
      <c r="D427" s="59"/>
      <c r="E427" s="178"/>
      <c r="F427" s="59"/>
      <c r="G427" s="59"/>
      <c r="H427" s="59"/>
      <c r="I427" s="178"/>
      <c r="J427" s="59"/>
      <c r="K427" s="59"/>
      <c r="L427" s="59"/>
      <c r="M427" s="59"/>
      <c r="N427" s="59"/>
      <c r="O427" s="59"/>
      <c r="P427" s="59"/>
      <c r="Q427" s="59"/>
      <c r="R427" s="59"/>
      <c r="S427" s="59"/>
      <c r="T427" s="59"/>
      <c r="U427" s="59"/>
    </row>
    <row r="428" ht="35.25" customHeight="1">
      <c r="A428" s="59"/>
      <c r="B428" s="59"/>
      <c r="C428" s="59"/>
      <c r="D428" s="59"/>
      <c r="E428" s="178"/>
      <c r="F428" s="59"/>
      <c r="G428" s="59"/>
      <c r="H428" s="59"/>
      <c r="I428" s="178"/>
      <c r="J428" s="59"/>
      <c r="K428" s="59"/>
      <c r="L428" s="59"/>
      <c r="M428" s="59"/>
      <c r="N428" s="59"/>
      <c r="O428" s="59"/>
      <c r="P428" s="59"/>
      <c r="Q428" s="59"/>
      <c r="R428" s="59"/>
      <c r="S428" s="59"/>
      <c r="T428" s="59"/>
      <c r="U428" s="59"/>
    </row>
    <row r="429" ht="35.25" customHeight="1">
      <c r="A429" s="59"/>
      <c r="B429" s="59"/>
      <c r="C429" s="59"/>
      <c r="D429" s="59"/>
      <c r="E429" s="178"/>
      <c r="F429" s="59"/>
      <c r="G429" s="59"/>
      <c r="H429" s="59"/>
      <c r="I429" s="178"/>
      <c r="J429" s="59"/>
      <c r="K429" s="59"/>
      <c r="L429" s="59"/>
      <c r="M429" s="59"/>
      <c r="N429" s="59"/>
      <c r="O429" s="59"/>
      <c r="P429" s="59"/>
      <c r="Q429" s="59"/>
      <c r="R429" s="59"/>
      <c r="S429" s="59"/>
      <c r="T429" s="59"/>
      <c r="U429" s="59"/>
    </row>
    <row r="430" ht="35.25" customHeight="1">
      <c r="A430" s="59"/>
      <c r="B430" s="59"/>
      <c r="C430" s="59"/>
      <c r="D430" s="59"/>
      <c r="E430" s="178"/>
      <c r="F430" s="59"/>
      <c r="G430" s="59"/>
      <c r="H430" s="59"/>
      <c r="I430" s="178"/>
      <c r="J430" s="59"/>
      <c r="K430" s="59"/>
      <c r="L430" s="59"/>
      <c r="M430" s="59"/>
      <c r="N430" s="59"/>
      <c r="O430" s="59"/>
      <c r="P430" s="59"/>
      <c r="Q430" s="59"/>
      <c r="R430" s="59"/>
      <c r="S430" s="59"/>
      <c r="T430" s="59"/>
      <c r="U430" s="59"/>
    </row>
    <row r="431" ht="35.25" customHeight="1">
      <c r="A431" s="59"/>
      <c r="B431" s="59"/>
      <c r="C431" s="59"/>
      <c r="D431" s="59"/>
      <c r="E431" s="178"/>
      <c r="F431" s="59"/>
      <c r="G431" s="59"/>
      <c r="H431" s="59"/>
      <c r="I431" s="178"/>
      <c r="J431" s="59"/>
      <c r="K431" s="59"/>
      <c r="L431" s="59"/>
      <c r="M431" s="59"/>
      <c r="N431" s="59"/>
      <c r="O431" s="59"/>
      <c r="P431" s="59"/>
      <c r="Q431" s="59"/>
      <c r="R431" s="59"/>
      <c r="S431" s="59"/>
      <c r="T431" s="59"/>
      <c r="U431" s="59"/>
    </row>
    <row r="432" ht="35.25" customHeight="1">
      <c r="A432" s="59"/>
      <c r="B432" s="59"/>
      <c r="C432" s="59"/>
      <c r="D432" s="59"/>
      <c r="E432" s="178"/>
      <c r="F432" s="59"/>
      <c r="G432" s="59"/>
      <c r="H432" s="59"/>
      <c r="I432" s="178"/>
      <c r="J432" s="59"/>
      <c r="K432" s="59"/>
      <c r="L432" s="59"/>
      <c r="M432" s="59"/>
      <c r="N432" s="59"/>
      <c r="O432" s="59"/>
      <c r="P432" s="59"/>
      <c r="Q432" s="59"/>
      <c r="R432" s="59"/>
      <c r="S432" s="59"/>
      <c r="T432" s="59"/>
      <c r="U432" s="59"/>
    </row>
    <row r="433" ht="35.25" customHeight="1">
      <c r="A433" s="59"/>
      <c r="B433" s="59"/>
      <c r="C433" s="59"/>
      <c r="D433" s="59"/>
      <c r="E433" s="178"/>
      <c r="F433" s="59"/>
      <c r="G433" s="59"/>
      <c r="H433" s="59"/>
      <c r="I433" s="178"/>
      <c r="J433" s="59"/>
      <c r="K433" s="59"/>
      <c r="L433" s="59"/>
      <c r="M433" s="59"/>
      <c r="N433" s="59"/>
      <c r="O433" s="59"/>
      <c r="P433" s="59"/>
      <c r="Q433" s="59"/>
      <c r="R433" s="59"/>
      <c r="S433" s="59"/>
      <c r="T433" s="59"/>
      <c r="U433" s="59"/>
    </row>
    <row r="434" ht="35.25" customHeight="1">
      <c r="A434" s="59"/>
      <c r="B434" s="59"/>
      <c r="C434" s="59"/>
      <c r="D434" s="59"/>
      <c r="E434" s="178"/>
      <c r="F434" s="59"/>
      <c r="G434" s="59"/>
      <c r="H434" s="59"/>
      <c r="I434" s="178"/>
      <c r="J434" s="59"/>
      <c r="K434" s="59"/>
      <c r="L434" s="59"/>
      <c r="M434" s="59"/>
      <c r="N434" s="59"/>
      <c r="O434" s="59"/>
      <c r="P434" s="59"/>
      <c r="Q434" s="59"/>
      <c r="R434" s="59"/>
      <c r="S434" s="59"/>
      <c r="T434" s="59"/>
      <c r="U434" s="59"/>
    </row>
    <row r="435" ht="35.25" customHeight="1">
      <c r="A435" s="59"/>
      <c r="B435" s="59"/>
      <c r="C435" s="59"/>
      <c r="D435" s="59"/>
      <c r="E435" s="178"/>
      <c r="F435" s="59"/>
      <c r="G435" s="59"/>
      <c r="H435" s="59"/>
      <c r="I435" s="178"/>
      <c r="J435" s="59"/>
      <c r="K435" s="59"/>
      <c r="L435" s="59"/>
      <c r="M435" s="59"/>
      <c r="N435" s="59"/>
      <c r="O435" s="59"/>
      <c r="P435" s="59"/>
      <c r="Q435" s="59"/>
      <c r="R435" s="59"/>
      <c r="S435" s="59"/>
      <c r="T435" s="59"/>
      <c r="U435" s="59"/>
    </row>
    <row r="436" ht="35.25" customHeight="1">
      <c r="A436" s="59"/>
      <c r="B436" s="59"/>
      <c r="C436" s="59"/>
      <c r="D436" s="59"/>
      <c r="E436" s="178"/>
      <c r="F436" s="59"/>
      <c r="G436" s="59"/>
      <c r="H436" s="59"/>
      <c r="I436" s="178"/>
      <c r="J436" s="59"/>
      <c r="K436" s="59"/>
      <c r="L436" s="59"/>
      <c r="M436" s="59"/>
      <c r="N436" s="59"/>
      <c r="O436" s="59"/>
      <c r="P436" s="59"/>
      <c r="Q436" s="59"/>
      <c r="R436" s="59"/>
      <c r="S436" s="59"/>
      <c r="T436" s="59"/>
      <c r="U436" s="59"/>
    </row>
    <row r="437" ht="35.25" customHeight="1">
      <c r="A437" s="59"/>
      <c r="B437" s="59"/>
      <c r="C437" s="59"/>
      <c r="D437" s="59"/>
      <c r="E437" s="178"/>
      <c r="F437" s="59"/>
      <c r="G437" s="59"/>
      <c r="H437" s="59"/>
      <c r="I437" s="178"/>
      <c r="J437" s="59"/>
      <c r="K437" s="59"/>
      <c r="L437" s="59"/>
      <c r="M437" s="59"/>
      <c r="N437" s="59"/>
      <c r="O437" s="59"/>
      <c r="P437" s="59"/>
      <c r="Q437" s="59"/>
      <c r="R437" s="59"/>
      <c r="S437" s="59"/>
      <c r="T437" s="59"/>
      <c r="U437" s="59"/>
    </row>
    <row r="438" ht="35.25" customHeight="1">
      <c r="A438" s="59"/>
      <c r="B438" s="59"/>
      <c r="C438" s="59"/>
      <c r="D438" s="59"/>
      <c r="E438" s="178"/>
      <c r="F438" s="59"/>
      <c r="G438" s="59"/>
      <c r="H438" s="59"/>
      <c r="I438" s="178"/>
      <c r="J438" s="59"/>
      <c r="K438" s="59"/>
      <c r="L438" s="59"/>
      <c r="M438" s="59"/>
      <c r="N438" s="59"/>
      <c r="O438" s="59"/>
      <c r="P438" s="59"/>
      <c r="Q438" s="59"/>
      <c r="R438" s="59"/>
      <c r="S438" s="59"/>
      <c r="T438" s="59"/>
      <c r="U438" s="59"/>
    </row>
    <row r="439" ht="35.25" customHeight="1">
      <c r="A439" s="59"/>
      <c r="B439" s="59"/>
      <c r="C439" s="59"/>
      <c r="D439" s="59"/>
      <c r="E439" s="178"/>
      <c r="F439" s="59"/>
      <c r="G439" s="59"/>
      <c r="H439" s="59"/>
      <c r="I439" s="178"/>
      <c r="J439" s="59"/>
      <c r="K439" s="59"/>
      <c r="L439" s="59"/>
      <c r="M439" s="59"/>
      <c r="N439" s="59"/>
      <c r="O439" s="59"/>
      <c r="P439" s="59"/>
      <c r="Q439" s="59"/>
      <c r="R439" s="59"/>
      <c r="S439" s="59"/>
      <c r="T439" s="59"/>
      <c r="U439" s="59"/>
    </row>
    <row r="440" ht="35.25" customHeight="1">
      <c r="A440" s="59"/>
      <c r="B440" s="59"/>
      <c r="C440" s="59"/>
      <c r="D440" s="59"/>
      <c r="E440" s="178"/>
      <c r="F440" s="59"/>
      <c r="G440" s="59"/>
      <c r="H440" s="59"/>
      <c r="I440" s="178"/>
      <c r="J440" s="59"/>
      <c r="K440" s="59"/>
      <c r="L440" s="59"/>
      <c r="M440" s="59"/>
      <c r="N440" s="59"/>
      <c r="O440" s="59"/>
      <c r="P440" s="59"/>
      <c r="Q440" s="59"/>
      <c r="R440" s="59"/>
      <c r="S440" s="59"/>
      <c r="T440" s="59"/>
      <c r="U440" s="59"/>
    </row>
    <row r="441" ht="35.25" customHeight="1">
      <c r="A441" s="59"/>
      <c r="B441" s="59"/>
      <c r="C441" s="59"/>
      <c r="D441" s="59"/>
      <c r="E441" s="178"/>
      <c r="F441" s="59"/>
      <c r="G441" s="59"/>
      <c r="H441" s="59"/>
      <c r="I441" s="178"/>
      <c r="J441" s="59"/>
      <c r="K441" s="59"/>
      <c r="L441" s="59"/>
      <c r="M441" s="59"/>
      <c r="N441" s="59"/>
      <c r="O441" s="59"/>
      <c r="P441" s="59"/>
      <c r="Q441" s="59"/>
      <c r="R441" s="59"/>
      <c r="S441" s="59"/>
      <c r="T441" s="59"/>
      <c r="U441" s="59"/>
    </row>
    <row r="442" ht="35.25" customHeight="1">
      <c r="A442" s="59"/>
      <c r="B442" s="59"/>
      <c r="C442" s="59"/>
      <c r="D442" s="59"/>
      <c r="E442" s="178"/>
      <c r="F442" s="59"/>
      <c r="G442" s="59"/>
      <c r="H442" s="59"/>
      <c r="I442" s="178"/>
      <c r="J442" s="59"/>
      <c r="K442" s="59"/>
      <c r="L442" s="59"/>
      <c r="M442" s="59"/>
      <c r="N442" s="59"/>
      <c r="O442" s="59"/>
      <c r="P442" s="59"/>
      <c r="Q442" s="59"/>
      <c r="R442" s="59"/>
      <c r="S442" s="59"/>
      <c r="T442" s="59"/>
      <c r="U442" s="59"/>
    </row>
    <row r="443" ht="35.25" customHeight="1">
      <c r="A443" s="59"/>
      <c r="B443" s="59"/>
      <c r="C443" s="59"/>
      <c r="D443" s="59"/>
      <c r="E443" s="178"/>
      <c r="F443" s="59"/>
      <c r="G443" s="59"/>
      <c r="H443" s="59"/>
      <c r="I443" s="178"/>
      <c r="J443" s="59"/>
      <c r="K443" s="59"/>
      <c r="L443" s="59"/>
      <c r="M443" s="59"/>
      <c r="N443" s="59"/>
      <c r="O443" s="59"/>
      <c r="P443" s="59"/>
      <c r="Q443" s="59"/>
      <c r="R443" s="59"/>
      <c r="S443" s="59"/>
      <c r="T443" s="59"/>
      <c r="U443" s="59"/>
    </row>
    <row r="444" ht="35.25" customHeight="1">
      <c r="A444" s="59"/>
      <c r="B444" s="59"/>
      <c r="C444" s="59"/>
      <c r="D444" s="59"/>
      <c r="E444" s="178"/>
      <c r="F444" s="59"/>
      <c r="G444" s="59"/>
      <c r="H444" s="59"/>
      <c r="I444" s="178"/>
      <c r="J444" s="59"/>
      <c r="K444" s="59"/>
      <c r="L444" s="59"/>
      <c r="M444" s="59"/>
      <c r="N444" s="59"/>
      <c r="O444" s="59"/>
      <c r="P444" s="59"/>
      <c r="Q444" s="59"/>
      <c r="R444" s="59"/>
      <c r="S444" s="59"/>
      <c r="T444" s="59"/>
      <c r="U444" s="59"/>
    </row>
    <row r="445" ht="35.25" customHeight="1">
      <c r="A445" s="59"/>
      <c r="B445" s="59"/>
      <c r="C445" s="59"/>
      <c r="D445" s="59"/>
      <c r="E445" s="178"/>
      <c r="F445" s="59"/>
      <c r="G445" s="59"/>
      <c r="H445" s="59"/>
      <c r="I445" s="178"/>
      <c r="J445" s="59"/>
      <c r="K445" s="59"/>
      <c r="L445" s="59"/>
      <c r="M445" s="59"/>
      <c r="N445" s="59"/>
      <c r="O445" s="59"/>
      <c r="P445" s="59"/>
      <c r="Q445" s="59"/>
      <c r="R445" s="59"/>
      <c r="S445" s="59"/>
      <c r="T445" s="59"/>
      <c r="U445" s="59"/>
    </row>
    <row r="446" ht="35.25" customHeight="1">
      <c r="A446" s="59"/>
      <c r="B446" s="59"/>
      <c r="C446" s="59"/>
      <c r="D446" s="59"/>
      <c r="E446" s="178"/>
      <c r="F446" s="59"/>
      <c r="G446" s="59"/>
      <c r="H446" s="59"/>
      <c r="I446" s="178"/>
      <c r="J446" s="59"/>
      <c r="K446" s="59"/>
      <c r="L446" s="59"/>
      <c r="M446" s="59"/>
      <c r="N446" s="59"/>
      <c r="O446" s="59"/>
      <c r="P446" s="59"/>
      <c r="Q446" s="59"/>
      <c r="R446" s="59"/>
      <c r="S446" s="59"/>
      <c r="T446" s="59"/>
      <c r="U446" s="59"/>
    </row>
    <row r="447" ht="35.25" customHeight="1">
      <c r="A447" s="59"/>
      <c r="B447" s="59"/>
      <c r="C447" s="59"/>
      <c r="D447" s="59"/>
      <c r="E447" s="178"/>
      <c r="F447" s="59"/>
      <c r="G447" s="59"/>
      <c r="H447" s="59"/>
      <c r="I447" s="178"/>
      <c r="J447" s="59"/>
      <c r="K447" s="59"/>
      <c r="L447" s="59"/>
      <c r="M447" s="59"/>
      <c r="N447" s="59"/>
      <c r="O447" s="59"/>
      <c r="P447" s="59"/>
      <c r="Q447" s="59"/>
      <c r="R447" s="59"/>
      <c r="S447" s="59"/>
      <c r="T447" s="59"/>
      <c r="U447" s="59"/>
    </row>
    <row r="448" ht="35.25" customHeight="1">
      <c r="A448" s="59"/>
      <c r="B448" s="59"/>
      <c r="C448" s="59"/>
      <c r="D448" s="59"/>
      <c r="E448" s="178"/>
      <c r="F448" s="59"/>
      <c r="G448" s="59"/>
      <c r="H448" s="59"/>
      <c r="I448" s="178"/>
      <c r="J448" s="59"/>
      <c r="K448" s="59"/>
      <c r="L448" s="59"/>
      <c r="M448" s="59"/>
      <c r="N448" s="59"/>
      <c r="O448" s="59"/>
      <c r="P448" s="59"/>
      <c r="Q448" s="59"/>
      <c r="R448" s="59"/>
      <c r="S448" s="59"/>
      <c r="T448" s="59"/>
      <c r="U448" s="59"/>
    </row>
    <row r="449" ht="35.25" customHeight="1">
      <c r="A449" s="59"/>
      <c r="B449" s="59"/>
      <c r="C449" s="59"/>
      <c r="D449" s="59"/>
      <c r="E449" s="178"/>
      <c r="F449" s="59"/>
      <c r="G449" s="59"/>
      <c r="H449" s="59"/>
      <c r="I449" s="178"/>
      <c r="J449" s="59"/>
      <c r="K449" s="59"/>
      <c r="L449" s="59"/>
      <c r="M449" s="59"/>
      <c r="N449" s="59"/>
      <c r="O449" s="59"/>
      <c r="P449" s="59"/>
      <c r="Q449" s="59"/>
      <c r="R449" s="59"/>
      <c r="S449" s="59"/>
      <c r="T449" s="59"/>
      <c r="U449" s="59"/>
    </row>
    <row r="450" ht="35.25" customHeight="1">
      <c r="A450" s="59"/>
      <c r="B450" s="59"/>
      <c r="C450" s="59"/>
      <c r="D450" s="59"/>
      <c r="E450" s="178"/>
      <c r="F450" s="59"/>
      <c r="G450" s="59"/>
      <c r="H450" s="59"/>
      <c r="I450" s="178"/>
      <c r="J450" s="59"/>
      <c r="K450" s="59"/>
      <c r="L450" s="59"/>
      <c r="M450" s="59"/>
      <c r="N450" s="59"/>
      <c r="O450" s="59"/>
      <c r="P450" s="59"/>
      <c r="Q450" s="59"/>
      <c r="R450" s="59"/>
      <c r="S450" s="59"/>
      <c r="T450" s="59"/>
      <c r="U450" s="59"/>
    </row>
    <row r="451" ht="35.25" customHeight="1">
      <c r="A451" s="59"/>
      <c r="B451" s="59"/>
      <c r="C451" s="59"/>
      <c r="D451" s="59"/>
      <c r="E451" s="178"/>
      <c r="F451" s="59"/>
      <c r="G451" s="59"/>
      <c r="H451" s="59"/>
      <c r="I451" s="178"/>
      <c r="J451" s="59"/>
      <c r="K451" s="59"/>
      <c r="L451" s="59"/>
      <c r="M451" s="59"/>
      <c r="N451" s="59"/>
      <c r="O451" s="59"/>
      <c r="P451" s="59"/>
      <c r="Q451" s="59"/>
      <c r="R451" s="59"/>
      <c r="S451" s="59"/>
      <c r="T451" s="59"/>
      <c r="U451" s="59"/>
    </row>
    <row r="452" ht="35.25" customHeight="1">
      <c r="A452" s="59"/>
      <c r="B452" s="59"/>
      <c r="C452" s="59"/>
      <c r="D452" s="59"/>
      <c r="E452" s="178"/>
      <c r="F452" s="59"/>
      <c r="G452" s="59"/>
      <c r="H452" s="59"/>
      <c r="I452" s="178"/>
      <c r="J452" s="59"/>
      <c r="K452" s="59"/>
      <c r="L452" s="59"/>
      <c r="M452" s="59"/>
      <c r="N452" s="59"/>
      <c r="O452" s="59"/>
      <c r="P452" s="59"/>
      <c r="Q452" s="59"/>
      <c r="R452" s="59"/>
      <c r="S452" s="59"/>
      <c r="T452" s="59"/>
      <c r="U452" s="59"/>
    </row>
    <row r="453" ht="35.25" customHeight="1">
      <c r="A453" s="59"/>
      <c r="B453" s="59"/>
      <c r="C453" s="59"/>
      <c r="D453" s="59"/>
      <c r="E453" s="178"/>
      <c r="F453" s="59"/>
      <c r="G453" s="59"/>
      <c r="H453" s="59"/>
      <c r="I453" s="178"/>
      <c r="J453" s="59"/>
      <c r="K453" s="59"/>
      <c r="L453" s="59"/>
      <c r="M453" s="59"/>
      <c r="N453" s="59"/>
      <c r="O453" s="59"/>
      <c r="P453" s="59"/>
      <c r="Q453" s="59"/>
      <c r="R453" s="59"/>
      <c r="S453" s="59"/>
      <c r="T453" s="59"/>
      <c r="U453" s="59"/>
    </row>
    <row r="454" ht="35.25" customHeight="1">
      <c r="A454" s="59"/>
      <c r="B454" s="59"/>
      <c r="C454" s="59"/>
      <c r="D454" s="59"/>
      <c r="E454" s="178"/>
      <c r="F454" s="59"/>
      <c r="G454" s="59"/>
      <c r="H454" s="59"/>
      <c r="I454" s="178"/>
      <c r="J454" s="59"/>
      <c r="K454" s="59"/>
      <c r="L454" s="59"/>
      <c r="M454" s="59"/>
      <c r="N454" s="59"/>
      <c r="O454" s="59"/>
      <c r="P454" s="59"/>
      <c r="Q454" s="59"/>
      <c r="R454" s="59"/>
      <c r="S454" s="59"/>
      <c r="T454" s="59"/>
      <c r="U454" s="59"/>
    </row>
    <row r="455" ht="35.25" customHeight="1">
      <c r="A455" s="59"/>
      <c r="B455" s="59"/>
      <c r="C455" s="59"/>
      <c r="D455" s="59"/>
      <c r="E455" s="178"/>
      <c r="F455" s="59"/>
      <c r="G455" s="59"/>
      <c r="H455" s="59"/>
      <c r="I455" s="178"/>
      <c r="J455" s="59"/>
      <c r="K455" s="59"/>
      <c r="L455" s="59"/>
      <c r="M455" s="59"/>
      <c r="N455" s="59"/>
      <c r="O455" s="59"/>
      <c r="P455" s="59"/>
      <c r="Q455" s="59"/>
      <c r="R455" s="59"/>
      <c r="S455" s="59"/>
      <c r="T455" s="59"/>
      <c r="U455" s="59"/>
    </row>
    <row r="456" ht="35.25" customHeight="1">
      <c r="A456" s="59"/>
      <c r="B456" s="59"/>
      <c r="C456" s="59"/>
      <c r="D456" s="59"/>
      <c r="E456" s="178"/>
      <c r="F456" s="59"/>
      <c r="G456" s="59"/>
      <c r="H456" s="59"/>
      <c r="I456" s="178"/>
      <c r="J456" s="59"/>
      <c r="K456" s="59"/>
      <c r="L456" s="59"/>
      <c r="M456" s="59"/>
      <c r="N456" s="59"/>
      <c r="O456" s="59"/>
      <c r="P456" s="59"/>
      <c r="Q456" s="59"/>
      <c r="R456" s="59"/>
      <c r="S456" s="59"/>
      <c r="T456" s="59"/>
      <c r="U456" s="59"/>
    </row>
    <row r="457" ht="35.25" customHeight="1">
      <c r="A457" s="59"/>
      <c r="B457" s="59"/>
      <c r="C457" s="59"/>
      <c r="D457" s="59"/>
      <c r="E457" s="178"/>
      <c r="F457" s="59"/>
      <c r="G457" s="59"/>
      <c r="H457" s="59"/>
      <c r="I457" s="178"/>
      <c r="J457" s="59"/>
      <c r="K457" s="59"/>
      <c r="L457" s="59"/>
      <c r="M457" s="59"/>
      <c r="N457" s="59"/>
      <c r="O457" s="59"/>
      <c r="P457" s="59"/>
      <c r="Q457" s="59"/>
      <c r="R457" s="59"/>
      <c r="S457" s="59"/>
      <c r="T457" s="59"/>
      <c r="U457" s="59"/>
    </row>
    <row r="458" ht="35.25" customHeight="1">
      <c r="A458" s="59"/>
      <c r="B458" s="59"/>
      <c r="C458" s="59"/>
      <c r="D458" s="59"/>
      <c r="E458" s="178"/>
      <c r="F458" s="59"/>
      <c r="G458" s="59"/>
      <c r="H458" s="59"/>
      <c r="I458" s="178"/>
      <c r="J458" s="59"/>
      <c r="K458" s="59"/>
      <c r="L458" s="59"/>
      <c r="M458" s="59"/>
      <c r="N458" s="59"/>
      <c r="O458" s="59"/>
      <c r="P458" s="59"/>
      <c r="Q458" s="59"/>
      <c r="R458" s="59"/>
      <c r="S458" s="59"/>
      <c r="T458" s="59"/>
      <c r="U458" s="59"/>
    </row>
    <row r="459" ht="35.25" customHeight="1">
      <c r="A459" s="59"/>
      <c r="B459" s="59"/>
      <c r="C459" s="59"/>
      <c r="D459" s="59"/>
      <c r="E459" s="178"/>
      <c r="F459" s="59"/>
      <c r="G459" s="59"/>
      <c r="H459" s="59"/>
      <c r="I459" s="178"/>
      <c r="J459" s="59"/>
      <c r="K459" s="59"/>
      <c r="L459" s="59"/>
      <c r="M459" s="59"/>
      <c r="N459" s="59"/>
      <c r="O459" s="59"/>
      <c r="P459" s="59"/>
      <c r="Q459" s="59"/>
      <c r="R459" s="59"/>
      <c r="S459" s="59"/>
      <c r="T459" s="59"/>
      <c r="U459" s="59"/>
    </row>
    <row r="460" ht="35.25" customHeight="1">
      <c r="A460" s="59"/>
      <c r="B460" s="59"/>
      <c r="C460" s="59"/>
      <c r="D460" s="59"/>
      <c r="E460" s="178"/>
      <c r="F460" s="59"/>
      <c r="G460" s="59"/>
      <c r="H460" s="59"/>
      <c r="I460" s="178"/>
      <c r="J460" s="59"/>
      <c r="K460" s="59"/>
      <c r="L460" s="59"/>
      <c r="M460" s="59"/>
      <c r="N460" s="59"/>
      <c r="O460" s="59"/>
      <c r="P460" s="59"/>
      <c r="Q460" s="59"/>
      <c r="R460" s="59"/>
      <c r="S460" s="59"/>
      <c r="T460" s="59"/>
      <c r="U460" s="59"/>
    </row>
    <row r="461" ht="35.25" customHeight="1">
      <c r="A461" s="59"/>
      <c r="B461" s="59"/>
      <c r="C461" s="59"/>
      <c r="D461" s="59"/>
      <c r="E461" s="178"/>
      <c r="F461" s="59"/>
      <c r="G461" s="59"/>
      <c r="H461" s="59"/>
      <c r="I461" s="178"/>
      <c r="J461" s="59"/>
      <c r="K461" s="59"/>
      <c r="L461" s="59"/>
      <c r="M461" s="59"/>
      <c r="N461" s="59"/>
      <c r="O461" s="59"/>
      <c r="P461" s="59"/>
      <c r="Q461" s="59"/>
      <c r="R461" s="59"/>
      <c r="S461" s="59"/>
      <c r="T461" s="59"/>
      <c r="U461" s="59"/>
    </row>
    <row r="462" ht="35.25" customHeight="1">
      <c r="A462" s="59"/>
      <c r="B462" s="59"/>
      <c r="C462" s="59"/>
      <c r="D462" s="59"/>
      <c r="E462" s="178"/>
      <c r="F462" s="59"/>
      <c r="G462" s="59"/>
      <c r="H462" s="59"/>
      <c r="I462" s="178"/>
      <c r="J462" s="59"/>
      <c r="K462" s="59"/>
      <c r="L462" s="59"/>
      <c r="M462" s="59"/>
      <c r="N462" s="59"/>
      <c r="O462" s="59"/>
      <c r="P462" s="59"/>
      <c r="Q462" s="59"/>
      <c r="R462" s="59"/>
      <c r="S462" s="59"/>
      <c r="T462" s="59"/>
      <c r="U462" s="59"/>
    </row>
    <row r="463" ht="35.25" customHeight="1">
      <c r="A463" s="59"/>
      <c r="B463" s="59"/>
      <c r="C463" s="59"/>
      <c r="D463" s="59"/>
      <c r="E463" s="178"/>
      <c r="F463" s="59"/>
      <c r="G463" s="59"/>
      <c r="H463" s="59"/>
      <c r="I463" s="178"/>
      <c r="J463" s="59"/>
      <c r="K463" s="59"/>
      <c r="L463" s="59"/>
      <c r="M463" s="59"/>
      <c r="N463" s="59"/>
      <c r="O463" s="59"/>
      <c r="P463" s="59"/>
      <c r="Q463" s="59"/>
      <c r="R463" s="59"/>
      <c r="S463" s="59"/>
      <c r="T463" s="59"/>
      <c r="U463" s="59"/>
    </row>
    <row r="464" ht="35.25" customHeight="1">
      <c r="A464" s="59"/>
      <c r="B464" s="59"/>
      <c r="C464" s="59"/>
      <c r="D464" s="59"/>
      <c r="E464" s="178"/>
      <c r="F464" s="59"/>
      <c r="G464" s="59"/>
      <c r="H464" s="59"/>
      <c r="I464" s="178"/>
      <c r="J464" s="59"/>
      <c r="K464" s="59"/>
      <c r="L464" s="59"/>
      <c r="M464" s="59"/>
      <c r="N464" s="59"/>
      <c r="O464" s="59"/>
      <c r="P464" s="59"/>
      <c r="Q464" s="59"/>
      <c r="R464" s="59"/>
      <c r="S464" s="59"/>
      <c r="T464" s="59"/>
      <c r="U464" s="59"/>
    </row>
    <row r="465" ht="35.25" customHeight="1">
      <c r="A465" s="59"/>
      <c r="B465" s="59"/>
      <c r="C465" s="59"/>
      <c r="D465" s="59"/>
      <c r="E465" s="178"/>
      <c r="F465" s="59"/>
      <c r="G465" s="59"/>
      <c r="H465" s="59"/>
      <c r="I465" s="178"/>
      <c r="J465" s="59"/>
      <c r="K465" s="59"/>
      <c r="L465" s="59"/>
      <c r="M465" s="59"/>
      <c r="N465" s="59"/>
      <c r="O465" s="59"/>
      <c r="P465" s="59"/>
      <c r="Q465" s="59"/>
      <c r="R465" s="59"/>
      <c r="S465" s="59"/>
      <c r="T465" s="59"/>
      <c r="U465" s="59"/>
    </row>
    <row r="466" ht="35.25" customHeight="1">
      <c r="A466" s="59"/>
      <c r="B466" s="59"/>
      <c r="C466" s="59"/>
      <c r="D466" s="59"/>
      <c r="E466" s="178"/>
      <c r="F466" s="59"/>
      <c r="G466" s="59"/>
      <c r="H466" s="59"/>
      <c r="I466" s="178"/>
      <c r="J466" s="59"/>
      <c r="K466" s="59"/>
      <c r="L466" s="59"/>
      <c r="M466" s="59"/>
      <c r="N466" s="59"/>
      <c r="O466" s="59"/>
      <c r="P466" s="59"/>
      <c r="Q466" s="59"/>
      <c r="R466" s="59"/>
      <c r="S466" s="59"/>
      <c r="T466" s="59"/>
      <c r="U466" s="59"/>
    </row>
    <row r="467" ht="35.25" customHeight="1">
      <c r="A467" s="59"/>
      <c r="B467" s="59"/>
      <c r="C467" s="59"/>
      <c r="D467" s="59"/>
      <c r="E467" s="178"/>
      <c r="F467" s="59"/>
      <c r="G467" s="59"/>
      <c r="H467" s="59"/>
      <c r="I467" s="178"/>
      <c r="J467" s="59"/>
      <c r="K467" s="59"/>
      <c r="L467" s="59"/>
      <c r="M467" s="59"/>
      <c r="N467" s="59"/>
      <c r="O467" s="59"/>
      <c r="P467" s="59"/>
      <c r="Q467" s="59"/>
      <c r="R467" s="59"/>
      <c r="S467" s="59"/>
      <c r="T467" s="59"/>
      <c r="U467" s="59"/>
    </row>
    <row r="468" ht="35.25" customHeight="1">
      <c r="A468" s="59"/>
      <c r="B468" s="59"/>
      <c r="C468" s="59"/>
      <c r="D468" s="59"/>
      <c r="E468" s="178"/>
      <c r="F468" s="59"/>
      <c r="G468" s="59"/>
      <c r="H468" s="59"/>
      <c r="I468" s="178"/>
      <c r="J468" s="59"/>
      <c r="K468" s="59"/>
      <c r="L468" s="59"/>
      <c r="M468" s="59"/>
      <c r="N468" s="59"/>
      <c r="O468" s="59"/>
      <c r="P468" s="59"/>
      <c r="Q468" s="59"/>
      <c r="R468" s="59"/>
      <c r="S468" s="59"/>
      <c r="T468" s="59"/>
      <c r="U468" s="59"/>
    </row>
    <row r="469" ht="35.25" customHeight="1">
      <c r="A469" s="59"/>
      <c r="B469" s="59"/>
      <c r="C469" s="59"/>
      <c r="D469" s="59"/>
      <c r="E469" s="178"/>
      <c r="F469" s="59"/>
      <c r="G469" s="59"/>
      <c r="H469" s="59"/>
      <c r="I469" s="178"/>
      <c r="J469" s="59"/>
      <c r="K469" s="59"/>
      <c r="L469" s="59"/>
      <c r="M469" s="59"/>
      <c r="N469" s="59"/>
      <c r="O469" s="59"/>
      <c r="P469" s="59"/>
      <c r="Q469" s="59"/>
      <c r="R469" s="59"/>
      <c r="S469" s="59"/>
      <c r="T469" s="59"/>
      <c r="U469" s="59"/>
    </row>
    <row r="470" ht="35.25" customHeight="1">
      <c r="A470" s="59"/>
      <c r="B470" s="59"/>
      <c r="C470" s="59"/>
      <c r="D470" s="59"/>
      <c r="E470" s="178"/>
      <c r="F470" s="59"/>
      <c r="G470" s="59"/>
      <c r="H470" s="59"/>
      <c r="I470" s="178"/>
      <c r="J470" s="59"/>
      <c r="K470" s="59"/>
      <c r="L470" s="59"/>
      <c r="M470" s="59"/>
      <c r="N470" s="59"/>
      <c r="O470" s="59"/>
      <c r="P470" s="59"/>
      <c r="Q470" s="59"/>
      <c r="R470" s="59"/>
      <c r="S470" s="59"/>
      <c r="T470" s="59"/>
      <c r="U470" s="59"/>
    </row>
    <row r="471" ht="35.25" customHeight="1">
      <c r="A471" s="59"/>
      <c r="B471" s="59"/>
      <c r="C471" s="59"/>
      <c r="D471" s="59"/>
      <c r="E471" s="178"/>
      <c r="F471" s="59"/>
      <c r="G471" s="59"/>
      <c r="H471" s="59"/>
      <c r="I471" s="178"/>
      <c r="J471" s="59"/>
      <c r="K471" s="59"/>
      <c r="L471" s="59"/>
      <c r="M471" s="59"/>
      <c r="N471" s="59"/>
      <c r="O471" s="59"/>
      <c r="P471" s="59"/>
      <c r="Q471" s="59"/>
      <c r="R471" s="59"/>
      <c r="S471" s="59"/>
      <c r="T471" s="59"/>
      <c r="U471" s="59"/>
    </row>
    <row r="472" ht="35.25" customHeight="1">
      <c r="A472" s="59"/>
      <c r="B472" s="59"/>
      <c r="C472" s="59"/>
      <c r="D472" s="59"/>
      <c r="E472" s="178"/>
      <c r="F472" s="59"/>
      <c r="G472" s="59"/>
      <c r="H472" s="59"/>
      <c r="I472" s="178"/>
      <c r="J472" s="59"/>
      <c r="K472" s="59"/>
      <c r="L472" s="59"/>
      <c r="M472" s="59"/>
      <c r="N472" s="59"/>
      <c r="O472" s="59"/>
      <c r="P472" s="59"/>
      <c r="Q472" s="59"/>
      <c r="R472" s="59"/>
      <c r="S472" s="59"/>
      <c r="T472" s="59"/>
      <c r="U472" s="59"/>
    </row>
    <row r="473" ht="35.25" customHeight="1">
      <c r="A473" s="59"/>
      <c r="B473" s="59"/>
      <c r="C473" s="59"/>
      <c r="D473" s="59"/>
      <c r="E473" s="178"/>
      <c r="F473" s="59"/>
      <c r="G473" s="59"/>
      <c r="H473" s="59"/>
      <c r="I473" s="178"/>
      <c r="J473" s="59"/>
      <c r="K473" s="59"/>
      <c r="L473" s="59"/>
      <c r="M473" s="59"/>
      <c r="N473" s="59"/>
      <c r="O473" s="59"/>
      <c r="P473" s="59"/>
      <c r="Q473" s="59"/>
      <c r="R473" s="59"/>
      <c r="S473" s="59"/>
      <c r="T473" s="59"/>
      <c r="U473" s="59"/>
    </row>
    <row r="474" ht="35.25" customHeight="1">
      <c r="A474" s="59"/>
      <c r="B474" s="59"/>
      <c r="C474" s="59"/>
      <c r="D474" s="59"/>
      <c r="E474" s="178"/>
      <c r="F474" s="59"/>
      <c r="G474" s="59"/>
      <c r="H474" s="59"/>
      <c r="I474" s="178"/>
      <c r="J474" s="59"/>
      <c r="K474" s="59"/>
      <c r="L474" s="59"/>
      <c r="M474" s="59"/>
      <c r="N474" s="59"/>
      <c r="O474" s="59"/>
      <c r="P474" s="59"/>
      <c r="Q474" s="59"/>
      <c r="R474" s="59"/>
      <c r="S474" s="59"/>
      <c r="T474" s="59"/>
      <c r="U474" s="59"/>
    </row>
    <row r="475" ht="35.25" customHeight="1">
      <c r="A475" s="59"/>
      <c r="B475" s="59"/>
      <c r="C475" s="59"/>
      <c r="D475" s="59"/>
      <c r="E475" s="178"/>
      <c r="F475" s="59"/>
      <c r="G475" s="59"/>
      <c r="H475" s="59"/>
      <c r="I475" s="178"/>
      <c r="J475" s="59"/>
      <c r="K475" s="59"/>
      <c r="L475" s="59"/>
      <c r="M475" s="59"/>
      <c r="N475" s="59"/>
      <c r="O475" s="59"/>
      <c r="P475" s="59"/>
      <c r="Q475" s="59"/>
      <c r="R475" s="59"/>
      <c r="S475" s="59"/>
      <c r="T475" s="59"/>
      <c r="U475" s="59"/>
    </row>
    <row r="476" ht="35.25" customHeight="1">
      <c r="A476" s="59"/>
      <c r="B476" s="59"/>
      <c r="C476" s="59"/>
      <c r="D476" s="59"/>
      <c r="E476" s="178"/>
      <c r="F476" s="59"/>
      <c r="G476" s="59"/>
      <c r="H476" s="59"/>
      <c r="I476" s="178"/>
      <c r="J476" s="59"/>
      <c r="K476" s="59"/>
      <c r="L476" s="59"/>
      <c r="M476" s="59"/>
      <c r="N476" s="59"/>
      <c r="O476" s="59"/>
      <c r="P476" s="59"/>
      <c r="Q476" s="59"/>
      <c r="R476" s="59"/>
      <c r="S476" s="59"/>
      <c r="T476" s="59"/>
      <c r="U476" s="59"/>
    </row>
    <row r="477" ht="35.25" customHeight="1">
      <c r="A477" s="59"/>
      <c r="B477" s="59"/>
      <c r="C477" s="59"/>
      <c r="D477" s="59"/>
      <c r="E477" s="178"/>
      <c r="F477" s="59"/>
      <c r="G477" s="59"/>
      <c r="H477" s="59"/>
      <c r="I477" s="178"/>
      <c r="J477" s="59"/>
      <c r="K477" s="59"/>
      <c r="L477" s="59"/>
      <c r="M477" s="59"/>
      <c r="N477" s="59"/>
      <c r="O477" s="59"/>
      <c r="P477" s="59"/>
      <c r="Q477" s="59"/>
      <c r="R477" s="59"/>
      <c r="S477" s="59"/>
      <c r="T477" s="59"/>
      <c r="U477" s="59"/>
    </row>
    <row r="478" ht="35.25" customHeight="1">
      <c r="A478" s="59"/>
      <c r="B478" s="59"/>
      <c r="C478" s="59"/>
      <c r="D478" s="59"/>
      <c r="E478" s="178"/>
      <c r="F478" s="59"/>
      <c r="G478" s="59"/>
      <c r="H478" s="59"/>
      <c r="I478" s="178"/>
      <c r="J478" s="59"/>
      <c r="K478" s="59"/>
      <c r="L478" s="59"/>
      <c r="M478" s="59"/>
      <c r="N478" s="59"/>
      <c r="O478" s="59"/>
      <c r="P478" s="59"/>
      <c r="Q478" s="59"/>
      <c r="R478" s="59"/>
      <c r="S478" s="59"/>
      <c r="T478" s="59"/>
      <c r="U478" s="59"/>
    </row>
    <row r="479" ht="35.25" customHeight="1">
      <c r="A479" s="59"/>
      <c r="B479" s="59"/>
      <c r="C479" s="59"/>
      <c r="D479" s="59"/>
      <c r="E479" s="178"/>
      <c r="F479" s="59"/>
      <c r="G479" s="59"/>
      <c r="H479" s="59"/>
      <c r="I479" s="178"/>
      <c r="J479" s="59"/>
      <c r="K479" s="59"/>
      <c r="L479" s="59"/>
      <c r="M479" s="59"/>
      <c r="N479" s="59"/>
      <c r="O479" s="59"/>
      <c r="P479" s="59"/>
      <c r="Q479" s="59"/>
      <c r="R479" s="59"/>
      <c r="S479" s="59"/>
      <c r="T479" s="59"/>
      <c r="U479" s="59"/>
    </row>
    <row r="480" ht="35.25" customHeight="1">
      <c r="A480" s="59"/>
      <c r="B480" s="59"/>
      <c r="C480" s="59"/>
      <c r="D480" s="59"/>
      <c r="E480" s="178"/>
      <c r="F480" s="59"/>
      <c r="G480" s="59"/>
      <c r="H480" s="59"/>
      <c r="I480" s="178"/>
      <c r="J480" s="59"/>
      <c r="K480" s="59"/>
      <c r="L480" s="59"/>
      <c r="M480" s="59"/>
      <c r="N480" s="59"/>
      <c r="O480" s="59"/>
      <c r="P480" s="59"/>
      <c r="Q480" s="59"/>
      <c r="R480" s="59"/>
      <c r="S480" s="59"/>
      <c r="T480" s="59"/>
      <c r="U480" s="59"/>
    </row>
    <row r="481" ht="35.25" customHeight="1">
      <c r="A481" s="59"/>
      <c r="B481" s="59"/>
      <c r="C481" s="59"/>
      <c r="D481" s="59"/>
      <c r="E481" s="178"/>
      <c r="F481" s="59"/>
      <c r="G481" s="59"/>
      <c r="H481" s="59"/>
      <c r="I481" s="178"/>
      <c r="J481" s="59"/>
      <c r="K481" s="59"/>
      <c r="L481" s="59"/>
      <c r="M481" s="59"/>
      <c r="N481" s="59"/>
      <c r="O481" s="59"/>
      <c r="P481" s="59"/>
      <c r="Q481" s="59"/>
      <c r="R481" s="59"/>
      <c r="S481" s="59"/>
      <c r="T481" s="59"/>
      <c r="U481" s="59"/>
    </row>
    <row r="482" ht="35.25" customHeight="1">
      <c r="A482" s="59"/>
      <c r="B482" s="59"/>
      <c r="C482" s="59"/>
      <c r="D482" s="59"/>
      <c r="E482" s="178"/>
      <c r="F482" s="59"/>
      <c r="G482" s="59"/>
      <c r="H482" s="59"/>
      <c r="I482" s="178"/>
      <c r="J482" s="59"/>
      <c r="K482" s="59"/>
      <c r="L482" s="59"/>
      <c r="M482" s="59"/>
      <c r="N482" s="59"/>
      <c r="O482" s="59"/>
      <c r="P482" s="59"/>
      <c r="Q482" s="59"/>
      <c r="R482" s="59"/>
      <c r="S482" s="59"/>
      <c r="T482" s="59"/>
      <c r="U482" s="59"/>
    </row>
    <row r="483" ht="35.25" customHeight="1">
      <c r="A483" s="59"/>
      <c r="B483" s="59"/>
      <c r="C483" s="59"/>
      <c r="D483" s="59"/>
      <c r="E483" s="178"/>
      <c r="F483" s="59"/>
      <c r="G483" s="59"/>
      <c r="H483" s="59"/>
      <c r="I483" s="178"/>
      <c r="J483" s="59"/>
      <c r="K483" s="59"/>
      <c r="L483" s="59"/>
      <c r="M483" s="59"/>
      <c r="N483" s="59"/>
      <c r="O483" s="59"/>
      <c r="P483" s="59"/>
      <c r="Q483" s="59"/>
      <c r="R483" s="59"/>
      <c r="S483" s="59"/>
      <c r="T483" s="59"/>
      <c r="U483" s="59"/>
    </row>
    <row r="484" ht="35.25" customHeight="1">
      <c r="A484" s="59"/>
      <c r="B484" s="59"/>
      <c r="C484" s="59"/>
      <c r="D484" s="59"/>
      <c r="E484" s="178"/>
      <c r="F484" s="59"/>
      <c r="G484" s="59"/>
      <c r="H484" s="59"/>
      <c r="I484" s="178"/>
      <c r="J484" s="59"/>
      <c r="K484" s="59"/>
      <c r="L484" s="59"/>
      <c r="M484" s="59"/>
      <c r="N484" s="59"/>
      <c r="O484" s="59"/>
      <c r="P484" s="59"/>
      <c r="Q484" s="59"/>
      <c r="R484" s="59"/>
      <c r="S484" s="59"/>
      <c r="T484" s="59"/>
      <c r="U484" s="59"/>
    </row>
    <row r="485" ht="35.25" customHeight="1">
      <c r="A485" s="59"/>
      <c r="B485" s="59"/>
      <c r="C485" s="59"/>
      <c r="D485" s="59"/>
      <c r="E485" s="178"/>
      <c r="F485" s="59"/>
      <c r="G485" s="59"/>
      <c r="H485" s="59"/>
      <c r="I485" s="178"/>
      <c r="J485" s="59"/>
      <c r="K485" s="59"/>
      <c r="L485" s="59"/>
      <c r="M485" s="59"/>
      <c r="N485" s="59"/>
      <c r="O485" s="59"/>
      <c r="P485" s="59"/>
      <c r="Q485" s="59"/>
      <c r="R485" s="59"/>
      <c r="S485" s="59"/>
      <c r="T485" s="59"/>
      <c r="U485" s="59"/>
    </row>
    <row r="486" ht="35.25" customHeight="1">
      <c r="A486" s="59"/>
      <c r="B486" s="59"/>
      <c r="C486" s="59"/>
      <c r="D486" s="59"/>
      <c r="E486" s="178"/>
      <c r="F486" s="59"/>
      <c r="G486" s="59"/>
      <c r="H486" s="59"/>
      <c r="I486" s="178"/>
      <c r="J486" s="59"/>
      <c r="K486" s="59"/>
      <c r="L486" s="59"/>
      <c r="M486" s="59"/>
      <c r="N486" s="59"/>
      <c r="O486" s="59"/>
      <c r="P486" s="59"/>
      <c r="Q486" s="59"/>
      <c r="R486" s="59"/>
      <c r="S486" s="59"/>
      <c r="T486" s="59"/>
      <c r="U486" s="59"/>
    </row>
    <row r="487" ht="35.25" customHeight="1">
      <c r="A487" s="59"/>
      <c r="B487" s="59"/>
      <c r="C487" s="59"/>
      <c r="D487" s="59"/>
      <c r="E487" s="178"/>
      <c r="F487" s="59"/>
      <c r="G487" s="59"/>
      <c r="H487" s="59"/>
      <c r="I487" s="178"/>
      <c r="J487" s="59"/>
      <c r="K487" s="59"/>
      <c r="L487" s="59"/>
      <c r="M487" s="59"/>
      <c r="N487" s="59"/>
      <c r="O487" s="59"/>
      <c r="P487" s="59"/>
      <c r="Q487" s="59"/>
      <c r="R487" s="59"/>
      <c r="S487" s="59"/>
      <c r="T487" s="59"/>
      <c r="U487" s="59"/>
    </row>
    <row r="488" ht="35.25" customHeight="1">
      <c r="A488" s="59"/>
      <c r="B488" s="59"/>
      <c r="C488" s="59"/>
      <c r="D488" s="59"/>
      <c r="E488" s="178"/>
      <c r="F488" s="59"/>
      <c r="G488" s="59"/>
      <c r="H488" s="59"/>
      <c r="I488" s="178"/>
      <c r="J488" s="59"/>
      <c r="K488" s="59"/>
      <c r="L488" s="59"/>
      <c r="M488" s="59"/>
      <c r="N488" s="59"/>
      <c r="O488" s="59"/>
      <c r="P488" s="59"/>
      <c r="Q488" s="59"/>
      <c r="R488" s="59"/>
      <c r="S488" s="59"/>
      <c r="T488" s="59"/>
      <c r="U488" s="59"/>
    </row>
    <row r="489" ht="35.25" customHeight="1">
      <c r="A489" s="59"/>
      <c r="B489" s="59"/>
      <c r="C489" s="59"/>
      <c r="D489" s="59"/>
      <c r="E489" s="178"/>
      <c r="F489" s="59"/>
      <c r="G489" s="59"/>
      <c r="H489" s="59"/>
      <c r="I489" s="178"/>
      <c r="J489" s="59"/>
      <c r="K489" s="59"/>
      <c r="L489" s="59"/>
      <c r="M489" s="59"/>
      <c r="N489" s="59"/>
      <c r="O489" s="59"/>
      <c r="P489" s="59"/>
      <c r="Q489" s="59"/>
      <c r="R489" s="59"/>
      <c r="S489" s="59"/>
      <c r="T489" s="59"/>
      <c r="U489" s="59"/>
    </row>
    <row r="490" ht="35.25" customHeight="1">
      <c r="A490" s="59"/>
      <c r="B490" s="59"/>
      <c r="C490" s="59"/>
      <c r="D490" s="59"/>
      <c r="E490" s="178"/>
      <c r="F490" s="59"/>
      <c r="G490" s="59"/>
      <c r="H490" s="59"/>
      <c r="I490" s="178"/>
      <c r="J490" s="59"/>
      <c r="K490" s="59"/>
      <c r="L490" s="59"/>
      <c r="M490" s="59"/>
      <c r="N490" s="59"/>
      <c r="O490" s="59"/>
      <c r="P490" s="59"/>
      <c r="Q490" s="59"/>
      <c r="R490" s="59"/>
      <c r="S490" s="59"/>
      <c r="T490" s="59"/>
      <c r="U490" s="59"/>
    </row>
    <row r="491" ht="35.25" customHeight="1">
      <c r="A491" s="59"/>
      <c r="B491" s="59"/>
      <c r="C491" s="59"/>
      <c r="D491" s="59"/>
      <c r="E491" s="178"/>
      <c r="F491" s="59"/>
      <c r="G491" s="59"/>
      <c r="H491" s="59"/>
      <c r="I491" s="178"/>
      <c r="J491" s="59"/>
      <c r="K491" s="59"/>
      <c r="L491" s="59"/>
      <c r="M491" s="59"/>
      <c r="N491" s="59"/>
      <c r="O491" s="59"/>
      <c r="P491" s="59"/>
      <c r="Q491" s="59"/>
      <c r="R491" s="59"/>
      <c r="S491" s="59"/>
      <c r="T491" s="59"/>
      <c r="U491" s="59"/>
    </row>
    <row r="492" ht="35.25" customHeight="1">
      <c r="A492" s="59"/>
      <c r="B492" s="59"/>
      <c r="C492" s="59"/>
      <c r="D492" s="59"/>
      <c r="E492" s="178"/>
      <c r="F492" s="59"/>
      <c r="G492" s="59"/>
      <c r="H492" s="59"/>
      <c r="I492" s="178"/>
      <c r="J492" s="59"/>
      <c r="K492" s="59"/>
      <c r="L492" s="59"/>
      <c r="M492" s="59"/>
      <c r="N492" s="59"/>
      <c r="O492" s="59"/>
      <c r="P492" s="59"/>
      <c r="Q492" s="59"/>
      <c r="R492" s="59"/>
      <c r="S492" s="59"/>
      <c r="T492" s="59"/>
      <c r="U492" s="59"/>
    </row>
    <row r="493" ht="35.25" customHeight="1">
      <c r="A493" s="59"/>
      <c r="B493" s="59"/>
      <c r="C493" s="59"/>
      <c r="D493" s="59"/>
      <c r="E493" s="178"/>
      <c r="F493" s="59"/>
      <c r="G493" s="59"/>
      <c r="H493" s="59"/>
      <c r="I493" s="178"/>
      <c r="J493" s="59"/>
      <c r="K493" s="59"/>
      <c r="L493" s="59"/>
      <c r="M493" s="59"/>
      <c r="N493" s="59"/>
      <c r="O493" s="59"/>
      <c r="P493" s="59"/>
      <c r="Q493" s="59"/>
      <c r="R493" s="59"/>
      <c r="S493" s="59"/>
      <c r="T493" s="59"/>
      <c r="U493" s="59"/>
    </row>
    <row r="494" ht="35.25" customHeight="1">
      <c r="A494" s="59"/>
      <c r="B494" s="59"/>
      <c r="C494" s="59"/>
      <c r="D494" s="59"/>
      <c r="E494" s="178"/>
      <c r="F494" s="59"/>
      <c r="G494" s="59"/>
      <c r="H494" s="59"/>
      <c r="I494" s="178"/>
      <c r="J494" s="59"/>
      <c r="K494" s="59"/>
      <c r="L494" s="59"/>
      <c r="M494" s="59"/>
      <c r="N494" s="59"/>
      <c r="O494" s="59"/>
      <c r="P494" s="59"/>
      <c r="Q494" s="59"/>
      <c r="R494" s="59"/>
      <c r="S494" s="59"/>
      <c r="T494" s="59"/>
      <c r="U494" s="59"/>
    </row>
    <row r="495" ht="35.25" customHeight="1">
      <c r="A495" s="59"/>
      <c r="B495" s="59"/>
      <c r="C495" s="59"/>
      <c r="D495" s="59"/>
      <c r="E495" s="178"/>
      <c r="F495" s="59"/>
      <c r="G495" s="59"/>
      <c r="H495" s="59"/>
      <c r="I495" s="178"/>
      <c r="J495" s="59"/>
      <c r="K495" s="59"/>
      <c r="L495" s="59"/>
      <c r="M495" s="59"/>
      <c r="N495" s="59"/>
      <c r="O495" s="59"/>
      <c r="P495" s="59"/>
      <c r="Q495" s="59"/>
      <c r="R495" s="59"/>
      <c r="S495" s="59"/>
      <c r="T495" s="59"/>
      <c r="U495" s="59"/>
    </row>
    <row r="496" ht="35.25" customHeight="1">
      <c r="A496" s="59"/>
      <c r="B496" s="59"/>
      <c r="C496" s="59"/>
      <c r="D496" s="59"/>
      <c r="E496" s="178"/>
      <c r="F496" s="59"/>
      <c r="G496" s="59"/>
      <c r="H496" s="59"/>
      <c r="I496" s="178"/>
      <c r="J496" s="59"/>
      <c r="K496" s="59"/>
      <c r="L496" s="59"/>
      <c r="M496" s="59"/>
      <c r="N496" s="59"/>
      <c r="O496" s="59"/>
      <c r="P496" s="59"/>
      <c r="Q496" s="59"/>
      <c r="R496" s="59"/>
      <c r="S496" s="59"/>
      <c r="T496" s="59"/>
      <c r="U496" s="59"/>
    </row>
    <row r="497" ht="35.25" customHeight="1">
      <c r="A497" s="59"/>
      <c r="B497" s="59"/>
      <c r="C497" s="59"/>
      <c r="D497" s="59"/>
      <c r="E497" s="178"/>
      <c r="F497" s="59"/>
      <c r="G497" s="59"/>
      <c r="H497" s="59"/>
      <c r="I497" s="178"/>
      <c r="J497" s="59"/>
      <c r="K497" s="59"/>
      <c r="L497" s="59"/>
      <c r="M497" s="59"/>
      <c r="N497" s="59"/>
      <c r="O497" s="59"/>
      <c r="P497" s="59"/>
      <c r="Q497" s="59"/>
      <c r="R497" s="59"/>
      <c r="S497" s="59"/>
      <c r="T497" s="59"/>
      <c r="U497" s="59"/>
    </row>
    <row r="498" ht="35.25" customHeight="1">
      <c r="A498" s="59"/>
      <c r="B498" s="59"/>
      <c r="C498" s="59"/>
      <c r="D498" s="59"/>
      <c r="E498" s="178"/>
      <c r="F498" s="59"/>
      <c r="G498" s="59"/>
      <c r="H498" s="59"/>
      <c r="I498" s="178"/>
      <c r="J498" s="59"/>
      <c r="K498" s="59"/>
      <c r="L498" s="59"/>
      <c r="M498" s="59"/>
      <c r="N498" s="59"/>
      <c r="O498" s="59"/>
      <c r="P498" s="59"/>
      <c r="Q498" s="59"/>
      <c r="R498" s="59"/>
      <c r="S498" s="59"/>
      <c r="T498" s="59"/>
      <c r="U498" s="59"/>
    </row>
    <row r="499" ht="35.25" customHeight="1">
      <c r="A499" s="59"/>
      <c r="B499" s="59"/>
      <c r="C499" s="59"/>
      <c r="D499" s="59"/>
      <c r="E499" s="178"/>
      <c r="F499" s="59"/>
      <c r="G499" s="59"/>
      <c r="H499" s="59"/>
      <c r="I499" s="178"/>
      <c r="J499" s="59"/>
      <c r="K499" s="59"/>
      <c r="L499" s="59"/>
      <c r="M499" s="59"/>
      <c r="N499" s="59"/>
      <c r="O499" s="59"/>
      <c r="P499" s="59"/>
      <c r="Q499" s="59"/>
      <c r="R499" s="59"/>
      <c r="S499" s="59"/>
      <c r="T499" s="59"/>
      <c r="U499" s="59"/>
    </row>
    <row r="500" ht="35.25" customHeight="1">
      <c r="A500" s="59"/>
      <c r="B500" s="59"/>
      <c r="C500" s="59"/>
      <c r="D500" s="59"/>
      <c r="E500" s="178"/>
      <c r="F500" s="59"/>
      <c r="G500" s="59"/>
      <c r="H500" s="59"/>
      <c r="I500" s="178"/>
      <c r="J500" s="59"/>
      <c r="K500" s="59"/>
      <c r="L500" s="59"/>
      <c r="M500" s="59"/>
      <c r="N500" s="59"/>
      <c r="O500" s="59"/>
      <c r="P500" s="59"/>
      <c r="Q500" s="59"/>
      <c r="R500" s="59"/>
      <c r="S500" s="59"/>
      <c r="T500" s="59"/>
      <c r="U500" s="59"/>
    </row>
    <row r="501" ht="35.25" customHeight="1">
      <c r="A501" s="59"/>
      <c r="B501" s="59"/>
      <c r="C501" s="59"/>
      <c r="D501" s="59"/>
      <c r="E501" s="178"/>
      <c r="F501" s="59"/>
      <c r="G501" s="59"/>
      <c r="H501" s="59"/>
      <c r="I501" s="178"/>
      <c r="J501" s="59"/>
      <c r="K501" s="59"/>
      <c r="L501" s="59"/>
      <c r="M501" s="59"/>
      <c r="N501" s="59"/>
      <c r="O501" s="59"/>
      <c r="P501" s="59"/>
      <c r="Q501" s="59"/>
      <c r="R501" s="59"/>
      <c r="S501" s="59"/>
      <c r="T501" s="59"/>
      <c r="U501" s="59"/>
    </row>
    <row r="502" ht="35.25" customHeight="1">
      <c r="A502" s="59"/>
      <c r="B502" s="59"/>
      <c r="C502" s="59"/>
      <c r="D502" s="59"/>
      <c r="E502" s="178"/>
      <c r="F502" s="59"/>
      <c r="G502" s="59"/>
      <c r="H502" s="59"/>
      <c r="I502" s="178"/>
      <c r="J502" s="59"/>
      <c r="K502" s="59"/>
      <c r="L502" s="59"/>
      <c r="M502" s="59"/>
      <c r="N502" s="59"/>
      <c r="O502" s="59"/>
      <c r="P502" s="59"/>
      <c r="Q502" s="59"/>
      <c r="R502" s="59"/>
      <c r="S502" s="59"/>
      <c r="T502" s="59"/>
      <c r="U502" s="59"/>
    </row>
    <row r="503" ht="35.25" customHeight="1">
      <c r="A503" s="59"/>
      <c r="B503" s="59"/>
      <c r="C503" s="59"/>
      <c r="D503" s="59"/>
      <c r="E503" s="178"/>
      <c r="F503" s="59"/>
      <c r="G503" s="59"/>
      <c r="H503" s="59"/>
      <c r="I503" s="178"/>
      <c r="J503" s="59"/>
      <c r="K503" s="59"/>
      <c r="L503" s="59"/>
      <c r="M503" s="59"/>
      <c r="N503" s="59"/>
      <c r="O503" s="59"/>
      <c r="P503" s="59"/>
      <c r="Q503" s="59"/>
      <c r="R503" s="59"/>
      <c r="S503" s="59"/>
      <c r="T503" s="59"/>
      <c r="U503" s="59"/>
    </row>
    <row r="504" ht="35.25" customHeight="1">
      <c r="A504" s="59"/>
      <c r="B504" s="59"/>
      <c r="C504" s="59"/>
      <c r="D504" s="59"/>
      <c r="E504" s="178"/>
      <c r="F504" s="59"/>
      <c r="G504" s="59"/>
      <c r="H504" s="59"/>
      <c r="I504" s="178"/>
      <c r="J504" s="59"/>
      <c r="K504" s="59"/>
      <c r="L504" s="59"/>
      <c r="M504" s="59"/>
      <c r="N504" s="59"/>
      <c r="O504" s="59"/>
      <c r="P504" s="59"/>
      <c r="Q504" s="59"/>
      <c r="R504" s="59"/>
      <c r="S504" s="59"/>
      <c r="T504" s="59"/>
      <c r="U504" s="59"/>
    </row>
    <row r="505" ht="35.25" customHeight="1">
      <c r="A505" s="59"/>
      <c r="B505" s="59"/>
      <c r="C505" s="59"/>
      <c r="D505" s="59"/>
      <c r="E505" s="178"/>
      <c r="F505" s="59"/>
      <c r="G505" s="59"/>
      <c r="H505" s="59"/>
      <c r="I505" s="178"/>
      <c r="J505" s="59"/>
      <c r="K505" s="59"/>
      <c r="L505" s="59"/>
      <c r="M505" s="59"/>
      <c r="N505" s="59"/>
      <c r="O505" s="59"/>
      <c r="P505" s="59"/>
      <c r="Q505" s="59"/>
      <c r="R505" s="59"/>
      <c r="S505" s="59"/>
      <c r="T505" s="59"/>
      <c r="U505" s="59"/>
    </row>
    <row r="506" ht="35.25" customHeight="1">
      <c r="A506" s="59"/>
      <c r="B506" s="59"/>
      <c r="C506" s="59"/>
      <c r="D506" s="59"/>
      <c r="E506" s="178"/>
      <c r="F506" s="59"/>
      <c r="G506" s="59"/>
      <c r="H506" s="59"/>
      <c r="I506" s="178"/>
      <c r="J506" s="59"/>
      <c r="K506" s="59"/>
      <c r="L506" s="59"/>
      <c r="M506" s="59"/>
      <c r="N506" s="59"/>
      <c r="O506" s="59"/>
      <c r="P506" s="59"/>
      <c r="Q506" s="59"/>
      <c r="R506" s="59"/>
      <c r="S506" s="59"/>
      <c r="T506" s="59"/>
      <c r="U506" s="59"/>
    </row>
    <row r="507" ht="35.25" customHeight="1">
      <c r="A507" s="59"/>
      <c r="B507" s="59"/>
      <c r="C507" s="59"/>
      <c r="D507" s="59"/>
      <c r="E507" s="178"/>
      <c r="F507" s="59"/>
      <c r="G507" s="59"/>
      <c r="H507" s="59"/>
      <c r="I507" s="178"/>
      <c r="J507" s="59"/>
      <c r="K507" s="59"/>
      <c r="L507" s="59"/>
      <c r="M507" s="59"/>
      <c r="N507" s="59"/>
      <c r="O507" s="59"/>
      <c r="P507" s="59"/>
      <c r="Q507" s="59"/>
      <c r="R507" s="59"/>
      <c r="S507" s="59"/>
      <c r="T507" s="59"/>
      <c r="U507" s="59"/>
    </row>
    <row r="508" ht="35.25" customHeight="1">
      <c r="A508" s="59"/>
      <c r="B508" s="59"/>
      <c r="C508" s="59"/>
      <c r="D508" s="59"/>
      <c r="E508" s="178"/>
      <c r="F508" s="59"/>
      <c r="G508" s="59"/>
      <c r="H508" s="59"/>
      <c r="I508" s="178"/>
      <c r="J508" s="59"/>
      <c r="K508" s="59"/>
      <c r="L508" s="59"/>
      <c r="M508" s="59"/>
      <c r="N508" s="59"/>
      <c r="O508" s="59"/>
      <c r="P508" s="59"/>
      <c r="Q508" s="59"/>
      <c r="R508" s="59"/>
      <c r="S508" s="59"/>
      <c r="T508" s="59"/>
      <c r="U508" s="59"/>
    </row>
    <row r="509" ht="35.25" customHeight="1">
      <c r="A509" s="59"/>
      <c r="B509" s="59"/>
      <c r="C509" s="59"/>
      <c r="D509" s="59"/>
      <c r="E509" s="178"/>
      <c r="F509" s="59"/>
      <c r="G509" s="59"/>
      <c r="H509" s="59"/>
      <c r="I509" s="178"/>
      <c r="J509" s="59"/>
      <c r="K509" s="59"/>
      <c r="L509" s="59"/>
      <c r="M509" s="59"/>
      <c r="N509" s="59"/>
      <c r="O509" s="59"/>
      <c r="P509" s="59"/>
      <c r="Q509" s="59"/>
      <c r="R509" s="59"/>
      <c r="S509" s="59"/>
      <c r="T509" s="59"/>
      <c r="U509" s="59"/>
    </row>
    <row r="510" ht="35.25" customHeight="1">
      <c r="A510" s="59"/>
      <c r="B510" s="59"/>
      <c r="C510" s="59"/>
      <c r="D510" s="59"/>
      <c r="E510" s="178"/>
      <c r="F510" s="59"/>
      <c r="G510" s="59"/>
      <c r="H510" s="59"/>
      <c r="I510" s="178"/>
      <c r="J510" s="59"/>
      <c r="K510" s="59"/>
      <c r="L510" s="59"/>
      <c r="M510" s="59"/>
      <c r="N510" s="59"/>
      <c r="O510" s="59"/>
      <c r="P510" s="59"/>
      <c r="Q510" s="59"/>
      <c r="R510" s="59"/>
      <c r="S510" s="59"/>
      <c r="T510" s="59"/>
      <c r="U510" s="59"/>
    </row>
    <row r="511" ht="35.25" customHeight="1">
      <c r="A511" s="59"/>
      <c r="B511" s="59"/>
      <c r="C511" s="59"/>
      <c r="D511" s="59"/>
      <c r="E511" s="178"/>
      <c r="F511" s="59"/>
      <c r="G511" s="59"/>
      <c r="H511" s="59"/>
      <c r="I511" s="178"/>
      <c r="J511" s="59"/>
      <c r="K511" s="59"/>
      <c r="L511" s="59"/>
      <c r="M511" s="59"/>
      <c r="N511" s="59"/>
      <c r="O511" s="59"/>
      <c r="P511" s="59"/>
      <c r="Q511" s="59"/>
      <c r="R511" s="59"/>
      <c r="S511" s="59"/>
      <c r="T511" s="59"/>
      <c r="U511" s="59"/>
    </row>
    <row r="512" ht="35.25" customHeight="1">
      <c r="A512" s="59"/>
      <c r="B512" s="59"/>
      <c r="C512" s="59"/>
      <c r="D512" s="59"/>
      <c r="E512" s="178"/>
      <c r="F512" s="59"/>
      <c r="G512" s="59"/>
      <c r="H512" s="59"/>
      <c r="I512" s="178"/>
      <c r="J512" s="59"/>
      <c r="K512" s="59"/>
      <c r="L512" s="59"/>
      <c r="M512" s="59"/>
      <c r="N512" s="59"/>
      <c r="O512" s="59"/>
      <c r="P512" s="59"/>
      <c r="Q512" s="59"/>
      <c r="R512" s="59"/>
      <c r="S512" s="59"/>
      <c r="T512" s="59"/>
      <c r="U512" s="59"/>
    </row>
    <row r="513" ht="35.25" customHeight="1">
      <c r="A513" s="59"/>
      <c r="B513" s="59"/>
      <c r="C513" s="59"/>
      <c r="D513" s="59"/>
      <c r="E513" s="178"/>
      <c r="F513" s="59"/>
      <c r="G513" s="59"/>
      <c r="H513" s="59"/>
      <c r="I513" s="178"/>
      <c r="J513" s="59"/>
      <c r="K513" s="59"/>
      <c r="L513" s="59"/>
      <c r="M513" s="59"/>
      <c r="N513" s="59"/>
      <c r="O513" s="59"/>
      <c r="P513" s="59"/>
      <c r="Q513" s="59"/>
      <c r="R513" s="59"/>
      <c r="S513" s="59"/>
      <c r="T513" s="59"/>
      <c r="U513" s="59"/>
    </row>
    <row r="514" ht="35.25" customHeight="1">
      <c r="A514" s="59"/>
      <c r="B514" s="59"/>
      <c r="C514" s="59"/>
      <c r="D514" s="59"/>
      <c r="E514" s="178"/>
      <c r="F514" s="59"/>
      <c r="G514" s="59"/>
      <c r="H514" s="59"/>
      <c r="I514" s="178"/>
      <c r="J514" s="59"/>
      <c r="K514" s="59"/>
      <c r="L514" s="59"/>
      <c r="M514" s="59"/>
      <c r="N514" s="59"/>
      <c r="O514" s="59"/>
      <c r="P514" s="59"/>
      <c r="Q514" s="59"/>
      <c r="R514" s="59"/>
      <c r="S514" s="59"/>
      <c r="T514" s="59"/>
      <c r="U514" s="59"/>
    </row>
    <row r="515" ht="35.25" customHeight="1">
      <c r="A515" s="59"/>
      <c r="B515" s="59"/>
      <c r="C515" s="59"/>
      <c r="D515" s="59"/>
      <c r="E515" s="178"/>
      <c r="F515" s="59"/>
      <c r="G515" s="59"/>
      <c r="H515" s="59"/>
      <c r="I515" s="178"/>
      <c r="J515" s="59"/>
      <c r="K515" s="59"/>
      <c r="L515" s="59"/>
      <c r="M515" s="59"/>
      <c r="N515" s="59"/>
      <c r="O515" s="59"/>
      <c r="P515" s="59"/>
      <c r="Q515" s="59"/>
      <c r="R515" s="59"/>
      <c r="S515" s="59"/>
      <c r="T515" s="59"/>
      <c r="U515" s="59"/>
    </row>
    <row r="516" ht="35.25" customHeight="1">
      <c r="A516" s="59"/>
      <c r="B516" s="59"/>
      <c r="C516" s="59"/>
      <c r="D516" s="59"/>
      <c r="E516" s="178"/>
      <c r="F516" s="59"/>
      <c r="G516" s="59"/>
      <c r="H516" s="59"/>
      <c r="I516" s="178"/>
      <c r="J516" s="59"/>
      <c r="K516" s="59"/>
      <c r="L516" s="59"/>
      <c r="M516" s="59"/>
      <c r="N516" s="59"/>
      <c r="O516" s="59"/>
      <c r="P516" s="59"/>
      <c r="Q516" s="59"/>
      <c r="R516" s="59"/>
      <c r="S516" s="59"/>
      <c r="T516" s="59"/>
      <c r="U516" s="59"/>
    </row>
    <row r="517" ht="35.25" customHeight="1">
      <c r="A517" s="59"/>
      <c r="B517" s="59"/>
      <c r="C517" s="59"/>
      <c r="D517" s="59"/>
      <c r="E517" s="178"/>
      <c r="F517" s="59"/>
      <c r="G517" s="59"/>
      <c r="H517" s="59"/>
      <c r="I517" s="178"/>
      <c r="J517" s="59"/>
      <c r="K517" s="59"/>
      <c r="L517" s="59"/>
      <c r="M517" s="59"/>
      <c r="N517" s="59"/>
      <c r="O517" s="59"/>
      <c r="P517" s="59"/>
      <c r="Q517" s="59"/>
      <c r="R517" s="59"/>
      <c r="S517" s="59"/>
      <c r="T517" s="59"/>
      <c r="U517" s="59"/>
    </row>
    <row r="518" ht="35.25" customHeight="1">
      <c r="A518" s="59"/>
      <c r="B518" s="59"/>
      <c r="C518" s="59"/>
      <c r="D518" s="59"/>
      <c r="E518" s="178"/>
      <c r="F518" s="59"/>
      <c r="G518" s="59"/>
      <c r="H518" s="59"/>
      <c r="I518" s="178"/>
      <c r="J518" s="59"/>
      <c r="K518" s="59"/>
      <c r="L518" s="59"/>
      <c r="M518" s="59"/>
      <c r="N518" s="59"/>
      <c r="O518" s="59"/>
      <c r="P518" s="59"/>
      <c r="Q518" s="59"/>
      <c r="R518" s="59"/>
      <c r="S518" s="59"/>
      <c r="T518" s="59"/>
      <c r="U518" s="59"/>
    </row>
    <row r="519" ht="35.25" customHeight="1">
      <c r="A519" s="59"/>
      <c r="B519" s="59"/>
      <c r="C519" s="59"/>
      <c r="D519" s="59"/>
      <c r="E519" s="178"/>
      <c r="F519" s="59"/>
      <c r="G519" s="59"/>
      <c r="H519" s="59"/>
      <c r="I519" s="178"/>
      <c r="J519" s="59"/>
      <c r="K519" s="59"/>
      <c r="L519" s="59"/>
      <c r="M519" s="59"/>
      <c r="N519" s="59"/>
      <c r="O519" s="59"/>
      <c r="P519" s="59"/>
      <c r="Q519" s="59"/>
      <c r="R519" s="59"/>
      <c r="S519" s="59"/>
      <c r="T519" s="59"/>
      <c r="U519" s="59"/>
    </row>
    <row r="520" ht="35.25" customHeight="1">
      <c r="A520" s="59"/>
      <c r="B520" s="59"/>
      <c r="C520" s="59"/>
      <c r="D520" s="59"/>
      <c r="E520" s="178"/>
      <c r="F520" s="59"/>
      <c r="G520" s="59"/>
      <c r="H520" s="59"/>
      <c r="I520" s="178"/>
      <c r="J520" s="59"/>
      <c r="K520" s="59"/>
      <c r="L520" s="59"/>
      <c r="M520" s="59"/>
      <c r="N520" s="59"/>
      <c r="O520" s="59"/>
      <c r="P520" s="59"/>
      <c r="Q520" s="59"/>
      <c r="R520" s="59"/>
      <c r="S520" s="59"/>
      <c r="T520" s="59"/>
      <c r="U520" s="59"/>
    </row>
    <row r="521" ht="35.25" customHeight="1">
      <c r="A521" s="59"/>
      <c r="B521" s="59"/>
      <c r="C521" s="59"/>
      <c r="D521" s="59"/>
      <c r="E521" s="178"/>
      <c r="F521" s="59"/>
      <c r="G521" s="59"/>
      <c r="H521" s="59"/>
      <c r="I521" s="178"/>
      <c r="J521" s="59"/>
      <c r="K521" s="59"/>
      <c r="L521" s="59"/>
      <c r="M521" s="59"/>
      <c r="N521" s="59"/>
      <c r="O521" s="59"/>
      <c r="P521" s="59"/>
      <c r="Q521" s="59"/>
      <c r="R521" s="59"/>
      <c r="S521" s="59"/>
      <c r="T521" s="59"/>
      <c r="U521" s="59"/>
    </row>
    <row r="522" ht="35.25" customHeight="1">
      <c r="A522" s="59"/>
      <c r="B522" s="59"/>
      <c r="C522" s="59"/>
      <c r="D522" s="59"/>
      <c r="E522" s="178"/>
      <c r="F522" s="59"/>
      <c r="G522" s="59"/>
      <c r="H522" s="59"/>
      <c r="I522" s="178"/>
      <c r="J522" s="59"/>
      <c r="K522" s="59"/>
      <c r="L522" s="59"/>
      <c r="M522" s="59"/>
      <c r="N522" s="59"/>
      <c r="O522" s="59"/>
      <c r="P522" s="59"/>
      <c r="Q522" s="59"/>
      <c r="R522" s="59"/>
      <c r="S522" s="59"/>
      <c r="T522" s="59"/>
      <c r="U522" s="59"/>
    </row>
    <row r="523" ht="35.25" customHeight="1">
      <c r="A523" s="59"/>
      <c r="B523" s="59"/>
      <c r="C523" s="59"/>
      <c r="D523" s="59"/>
      <c r="E523" s="178"/>
      <c r="F523" s="59"/>
      <c r="G523" s="59"/>
      <c r="H523" s="59"/>
      <c r="I523" s="178"/>
      <c r="J523" s="59"/>
      <c r="K523" s="59"/>
      <c r="L523" s="59"/>
      <c r="M523" s="59"/>
      <c r="N523" s="59"/>
      <c r="O523" s="59"/>
      <c r="P523" s="59"/>
      <c r="Q523" s="59"/>
      <c r="R523" s="59"/>
      <c r="S523" s="59"/>
      <c r="T523" s="59"/>
      <c r="U523" s="59"/>
    </row>
    <row r="524" ht="35.25" customHeight="1">
      <c r="A524" s="59"/>
      <c r="B524" s="59"/>
      <c r="C524" s="59"/>
      <c r="D524" s="59"/>
      <c r="E524" s="178"/>
      <c r="F524" s="59"/>
      <c r="G524" s="59"/>
      <c r="H524" s="59"/>
      <c r="I524" s="178"/>
      <c r="J524" s="59"/>
      <c r="K524" s="59"/>
      <c r="L524" s="59"/>
      <c r="M524" s="59"/>
      <c r="N524" s="59"/>
      <c r="O524" s="59"/>
      <c r="P524" s="59"/>
      <c r="Q524" s="59"/>
      <c r="R524" s="59"/>
      <c r="S524" s="59"/>
      <c r="T524" s="59"/>
      <c r="U524" s="59"/>
    </row>
    <row r="525" ht="35.25" customHeight="1">
      <c r="A525" s="59"/>
      <c r="B525" s="59"/>
      <c r="C525" s="59"/>
      <c r="D525" s="59"/>
      <c r="E525" s="178"/>
      <c r="F525" s="59"/>
      <c r="G525" s="59"/>
      <c r="H525" s="59"/>
      <c r="I525" s="178"/>
      <c r="J525" s="59"/>
      <c r="K525" s="59"/>
      <c r="L525" s="59"/>
      <c r="M525" s="59"/>
      <c r="N525" s="59"/>
      <c r="O525" s="59"/>
      <c r="P525" s="59"/>
      <c r="Q525" s="59"/>
      <c r="R525" s="59"/>
      <c r="S525" s="59"/>
      <c r="T525" s="59"/>
      <c r="U525" s="59"/>
    </row>
    <row r="526" ht="35.25" customHeight="1">
      <c r="A526" s="59"/>
      <c r="B526" s="59"/>
      <c r="C526" s="59"/>
      <c r="D526" s="59"/>
      <c r="E526" s="178"/>
      <c r="F526" s="59"/>
      <c r="G526" s="59"/>
      <c r="H526" s="59"/>
      <c r="I526" s="178"/>
      <c r="J526" s="59"/>
      <c r="K526" s="59"/>
      <c r="L526" s="59"/>
      <c r="M526" s="59"/>
      <c r="N526" s="59"/>
      <c r="O526" s="59"/>
      <c r="P526" s="59"/>
      <c r="Q526" s="59"/>
      <c r="R526" s="59"/>
      <c r="S526" s="59"/>
      <c r="T526" s="59"/>
      <c r="U526" s="59"/>
    </row>
    <row r="527" ht="35.25" customHeight="1">
      <c r="A527" s="59"/>
      <c r="B527" s="59"/>
      <c r="C527" s="59"/>
      <c r="D527" s="59"/>
      <c r="E527" s="178"/>
      <c r="F527" s="59"/>
      <c r="G527" s="59"/>
      <c r="H527" s="59"/>
      <c r="I527" s="178"/>
      <c r="J527" s="59"/>
      <c r="K527" s="59"/>
      <c r="L527" s="59"/>
      <c r="M527" s="59"/>
      <c r="N527" s="59"/>
      <c r="O527" s="59"/>
      <c r="P527" s="59"/>
      <c r="Q527" s="59"/>
      <c r="R527" s="59"/>
      <c r="S527" s="59"/>
      <c r="T527" s="59"/>
      <c r="U527" s="59"/>
    </row>
    <row r="528" ht="35.25" customHeight="1">
      <c r="A528" s="59"/>
      <c r="B528" s="59"/>
      <c r="C528" s="59"/>
      <c r="D528" s="59"/>
      <c r="E528" s="178"/>
      <c r="F528" s="59"/>
      <c r="G528" s="59"/>
      <c r="H528" s="59"/>
      <c r="I528" s="178"/>
      <c r="J528" s="59"/>
      <c r="K528" s="59"/>
      <c r="L528" s="59"/>
      <c r="M528" s="59"/>
      <c r="N528" s="59"/>
      <c r="O528" s="59"/>
      <c r="P528" s="59"/>
      <c r="Q528" s="59"/>
      <c r="R528" s="59"/>
      <c r="S528" s="59"/>
      <c r="T528" s="59"/>
      <c r="U528" s="59"/>
    </row>
    <row r="529" ht="35.25" customHeight="1">
      <c r="A529" s="59"/>
      <c r="B529" s="59"/>
      <c r="C529" s="59"/>
      <c r="D529" s="59"/>
      <c r="E529" s="178"/>
      <c r="F529" s="59"/>
      <c r="G529" s="59"/>
      <c r="H529" s="59"/>
      <c r="I529" s="178"/>
      <c r="J529" s="59"/>
      <c r="K529" s="59"/>
      <c r="L529" s="59"/>
      <c r="M529" s="59"/>
      <c r="N529" s="59"/>
      <c r="O529" s="59"/>
      <c r="P529" s="59"/>
      <c r="Q529" s="59"/>
      <c r="R529" s="59"/>
      <c r="S529" s="59"/>
      <c r="T529" s="59"/>
      <c r="U529" s="59"/>
    </row>
    <row r="530" ht="35.25" customHeight="1">
      <c r="A530" s="59"/>
      <c r="B530" s="59"/>
      <c r="C530" s="59"/>
      <c r="D530" s="59"/>
      <c r="E530" s="178"/>
      <c r="F530" s="59"/>
      <c r="G530" s="59"/>
      <c r="H530" s="59"/>
      <c r="I530" s="178"/>
      <c r="J530" s="59"/>
      <c r="K530" s="59"/>
      <c r="L530" s="59"/>
      <c r="M530" s="59"/>
      <c r="N530" s="59"/>
      <c r="O530" s="59"/>
      <c r="P530" s="59"/>
      <c r="Q530" s="59"/>
      <c r="R530" s="59"/>
      <c r="S530" s="59"/>
      <c r="T530" s="59"/>
      <c r="U530" s="59"/>
    </row>
    <row r="531" ht="35.25" customHeight="1">
      <c r="A531" s="59"/>
      <c r="B531" s="59"/>
      <c r="C531" s="59"/>
      <c r="D531" s="59"/>
      <c r="E531" s="178"/>
      <c r="F531" s="59"/>
      <c r="G531" s="59"/>
      <c r="H531" s="59"/>
      <c r="I531" s="178"/>
      <c r="J531" s="59"/>
      <c r="K531" s="59"/>
      <c r="L531" s="59"/>
      <c r="M531" s="59"/>
      <c r="N531" s="59"/>
      <c r="O531" s="59"/>
      <c r="P531" s="59"/>
      <c r="Q531" s="59"/>
      <c r="R531" s="59"/>
      <c r="S531" s="59"/>
      <c r="T531" s="59"/>
      <c r="U531" s="59"/>
    </row>
    <row r="532" ht="35.25" customHeight="1">
      <c r="A532" s="59"/>
      <c r="B532" s="59"/>
      <c r="C532" s="59"/>
      <c r="D532" s="59"/>
      <c r="E532" s="178"/>
      <c r="F532" s="59"/>
      <c r="G532" s="59"/>
      <c r="H532" s="59"/>
      <c r="I532" s="178"/>
      <c r="J532" s="59"/>
      <c r="K532" s="59"/>
      <c r="L532" s="59"/>
      <c r="M532" s="59"/>
      <c r="N532" s="59"/>
      <c r="O532" s="59"/>
      <c r="P532" s="59"/>
      <c r="Q532" s="59"/>
      <c r="R532" s="59"/>
      <c r="S532" s="59"/>
      <c r="T532" s="59"/>
      <c r="U532" s="59"/>
    </row>
    <row r="533" ht="35.25" customHeight="1">
      <c r="A533" s="59"/>
      <c r="B533" s="59"/>
      <c r="C533" s="59"/>
      <c r="D533" s="59"/>
      <c r="E533" s="178"/>
      <c r="F533" s="59"/>
      <c r="G533" s="59"/>
      <c r="H533" s="59"/>
      <c r="I533" s="178"/>
      <c r="J533" s="59"/>
      <c r="K533" s="59"/>
      <c r="L533" s="59"/>
      <c r="M533" s="59"/>
      <c r="N533" s="59"/>
      <c r="O533" s="59"/>
      <c r="P533" s="59"/>
      <c r="Q533" s="59"/>
      <c r="R533" s="59"/>
      <c r="S533" s="59"/>
      <c r="T533" s="59"/>
      <c r="U533" s="59"/>
    </row>
    <row r="534" ht="35.25" customHeight="1">
      <c r="A534" s="59"/>
      <c r="B534" s="59"/>
      <c r="C534" s="59"/>
      <c r="D534" s="59"/>
      <c r="E534" s="178"/>
      <c r="F534" s="59"/>
      <c r="G534" s="59"/>
      <c r="H534" s="59"/>
      <c r="I534" s="178"/>
      <c r="J534" s="59"/>
      <c r="K534" s="59"/>
      <c r="L534" s="59"/>
      <c r="M534" s="59"/>
      <c r="N534" s="59"/>
      <c r="O534" s="59"/>
      <c r="P534" s="59"/>
      <c r="Q534" s="59"/>
      <c r="R534" s="59"/>
      <c r="S534" s="59"/>
      <c r="T534" s="59"/>
      <c r="U534" s="59"/>
    </row>
    <row r="535" ht="35.25" customHeight="1">
      <c r="A535" s="59"/>
      <c r="B535" s="59"/>
      <c r="C535" s="59"/>
      <c r="D535" s="59"/>
      <c r="E535" s="178"/>
      <c r="F535" s="59"/>
      <c r="G535" s="59"/>
      <c r="H535" s="59"/>
      <c r="I535" s="178"/>
      <c r="J535" s="59"/>
      <c r="K535" s="59"/>
      <c r="L535" s="59"/>
      <c r="M535" s="59"/>
      <c r="N535" s="59"/>
      <c r="O535" s="59"/>
      <c r="P535" s="59"/>
      <c r="Q535" s="59"/>
      <c r="R535" s="59"/>
      <c r="S535" s="59"/>
      <c r="T535" s="59"/>
      <c r="U535" s="59"/>
    </row>
    <row r="536" ht="35.25" customHeight="1">
      <c r="A536" s="59"/>
      <c r="B536" s="59"/>
      <c r="C536" s="59"/>
      <c r="D536" s="59"/>
      <c r="E536" s="178"/>
      <c r="F536" s="59"/>
      <c r="G536" s="59"/>
      <c r="H536" s="59"/>
      <c r="I536" s="178"/>
      <c r="J536" s="59"/>
      <c r="K536" s="59"/>
      <c r="L536" s="59"/>
      <c r="M536" s="59"/>
      <c r="N536" s="59"/>
      <c r="O536" s="59"/>
      <c r="P536" s="59"/>
      <c r="Q536" s="59"/>
      <c r="R536" s="59"/>
      <c r="S536" s="59"/>
      <c r="T536" s="59"/>
      <c r="U536" s="59"/>
    </row>
    <row r="537" ht="35.25" customHeight="1">
      <c r="A537" s="59"/>
      <c r="B537" s="59"/>
      <c r="C537" s="59"/>
      <c r="D537" s="59"/>
      <c r="E537" s="178"/>
      <c r="F537" s="59"/>
      <c r="G537" s="59"/>
      <c r="H537" s="59"/>
      <c r="I537" s="178"/>
      <c r="J537" s="59"/>
      <c r="K537" s="59"/>
      <c r="L537" s="59"/>
      <c r="M537" s="59"/>
      <c r="N537" s="59"/>
      <c r="O537" s="59"/>
      <c r="P537" s="59"/>
      <c r="Q537" s="59"/>
      <c r="R537" s="59"/>
      <c r="S537" s="59"/>
      <c r="T537" s="59"/>
      <c r="U537" s="59"/>
    </row>
    <row r="538" ht="35.25" customHeight="1">
      <c r="A538" s="59"/>
      <c r="B538" s="59"/>
      <c r="C538" s="59"/>
      <c r="D538" s="59"/>
      <c r="E538" s="178"/>
      <c r="F538" s="59"/>
      <c r="G538" s="59"/>
      <c r="H538" s="59"/>
      <c r="I538" s="178"/>
      <c r="J538" s="59"/>
      <c r="K538" s="59"/>
      <c r="L538" s="59"/>
      <c r="M538" s="59"/>
      <c r="N538" s="59"/>
      <c r="O538" s="59"/>
      <c r="P538" s="59"/>
      <c r="Q538" s="59"/>
      <c r="R538" s="59"/>
      <c r="S538" s="59"/>
      <c r="T538" s="59"/>
      <c r="U538" s="59"/>
    </row>
    <row r="539" ht="35.25" customHeight="1">
      <c r="A539" s="59"/>
      <c r="B539" s="59"/>
      <c r="C539" s="59"/>
      <c r="D539" s="59"/>
      <c r="E539" s="178"/>
      <c r="F539" s="59"/>
      <c r="G539" s="59"/>
      <c r="H539" s="59"/>
      <c r="I539" s="178"/>
      <c r="J539" s="59"/>
      <c r="K539" s="59"/>
      <c r="L539" s="59"/>
      <c r="M539" s="59"/>
      <c r="N539" s="59"/>
      <c r="O539" s="59"/>
      <c r="P539" s="59"/>
      <c r="Q539" s="59"/>
      <c r="R539" s="59"/>
      <c r="S539" s="59"/>
      <c r="T539" s="59"/>
      <c r="U539" s="59"/>
    </row>
    <row r="540" ht="35.25" customHeight="1">
      <c r="A540" s="59"/>
      <c r="B540" s="59"/>
      <c r="C540" s="59"/>
      <c r="D540" s="59"/>
      <c r="E540" s="178"/>
      <c r="F540" s="59"/>
      <c r="G540" s="59"/>
      <c r="H540" s="59"/>
      <c r="I540" s="178"/>
      <c r="J540" s="59"/>
      <c r="K540" s="59"/>
      <c r="L540" s="59"/>
      <c r="M540" s="59"/>
      <c r="N540" s="59"/>
      <c r="O540" s="59"/>
      <c r="P540" s="59"/>
      <c r="Q540" s="59"/>
      <c r="R540" s="59"/>
      <c r="S540" s="59"/>
      <c r="T540" s="59"/>
      <c r="U540" s="59"/>
    </row>
    <row r="541" ht="35.25" customHeight="1">
      <c r="A541" s="59"/>
      <c r="B541" s="59"/>
      <c r="C541" s="59"/>
      <c r="D541" s="59"/>
      <c r="E541" s="178"/>
      <c r="F541" s="59"/>
      <c r="G541" s="59"/>
      <c r="H541" s="59"/>
      <c r="I541" s="178"/>
      <c r="J541" s="59"/>
      <c r="K541" s="59"/>
      <c r="L541" s="59"/>
      <c r="M541" s="59"/>
      <c r="N541" s="59"/>
      <c r="O541" s="59"/>
      <c r="P541" s="59"/>
      <c r="Q541" s="59"/>
      <c r="R541" s="59"/>
      <c r="S541" s="59"/>
      <c r="T541" s="59"/>
      <c r="U541" s="59"/>
    </row>
    <row r="542" ht="35.25" customHeight="1">
      <c r="A542" s="59"/>
      <c r="B542" s="59"/>
      <c r="C542" s="59"/>
      <c r="D542" s="59"/>
      <c r="E542" s="178"/>
      <c r="F542" s="59"/>
      <c r="G542" s="59"/>
      <c r="H542" s="59"/>
      <c r="I542" s="178"/>
      <c r="J542" s="59"/>
      <c r="K542" s="59"/>
      <c r="L542" s="59"/>
      <c r="M542" s="59"/>
      <c r="N542" s="59"/>
      <c r="O542" s="59"/>
      <c r="P542" s="59"/>
      <c r="Q542" s="59"/>
      <c r="R542" s="59"/>
      <c r="S542" s="59"/>
      <c r="T542" s="59"/>
      <c r="U542" s="59"/>
    </row>
    <row r="543" ht="35.25" customHeight="1">
      <c r="A543" s="59"/>
      <c r="B543" s="59"/>
      <c r="C543" s="59"/>
      <c r="D543" s="59"/>
      <c r="E543" s="178"/>
      <c r="F543" s="59"/>
      <c r="G543" s="59"/>
      <c r="H543" s="59"/>
      <c r="I543" s="178"/>
      <c r="J543" s="59"/>
      <c r="K543" s="59"/>
      <c r="L543" s="59"/>
      <c r="M543" s="59"/>
      <c r="N543" s="59"/>
      <c r="O543" s="59"/>
      <c r="P543" s="59"/>
      <c r="Q543" s="59"/>
      <c r="R543" s="59"/>
      <c r="S543" s="59"/>
      <c r="T543" s="59"/>
      <c r="U543" s="59"/>
    </row>
    <row r="544" ht="35.25" customHeight="1">
      <c r="A544" s="59"/>
      <c r="B544" s="59"/>
      <c r="C544" s="59"/>
      <c r="D544" s="59"/>
      <c r="E544" s="178"/>
      <c r="F544" s="59"/>
      <c r="G544" s="59"/>
      <c r="H544" s="59"/>
      <c r="I544" s="178"/>
      <c r="J544" s="59"/>
      <c r="K544" s="59"/>
      <c r="L544" s="59"/>
      <c r="M544" s="59"/>
      <c r="N544" s="59"/>
      <c r="O544" s="59"/>
      <c r="P544" s="59"/>
      <c r="Q544" s="59"/>
      <c r="R544" s="59"/>
      <c r="S544" s="59"/>
      <c r="T544" s="59"/>
      <c r="U544" s="59"/>
    </row>
    <row r="545" ht="35.25" customHeight="1">
      <c r="A545" s="59"/>
      <c r="B545" s="59"/>
      <c r="C545" s="59"/>
      <c r="D545" s="59"/>
      <c r="E545" s="178"/>
      <c r="F545" s="59"/>
      <c r="G545" s="59"/>
      <c r="H545" s="59"/>
      <c r="I545" s="178"/>
      <c r="J545" s="59"/>
      <c r="K545" s="59"/>
      <c r="L545" s="59"/>
      <c r="M545" s="59"/>
      <c r="N545" s="59"/>
      <c r="O545" s="59"/>
      <c r="P545" s="59"/>
      <c r="Q545" s="59"/>
      <c r="R545" s="59"/>
      <c r="S545" s="59"/>
      <c r="T545" s="59"/>
      <c r="U545" s="59"/>
    </row>
    <row r="546" ht="35.25" customHeight="1">
      <c r="A546" s="59"/>
      <c r="B546" s="59"/>
      <c r="C546" s="59"/>
      <c r="D546" s="59"/>
      <c r="E546" s="178"/>
      <c r="F546" s="59"/>
      <c r="G546" s="59"/>
      <c r="H546" s="59"/>
      <c r="I546" s="178"/>
      <c r="J546" s="59"/>
      <c r="K546" s="59"/>
      <c r="L546" s="59"/>
      <c r="M546" s="59"/>
      <c r="N546" s="59"/>
      <c r="O546" s="59"/>
      <c r="P546" s="59"/>
      <c r="Q546" s="59"/>
      <c r="R546" s="59"/>
      <c r="S546" s="59"/>
      <c r="T546" s="59"/>
      <c r="U546" s="59"/>
    </row>
    <row r="547" ht="35.25" customHeight="1">
      <c r="A547" s="59"/>
      <c r="B547" s="59"/>
      <c r="C547" s="59"/>
      <c r="D547" s="59"/>
      <c r="E547" s="178"/>
      <c r="F547" s="59"/>
      <c r="G547" s="59"/>
      <c r="H547" s="59"/>
      <c r="I547" s="178"/>
      <c r="J547" s="59"/>
      <c r="K547" s="59"/>
      <c r="L547" s="59"/>
      <c r="M547" s="59"/>
      <c r="N547" s="59"/>
      <c r="O547" s="59"/>
      <c r="P547" s="59"/>
      <c r="Q547" s="59"/>
      <c r="R547" s="59"/>
      <c r="S547" s="59"/>
      <c r="T547" s="59"/>
      <c r="U547" s="59"/>
    </row>
    <row r="548" ht="35.25" customHeight="1">
      <c r="A548" s="59"/>
      <c r="B548" s="59"/>
      <c r="C548" s="59"/>
      <c r="D548" s="59"/>
      <c r="E548" s="178"/>
      <c r="F548" s="59"/>
      <c r="G548" s="59"/>
      <c r="H548" s="59"/>
      <c r="I548" s="178"/>
      <c r="J548" s="59"/>
      <c r="K548" s="59"/>
      <c r="L548" s="59"/>
      <c r="M548" s="59"/>
      <c r="N548" s="59"/>
      <c r="O548" s="59"/>
      <c r="P548" s="59"/>
      <c r="Q548" s="59"/>
      <c r="R548" s="59"/>
      <c r="S548" s="59"/>
      <c r="T548" s="59"/>
      <c r="U548" s="59"/>
    </row>
    <row r="549" ht="35.25" customHeight="1">
      <c r="A549" s="59"/>
      <c r="B549" s="59"/>
      <c r="C549" s="59"/>
      <c r="D549" s="59"/>
      <c r="E549" s="178"/>
      <c r="F549" s="59"/>
      <c r="G549" s="59"/>
      <c r="H549" s="59"/>
      <c r="I549" s="178"/>
      <c r="J549" s="59"/>
      <c r="K549" s="59"/>
      <c r="L549" s="59"/>
      <c r="M549" s="59"/>
      <c r="N549" s="59"/>
      <c r="O549" s="59"/>
      <c r="P549" s="59"/>
      <c r="Q549" s="59"/>
      <c r="R549" s="59"/>
      <c r="S549" s="59"/>
      <c r="T549" s="59"/>
      <c r="U549" s="59"/>
    </row>
    <row r="550" ht="35.25" customHeight="1">
      <c r="A550" s="59"/>
      <c r="B550" s="59"/>
      <c r="C550" s="59"/>
      <c r="D550" s="59"/>
      <c r="E550" s="178"/>
      <c r="F550" s="59"/>
      <c r="G550" s="59"/>
      <c r="H550" s="59"/>
      <c r="I550" s="178"/>
      <c r="J550" s="59"/>
      <c r="K550" s="59"/>
      <c r="L550" s="59"/>
      <c r="M550" s="59"/>
      <c r="N550" s="59"/>
      <c r="O550" s="59"/>
      <c r="P550" s="59"/>
      <c r="Q550" s="59"/>
      <c r="R550" s="59"/>
      <c r="S550" s="59"/>
      <c r="T550" s="59"/>
      <c r="U550" s="59"/>
    </row>
    <row r="551" ht="35.25" customHeight="1">
      <c r="A551" s="59"/>
      <c r="B551" s="59"/>
      <c r="C551" s="59"/>
      <c r="D551" s="59"/>
      <c r="E551" s="178"/>
      <c r="F551" s="59"/>
      <c r="G551" s="59"/>
      <c r="H551" s="59"/>
      <c r="I551" s="178"/>
      <c r="J551" s="59"/>
      <c r="K551" s="59"/>
      <c r="L551" s="59"/>
      <c r="M551" s="59"/>
      <c r="N551" s="59"/>
      <c r="O551" s="59"/>
      <c r="P551" s="59"/>
      <c r="Q551" s="59"/>
      <c r="R551" s="59"/>
      <c r="S551" s="59"/>
      <c r="T551" s="59"/>
      <c r="U551" s="59"/>
    </row>
    <row r="552" ht="35.25" customHeight="1">
      <c r="A552" s="59"/>
      <c r="B552" s="59"/>
      <c r="C552" s="59"/>
      <c r="D552" s="59"/>
      <c r="E552" s="178"/>
      <c r="F552" s="59"/>
      <c r="G552" s="59"/>
      <c r="H552" s="59"/>
      <c r="I552" s="178"/>
      <c r="J552" s="59"/>
      <c r="K552" s="59"/>
      <c r="L552" s="59"/>
      <c r="M552" s="59"/>
      <c r="N552" s="59"/>
      <c r="O552" s="59"/>
      <c r="P552" s="59"/>
      <c r="Q552" s="59"/>
      <c r="R552" s="59"/>
      <c r="S552" s="59"/>
      <c r="T552" s="59"/>
      <c r="U552" s="59"/>
    </row>
    <row r="553" ht="35.25" customHeight="1">
      <c r="A553" s="59"/>
      <c r="B553" s="59"/>
      <c r="C553" s="59"/>
      <c r="D553" s="59"/>
      <c r="E553" s="178"/>
      <c r="F553" s="59"/>
      <c r="G553" s="59"/>
      <c r="H553" s="59"/>
      <c r="I553" s="178"/>
      <c r="J553" s="59"/>
      <c r="K553" s="59"/>
      <c r="L553" s="59"/>
      <c r="M553" s="59"/>
      <c r="N553" s="59"/>
      <c r="O553" s="59"/>
      <c r="P553" s="59"/>
      <c r="Q553" s="59"/>
      <c r="R553" s="59"/>
      <c r="S553" s="59"/>
      <c r="T553" s="59"/>
      <c r="U553" s="59"/>
    </row>
    <row r="554" ht="35.25" customHeight="1">
      <c r="A554" s="59"/>
      <c r="B554" s="59"/>
      <c r="C554" s="59"/>
      <c r="D554" s="59"/>
      <c r="E554" s="178"/>
      <c r="F554" s="59"/>
      <c r="G554" s="59"/>
      <c r="H554" s="59"/>
      <c r="I554" s="178"/>
      <c r="J554" s="59"/>
      <c r="K554" s="59"/>
      <c r="L554" s="59"/>
      <c r="M554" s="59"/>
      <c r="N554" s="59"/>
      <c r="O554" s="59"/>
      <c r="P554" s="59"/>
      <c r="Q554" s="59"/>
      <c r="R554" s="59"/>
      <c r="S554" s="59"/>
      <c r="T554" s="59"/>
      <c r="U554" s="59"/>
    </row>
    <row r="555" ht="35.25" customHeight="1">
      <c r="A555" s="59"/>
      <c r="B555" s="59"/>
      <c r="C555" s="59"/>
      <c r="D555" s="59"/>
      <c r="E555" s="178"/>
      <c r="F555" s="59"/>
      <c r="G555" s="59"/>
      <c r="H555" s="59"/>
      <c r="I555" s="178"/>
      <c r="J555" s="59"/>
      <c r="K555" s="59"/>
      <c r="L555" s="59"/>
      <c r="M555" s="59"/>
      <c r="N555" s="59"/>
      <c r="O555" s="59"/>
      <c r="P555" s="59"/>
      <c r="Q555" s="59"/>
      <c r="R555" s="59"/>
      <c r="S555" s="59"/>
      <c r="T555" s="59"/>
      <c r="U555" s="59"/>
    </row>
    <row r="556" ht="35.25" customHeight="1">
      <c r="A556" s="59"/>
      <c r="B556" s="59"/>
      <c r="C556" s="59"/>
      <c r="D556" s="59"/>
      <c r="E556" s="178"/>
      <c r="F556" s="59"/>
      <c r="G556" s="59"/>
      <c r="H556" s="59"/>
      <c r="I556" s="178"/>
      <c r="J556" s="59"/>
      <c r="K556" s="59"/>
      <c r="L556" s="59"/>
      <c r="M556" s="59"/>
      <c r="N556" s="59"/>
      <c r="O556" s="59"/>
      <c r="P556" s="59"/>
      <c r="Q556" s="59"/>
      <c r="R556" s="59"/>
      <c r="S556" s="59"/>
      <c r="T556" s="59"/>
      <c r="U556" s="59"/>
    </row>
    <row r="557" ht="35.25" customHeight="1">
      <c r="A557" s="59"/>
      <c r="B557" s="59"/>
      <c r="C557" s="59"/>
      <c r="D557" s="59"/>
      <c r="E557" s="178"/>
      <c r="F557" s="59"/>
      <c r="G557" s="59"/>
      <c r="H557" s="59"/>
      <c r="I557" s="178"/>
      <c r="J557" s="59"/>
      <c r="K557" s="59"/>
      <c r="L557" s="59"/>
      <c r="M557" s="59"/>
      <c r="N557" s="59"/>
      <c r="O557" s="59"/>
      <c r="P557" s="59"/>
      <c r="Q557" s="59"/>
      <c r="R557" s="59"/>
      <c r="S557" s="59"/>
      <c r="T557" s="59"/>
      <c r="U557" s="59"/>
    </row>
    <row r="558" ht="35.25" customHeight="1">
      <c r="A558" s="59"/>
      <c r="B558" s="59"/>
      <c r="C558" s="59"/>
      <c r="D558" s="59"/>
      <c r="E558" s="178"/>
      <c r="F558" s="59"/>
      <c r="G558" s="59"/>
      <c r="H558" s="59"/>
      <c r="I558" s="178"/>
      <c r="J558" s="59"/>
      <c r="K558" s="59"/>
      <c r="L558" s="59"/>
      <c r="M558" s="59"/>
      <c r="N558" s="59"/>
      <c r="O558" s="59"/>
      <c r="P558" s="59"/>
      <c r="Q558" s="59"/>
      <c r="R558" s="59"/>
      <c r="S558" s="59"/>
      <c r="T558" s="59"/>
      <c r="U558" s="59"/>
    </row>
    <row r="559" ht="35.25" customHeight="1">
      <c r="A559" s="59"/>
      <c r="B559" s="59"/>
      <c r="C559" s="59"/>
      <c r="D559" s="59"/>
      <c r="E559" s="178"/>
      <c r="F559" s="59"/>
      <c r="G559" s="59"/>
      <c r="H559" s="59"/>
      <c r="I559" s="178"/>
      <c r="J559" s="59"/>
      <c r="K559" s="59"/>
      <c r="L559" s="59"/>
      <c r="M559" s="59"/>
      <c r="N559" s="59"/>
      <c r="O559" s="59"/>
      <c r="P559" s="59"/>
      <c r="Q559" s="59"/>
      <c r="R559" s="59"/>
      <c r="S559" s="59"/>
      <c r="T559" s="59"/>
      <c r="U559" s="59"/>
    </row>
    <row r="560" ht="35.25" customHeight="1">
      <c r="A560" s="59"/>
      <c r="B560" s="59"/>
      <c r="C560" s="59"/>
      <c r="D560" s="59"/>
      <c r="E560" s="178"/>
      <c r="F560" s="59"/>
      <c r="G560" s="59"/>
      <c r="H560" s="59"/>
      <c r="I560" s="178"/>
      <c r="J560" s="59"/>
      <c r="K560" s="59"/>
      <c r="L560" s="59"/>
      <c r="M560" s="59"/>
      <c r="N560" s="59"/>
      <c r="O560" s="59"/>
      <c r="P560" s="59"/>
      <c r="Q560" s="59"/>
      <c r="R560" s="59"/>
      <c r="S560" s="59"/>
      <c r="T560" s="59"/>
      <c r="U560" s="59"/>
    </row>
    <row r="561" ht="35.25" customHeight="1">
      <c r="A561" s="59"/>
      <c r="B561" s="59"/>
      <c r="C561" s="59"/>
      <c r="D561" s="59"/>
      <c r="E561" s="178"/>
      <c r="F561" s="59"/>
      <c r="G561" s="59"/>
      <c r="H561" s="59"/>
      <c r="I561" s="178"/>
      <c r="J561" s="59"/>
      <c r="K561" s="59"/>
      <c r="L561" s="59"/>
      <c r="M561" s="59"/>
      <c r="N561" s="59"/>
      <c r="O561" s="59"/>
      <c r="P561" s="59"/>
      <c r="Q561" s="59"/>
      <c r="R561" s="59"/>
      <c r="S561" s="59"/>
      <c r="T561" s="59"/>
      <c r="U561" s="59"/>
    </row>
    <row r="562" ht="35.25" customHeight="1">
      <c r="A562" s="59"/>
      <c r="B562" s="59"/>
      <c r="C562" s="59"/>
      <c r="D562" s="59"/>
      <c r="E562" s="178"/>
      <c r="F562" s="59"/>
      <c r="G562" s="59"/>
      <c r="H562" s="59"/>
      <c r="I562" s="178"/>
      <c r="J562" s="59"/>
      <c r="K562" s="59"/>
      <c r="L562" s="59"/>
      <c r="M562" s="59"/>
      <c r="N562" s="59"/>
      <c r="O562" s="59"/>
      <c r="P562" s="59"/>
      <c r="Q562" s="59"/>
      <c r="R562" s="59"/>
      <c r="S562" s="59"/>
      <c r="T562" s="59"/>
      <c r="U562" s="59"/>
    </row>
    <row r="563" ht="35.25" customHeight="1">
      <c r="A563" s="59"/>
      <c r="B563" s="59"/>
      <c r="C563" s="59"/>
      <c r="D563" s="59"/>
      <c r="E563" s="178"/>
      <c r="F563" s="59"/>
      <c r="G563" s="59"/>
      <c r="H563" s="59"/>
      <c r="I563" s="178"/>
      <c r="J563" s="59"/>
      <c r="K563" s="59"/>
      <c r="L563" s="59"/>
      <c r="M563" s="59"/>
      <c r="N563" s="59"/>
      <c r="O563" s="59"/>
      <c r="P563" s="59"/>
      <c r="Q563" s="59"/>
      <c r="R563" s="59"/>
      <c r="S563" s="59"/>
      <c r="T563" s="59"/>
      <c r="U563" s="59"/>
    </row>
    <row r="564" ht="35.25" customHeight="1">
      <c r="A564" s="59"/>
      <c r="B564" s="59"/>
      <c r="C564" s="59"/>
      <c r="D564" s="59"/>
      <c r="E564" s="178"/>
      <c r="F564" s="59"/>
      <c r="G564" s="59"/>
      <c r="H564" s="59"/>
      <c r="I564" s="178"/>
      <c r="J564" s="59"/>
      <c r="K564" s="59"/>
      <c r="L564" s="59"/>
      <c r="M564" s="59"/>
      <c r="N564" s="59"/>
      <c r="O564" s="59"/>
      <c r="P564" s="59"/>
      <c r="Q564" s="59"/>
      <c r="R564" s="59"/>
      <c r="S564" s="59"/>
      <c r="T564" s="59"/>
      <c r="U564" s="59"/>
    </row>
    <row r="565" ht="35.25" customHeight="1">
      <c r="A565" s="59"/>
      <c r="B565" s="59"/>
      <c r="C565" s="59"/>
      <c r="D565" s="59"/>
      <c r="E565" s="178"/>
      <c r="F565" s="59"/>
      <c r="G565" s="59"/>
      <c r="H565" s="59"/>
      <c r="I565" s="178"/>
      <c r="J565" s="59"/>
      <c r="K565" s="59"/>
      <c r="L565" s="59"/>
      <c r="M565" s="59"/>
      <c r="N565" s="59"/>
      <c r="O565" s="59"/>
      <c r="P565" s="59"/>
      <c r="Q565" s="59"/>
      <c r="R565" s="59"/>
      <c r="S565" s="59"/>
      <c r="T565" s="59"/>
      <c r="U565" s="59"/>
    </row>
    <row r="566" ht="35.25" customHeight="1">
      <c r="A566" s="59"/>
      <c r="B566" s="59"/>
      <c r="C566" s="59"/>
      <c r="D566" s="59"/>
      <c r="E566" s="178"/>
      <c r="F566" s="59"/>
      <c r="G566" s="59"/>
      <c r="H566" s="59"/>
      <c r="I566" s="178"/>
      <c r="J566" s="59"/>
      <c r="K566" s="59"/>
      <c r="L566" s="59"/>
      <c r="M566" s="59"/>
      <c r="N566" s="59"/>
      <c r="O566" s="59"/>
      <c r="P566" s="59"/>
      <c r="Q566" s="59"/>
      <c r="R566" s="59"/>
      <c r="S566" s="59"/>
      <c r="T566" s="59"/>
      <c r="U566" s="59"/>
    </row>
    <row r="567" ht="35.25" customHeight="1">
      <c r="A567" s="59"/>
      <c r="B567" s="59"/>
      <c r="C567" s="59"/>
      <c r="D567" s="59"/>
      <c r="E567" s="178"/>
      <c r="F567" s="59"/>
      <c r="G567" s="59"/>
      <c r="H567" s="59"/>
      <c r="I567" s="178"/>
      <c r="J567" s="59"/>
      <c r="K567" s="59"/>
      <c r="L567" s="59"/>
      <c r="M567" s="59"/>
      <c r="N567" s="59"/>
      <c r="O567" s="59"/>
      <c r="P567" s="59"/>
      <c r="Q567" s="59"/>
      <c r="R567" s="59"/>
      <c r="S567" s="59"/>
      <c r="T567" s="59"/>
      <c r="U567" s="59"/>
    </row>
    <row r="568" ht="35.25" customHeight="1">
      <c r="A568" s="59"/>
      <c r="B568" s="59"/>
      <c r="C568" s="59"/>
      <c r="D568" s="59"/>
      <c r="E568" s="178"/>
      <c r="F568" s="59"/>
      <c r="G568" s="59"/>
      <c r="H568" s="59"/>
      <c r="I568" s="178"/>
      <c r="J568" s="59"/>
      <c r="K568" s="59"/>
      <c r="L568" s="59"/>
      <c r="M568" s="59"/>
      <c r="N568" s="59"/>
      <c r="O568" s="59"/>
      <c r="P568" s="59"/>
      <c r="Q568" s="59"/>
      <c r="R568" s="59"/>
      <c r="S568" s="59"/>
      <c r="T568" s="59"/>
      <c r="U568" s="59"/>
    </row>
    <row r="569" ht="35.25" customHeight="1">
      <c r="A569" s="59"/>
      <c r="B569" s="59"/>
      <c r="C569" s="59"/>
      <c r="D569" s="59"/>
      <c r="E569" s="178"/>
      <c r="F569" s="59"/>
      <c r="G569" s="59"/>
      <c r="H569" s="59"/>
      <c r="I569" s="178"/>
      <c r="J569" s="59"/>
      <c r="K569" s="59"/>
      <c r="L569" s="59"/>
      <c r="M569" s="59"/>
      <c r="N569" s="59"/>
      <c r="O569" s="59"/>
      <c r="P569" s="59"/>
      <c r="Q569" s="59"/>
      <c r="R569" s="59"/>
      <c r="S569" s="59"/>
      <c r="T569" s="59"/>
      <c r="U569" s="59"/>
    </row>
    <row r="570" ht="35.25" customHeight="1">
      <c r="A570" s="59"/>
      <c r="B570" s="59"/>
      <c r="C570" s="59"/>
      <c r="D570" s="59"/>
      <c r="E570" s="178"/>
      <c r="F570" s="59"/>
      <c r="G570" s="59"/>
      <c r="H570" s="59"/>
      <c r="I570" s="178"/>
      <c r="J570" s="59"/>
      <c r="K570" s="59"/>
      <c r="L570" s="59"/>
      <c r="M570" s="59"/>
      <c r="N570" s="59"/>
      <c r="O570" s="59"/>
      <c r="P570" s="59"/>
      <c r="Q570" s="59"/>
      <c r="R570" s="59"/>
      <c r="S570" s="59"/>
      <c r="T570" s="59"/>
      <c r="U570" s="59"/>
    </row>
    <row r="571" ht="35.25" customHeight="1">
      <c r="A571" s="59"/>
      <c r="B571" s="59"/>
      <c r="C571" s="59"/>
      <c r="D571" s="59"/>
      <c r="E571" s="178"/>
      <c r="F571" s="59"/>
      <c r="G571" s="59"/>
      <c r="H571" s="59"/>
      <c r="I571" s="178"/>
      <c r="J571" s="59"/>
      <c r="K571" s="59"/>
      <c r="L571" s="59"/>
      <c r="M571" s="59"/>
      <c r="N571" s="59"/>
      <c r="O571" s="59"/>
      <c r="P571" s="59"/>
      <c r="Q571" s="59"/>
      <c r="R571" s="59"/>
      <c r="S571" s="59"/>
      <c r="T571" s="59"/>
      <c r="U571" s="59"/>
    </row>
    <row r="572" ht="35.25" customHeight="1">
      <c r="A572" s="59"/>
      <c r="B572" s="59"/>
      <c r="C572" s="59"/>
      <c r="D572" s="59"/>
      <c r="E572" s="178"/>
      <c r="F572" s="59"/>
      <c r="G572" s="59"/>
      <c r="H572" s="59"/>
      <c r="I572" s="178"/>
      <c r="J572" s="59"/>
      <c r="K572" s="59"/>
      <c r="L572" s="59"/>
      <c r="M572" s="59"/>
      <c r="N572" s="59"/>
      <c r="O572" s="59"/>
      <c r="P572" s="59"/>
      <c r="Q572" s="59"/>
      <c r="R572" s="59"/>
      <c r="S572" s="59"/>
      <c r="T572" s="59"/>
      <c r="U572" s="59"/>
    </row>
    <row r="573" ht="35.25" customHeight="1">
      <c r="A573" s="59"/>
      <c r="B573" s="59"/>
      <c r="C573" s="59"/>
      <c r="D573" s="59"/>
      <c r="E573" s="178"/>
      <c r="F573" s="59"/>
      <c r="G573" s="59"/>
      <c r="H573" s="59"/>
      <c r="I573" s="178"/>
      <c r="J573" s="59"/>
      <c r="K573" s="59"/>
      <c r="L573" s="59"/>
      <c r="M573" s="59"/>
      <c r="N573" s="59"/>
      <c r="O573" s="59"/>
      <c r="P573" s="59"/>
      <c r="Q573" s="59"/>
      <c r="R573" s="59"/>
      <c r="S573" s="59"/>
      <c r="T573" s="59"/>
      <c r="U573" s="59"/>
    </row>
    <row r="574" ht="35.25" customHeight="1">
      <c r="A574" s="59"/>
      <c r="B574" s="59"/>
      <c r="C574" s="59"/>
      <c r="D574" s="59"/>
      <c r="E574" s="178"/>
      <c r="F574" s="59"/>
      <c r="G574" s="59"/>
      <c r="H574" s="59"/>
      <c r="I574" s="178"/>
      <c r="J574" s="59"/>
      <c r="K574" s="59"/>
      <c r="L574" s="59"/>
      <c r="M574" s="59"/>
      <c r="N574" s="59"/>
      <c r="O574" s="59"/>
      <c r="P574" s="59"/>
      <c r="Q574" s="59"/>
      <c r="R574" s="59"/>
      <c r="S574" s="59"/>
      <c r="T574" s="59"/>
      <c r="U574" s="59"/>
    </row>
    <row r="575" ht="35.25" customHeight="1">
      <c r="A575" s="59"/>
      <c r="B575" s="59"/>
      <c r="C575" s="59"/>
      <c r="D575" s="59"/>
      <c r="E575" s="178"/>
      <c r="F575" s="59"/>
      <c r="G575" s="59"/>
      <c r="H575" s="59"/>
      <c r="I575" s="178"/>
      <c r="J575" s="59"/>
      <c r="K575" s="59"/>
      <c r="L575" s="59"/>
      <c r="M575" s="59"/>
      <c r="N575" s="59"/>
      <c r="O575" s="59"/>
      <c r="P575" s="59"/>
      <c r="Q575" s="59"/>
      <c r="R575" s="59"/>
      <c r="S575" s="59"/>
      <c r="T575" s="59"/>
      <c r="U575" s="59"/>
    </row>
    <row r="576" ht="35.25" customHeight="1">
      <c r="A576" s="59"/>
      <c r="B576" s="59"/>
      <c r="C576" s="59"/>
      <c r="D576" s="59"/>
      <c r="E576" s="178"/>
      <c r="F576" s="59"/>
      <c r="G576" s="59"/>
      <c r="H576" s="59"/>
      <c r="I576" s="178"/>
      <c r="J576" s="59"/>
      <c r="K576" s="59"/>
      <c r="L576" s="59"/>
      <c r="M576" s="59"/>
      <c r="N576" s="59"/>
      <c r="O576" s="59"/>
      <c r="P576" s="59"/>
      <c r="Q576" s="59"/>
      <c r="R576" s="59"/>
      <c r="S576" s="59"/>
      <c r="T576" s="59"/>
      <c r="U576" s="59"/>
    </row>
    <row r="577" ht="35.25" customHeight="1">
      <c r="A577" s="59"/>
      <c r="B577" s="59"/>
      <c r="C577" s="59"/>
      <c r="D577" s="59"/>
      <c r="E577" s="178"/>
      <c r="F577" s="59"/>
      <c r="G577" s="59"/>
      <c r="H577" s="59"/>
      <c r="I577" s="178"/>
      <c r="J577" s="59"/>
      <c r="K577" s="59"/>
      <c r="L577" s="59"/>
      <c r="M577" s="59"/>
      <c r="N577" s="59"/>
      <c r="O577" s="59"/>
      <c r="P577" s="59"/>
      <c r="Q577" s="59"/>
      <c r="R577" s="59"/>
      <c r="S577" s="59"/>
      <c r="T577" s="59"/>
      <c r="U577" s="59"/>
    </row>
    <row r="578" ht="35.25" customHeight="1">
      <c r="A578" s="59"/>
      <c r="B578" s="59"/>
      <c r="C578" s="59"/>
      <c r="D578" s="59"/>
      <c r="E578" s="178"/>
      <c r="F578" s="59"/>
      <c r="G578" s="59"/>
      <c r="H578" s="59"/>
      <c r="I578" s="178"/>
      <c r="J578" s="59"/>
      <c r="K578" s="59"/>
      <c r="L578" s="59"/>
      <c r="M578" s="59"/>
      <c r="N578" s="59"/>
      <c r="O578" s="59"/>
      <c r="P578" s="59"/>
      <c r="Q578" s="59"/>
      <c r="R578" s="59"/>
      <c r="S578" s="59"/>
      <c r="T578" s="59"/>
      <c r="U578" s="59"/>
    </row>
    <row r="579" ht="35.25" customHeight="1">
      <c r="A579" s="59"/>
      <c r="B579" s="59"/>
      <c r="C579" s="59"/>
      <c r="D579" s="59"/>
      <c r="E579" s="178"/>
      <c r="F579" s="59"/>
      <c r="G579" s="59"/>
      <c r="H579" s="59"/>
      <c r="I579" s="178"/>
      <c r="J579" s="59"/>
      <c r="K579" s="59"/>
      <c r="L579" s="59"/>
      <c r="M579" s="59"/>
      <c r="N579" s="59"/>
      <c r="O579" s="59"/>
      <c r="P579" s="59"/>
      <c r="Q579" s="59"/>
      <c r="R579" s="59"/>
      <c r="S579" s="59"/>
      <c r="T579" s="59"/>
      <c r="U579" s="59"/>
    </row>
    <row r="580" ht="35.25" customHeight="1">
      <c r="A580" s="59"/>
      <c r="B580" s="59"/>
      <c r="C580" s="59"/>
      <c r="D580" s="59"/>
      <c r="E580" s="178"/>
      <c r="F580" s="59"/>
      <c r="G580" s="59"/>
      <c r="H580" s="59"/>
      <c r="I580" s="178"/>
      <c r="J580" s="59"/>
      <c r="K580" s="59"/>
      <c r="L580" s="59"/>
      <c r="M580" s="59"/>
      <c r="N580" s="59"/>
      <c r="O580" s="59"/>
      <c r="P580" s="59"/>
      <c r="Q580" s="59"/>
      <c r="R580" s="59"/>
      <c r="S580" s="59"/>
      <c r="T580" s="59"/>
      <c r="U580" s="59"/>
    </row>
    <row r="581" ht="35.25" customHeight="1">
      <c r="A581" s="59"/>
      <c r="B581" s="59"/>
      <c r="C581" s="59"/>
      <c r="D581" s="59"/>
      <c r="E581" s="178"/>
      <c r="F581" s="59"/>
      <c r="G581" s="59"/>
      <c r="H581" s="59"/>
      <c r="I581" s="178"/>
      <c r="J581" s="59"/>
      <c r="K581" s="59"/>
      <c r="L581" s="59"/>
      <c r="M581" s="59"/>
      <c r="N581" s="59"/>
      <c r="O581" s="59"/>
      <c r="P581" s="59"/>
      <c r="Q581" s="59"/>
      <c r="R581" s="59"/>
      <c r="S581" s="59"/>
      <c r="T581" s="59"/>
      <c r="U581" s="59"/>
    </row>
    <row r="582" ht="35.25" customHeight="1">
      <c r="A582" s="59"/>
      <c r="B582" s="59"/>
      <c r="C582" s="59"/>
      <c r="D582" s="59"/>
      <c r="E582" s="178"/>
      <c r="F582" s="59"/>
      <c r="G582" s="59"/>
      <c r="H582" s="59"/>
      <c r="I582" s="178"/>
      <c r="J582" s="59"/>
      <c r="K582" s="59"/>
      <c r="L582" s="59"/>
      <c r="M582" s="59"/>
      <c r="N582" s="59"/>
      <c r="O582" s="59"/>
      <c r="P582" s="59"/>
      <c r="Q582" s="59"/>
      <c r="R582" s="59"/>
      <c r="S582" s="59"/>
      <c r="T582" s="59"/>
      <c r="U582" s="59"/>
    </row>
    <row r="583" ht="35.25" customHeight="1">
      <c r="A583" s="59"/>
      <c r="B583" s="59"/>
      <c r="C583" s="59"/>
      <c r="D583" s="59"/>
      <c r="E583" s="178"/>
      <c r="F583" s="59"/>
      <c r="G583" s="59"/>
      <c r="H583" s="59"/>
      <c r="I583" s="178"/>
      <c r="J583" s="59"/>
      <c r="K583" s="59"/>
      <c r="L583" s="59"/>
      <c r="M583" s="59"/>
      <c r="N583" s="59"/>
      <c r="O583" s="59"/>
      <c r="P583" s="59"/>
      <c r="Q583" s="59"/>
      <c r="R583" s="59"/>
      <c r="S583" s="59"/>
      <c r="T583" s="59"/>
      <c r="U583" s="59"/>
    </row>
    <row r="584" ht="35.25" customHeight="1">
      <c r="A584" s="59"/>
      <c r="B584" s="59"/>
      <c r="C584" s="59"/>
      <c r="D584" s="59"/>
      <c r="E584" s="178"/>
      <c r="F584" s="59"/>
      <c r="G584" s="59"/>
      <c r="H584" s="59"/>
      <c r="I584" s="178"/>
      <c r="J584" s="59"/>
      <c r="K584" s="59"/>
      <c r="L584" s="59"/>
      <c r="M584" s="59"/>
      <c r="N584" s="59"/>
      <c r="O584" s="59"/>
      <c r="P584" s="59"/>
      <c r="Q584" s="59"/>
      <c r="R584" s="59"/>
      <c r="S584" s="59"/>
      <c r="T584" s="59"/>
      <c r="U584" s="59"/>
    </row>
    <row r="585" ht="35.25" customHeight="1">
      <c r="A585" s="59"/>
      <c r="B585" s="59"/>
      <c r="C585" s="59"/>
      <c r="D585" s="59"/>
      <c r="E585" s="178"/>
      <c r="F585" s="59"/>
      <c r="G585" s="59"/>
      <c r="H585" s="59"/>
      <c r="I585" s="178"/>
      <c r="J585" s="59"/>
      <c r="K585" s="59"/>
      <c r="L585" s="59"/>
      <c r="M585" s="59"/>
      <c r="N585" s="59"/>
      <c r="O585" s="59"/>
      <c r="P585" s="59"/>
      <c r="Q585" s="59"/>
      <c r="R585" s="59"/>
      <c r="S585" s="59"/>
      <c r="T585" s="59"/>
      <c r="U585" s="59"/>
    </row>
    <row r="586" ht="35.25" customHeight="1">
      <c r="A586" s="59"/>
      <c r="B586" s="59"/>
      <c r="C586" s="59"/>
      <c r="D586" s="59"/>
      <c r="E586" s="178"/>
      <c r="F586" s="59"/>
      <c r="G586" s="59"/>
      <c r="H586" s="59"/>
      <c r="I586" s="178"/>
      <c r="J586" s="59"/>
      <c r="K586" s="59"/>
      <c r="L586" s="59"/>
      <c r="M586" s="59"/>
      <c r="N586" s="59"/>
      <c r="O586" s="59"/>
      <c r="P586" s="59"/>
      <c r="Q586" s="59"/>
      <c r="R586" s="59"/>
      <c r="S586" s="59"/>
      <c r="T586" s="59"/>
      <c r="U586" s="59"/>
    </row>
    <row r="587" ht="35.25" customHeight="1">
      <c r="A587" s="59"/>
      <c r="B587" s="59"/>
      <c r="C587" s="59"/>
      <c r="D587" s="59"/>
      <c r="E587" s="178"/>
      <c r="F587" s="59"/>
      <c r="G587" s="59"/>
      <c r="H587" s="59"/>
      <c r="I587" s="178"/>
      <c r="J587" s="59"/>
      <c r="K587" s="59"/>
      <c r="L587" s="59"/>
      <c r="M587" s="59"/>
      <c r="N587" s="59"/>
      <c r="O587" s="59"/>
      <c r="P587" s="59"/>
      <c r="Q587" s="59"/>
      <c r="R587" s="59"/>
      <c r="S587" s="59"/>
      <c r="T587" s="59"/>
      <c r="U587" s="59"/>
    </row>
    <row r="588" ht="35.25" customHeight="1">
      <c r="A588" s="59"/>
      <c r="B588" s="59"/>
      <c r="C588" s="59"/>
      <c r="D588" s="59"/>
      <c r="E588" s="178"/>
      <c r="F588" s="59"/>
      <c r="G588" s="59"/>
      <c r="H588" s="59"/>
      <c r="I588" s="178"/>
      <c r="J588" s="59"/>
      <c r="K588" s="59"/>
      <c r="L588" s="59"/>
      <c r="M588" s="59"/>
      <c r="N588" s="59"/>
      <c r="O588" s="59"/>
      <c r="P588" s="59"/>
      <c r="Q588" s="59"/>
      <c r="R588" s="59"/>
      <c r="S588" s="59"/>
      <c r="T588" s="59"/>
      <c r="U588" s="59"/>
    </row>
    <row r="589" ht="35.25" customHeight="1">
      <c r="A589" s="59"/>
      <c r="B589" s="59"/>
      <c r="C589" s="59"/>
      <c r="D589" s="59"/>
      <c r="E589" s="178"/>
      <c r="F589" s="59"/>
      <c r="G589" s="59"/>
      <c r="H589" s="59"/>
      <c r="I589" s="178"/>
      <c r="J589" s="59"/>
      <c r="K589" s="59"/>
      <c r="L589" s="59"/>
      <c r="M589" s="59"/>
      <c r="N589" s="59"/>
      <c r="O589" s="59"/>
      <c r="P589" s="59"/>
      <c r="Q589" s="59"/>
      <c r="R589" s="59"/>
      <c r="S589" s="59"/>
      <c r="T589" s="59"/>
      <c r="U589" s="59"/>
    </row>
    <row r="590" ht="35.25" customHeight="1">
      <c r="A590" s="59"/>
      <c r="B590" s="59"/>
      <c r="C590" s="59"/>
      <c r="D590" s="59"/>
      <c r="E590" s="178"/>
      <c r="F590" s="59"/>
      <c r="G590" s="59"/>
      <c r="H590" s="59"/>
      <c r="I590" s="178"/>
      <c r="J590" s="59"/>
      <c r="K590" s="59"/>
      <c r="L590" s="59"/>
      <c r="M590" s="59"/>
      <c r="N590" s="59"/>
      <c r="O590" s="59"/>
      <c r="P590" s="59"/>
      <c r="Q590" s="59"/>
      <c r="R590" s="59"/>
      <c r="S590" s="59"/>
      <c r="T590" s="59"/>
      <c r="U590" s="59"/>
    </row>
    <row r="591" ht="35.25" customHeight="1">
      <c r="A591" s="59"/>
      <c r="B591" s="59"/>
      <c r="C591" s="59"/>
      <c r="D591" s="59"/>
      <c r="E591" s="178"/>
      <c r="F591" s="59"/>
      <c r="G591" s="59"/>
      <c r="H591" s="59"/>
      <c r="I591" s="178"/>
      <c r="J591" s="59"/>
      <c r="K591" s="59"/>
      <c r="L591" s="59"/>
      <c r="M591" s="59"/>
      <c r="N591" s="59"/>
      <c r="O591" s="59"/>
      <c r="P591" s="59"/>
      <c r="Q591" s="59"/>
      <c r="R591" s="59"/>
      <c r="S591" s="59"/>
      <c r="T591" s="59"/>
      <c r="U591" s="59"/>
    </row>
    <row r="592" ht="35.25" customHeight="1">
      <c r="A592" s="59"/>
      <c r="B592" s="59"/>
      <c r="C592" s="59"/>
      <c r="D592" s="59"/>
      <c r="E592" s="178"/>
      <c r="F592" s="59"/>
      <c r="G592" s="59"/>
      <c r="H592" s="59"/>
      <c r="I592" s="178"/>
      <c r="J592" s="59"/>
      <c r="K592" s="59"/>
      <c r="L592" s="59"/>
      <c r="M592" s="59"/>
      <c r="N592" s="59"/>
      <c r="O592" s="59"/>
      <c r="P592" s="59"/>
      <c r="Q592" s="59"/>
      <c r="R592" s="59"/>
      <c r="S592" s="59"/>
      <c r="T592" s="59"/>
      <c r="U592" s="59"/>
    </row>
    <row r="593" ht="35.25" customHeight="1">
      <c r="A593" s="59"/>
      <c r="B593" s="59"/>
      <c r="C593" s="59"/>
      <c r="D593" s="59"/>
      <c r="E593" s="178"/>
      <c r="F593" s="59"/>
      <c r="G593" s="59"/>
      <c r="H593" s="59"/>
      <c r="I593" s="178"/>
      <c r="J593" s="59"/>
      <c r="K593" s="59"/>
      <c r="L593" s="59"/>
      <c r="M593" s="59"/>
      <c r="N593" s="59"/>
      <c r="O593" s="59"/>
      <c r="P593" s="59"/>
      <c r="Q593" s="59"/>
      <c r="R593" s="59"/>
      <c r="S593" s="59"/>
      <c r="T593" s="59"/>
      <c r="U593" s="59"/>
    </row>
    <row r="594" ht="35.25" customHeight="1">
      <c r="A594" s="59"/>
      <c r="B594" s="59"/>
      <c r="C594" s="59"/>
      <c r="D594" s="59"/>
      <c r="E594" s="178"/>
      <c r="F594" s="59"/>
      <c r="G594" s="59"/>
      <c r="H594" s="59"/>
      <c r="I594" s="178"/>
      <c r="J594" s="59"/>
      <c r="K594" s="59"/>
      <c r="L594" s="59"/>
      <c r="M594" s="59"/>
      <c r="N594" s="59"/>
      <c r="O594" s="59"/>
      <c r="P594" s="59"/>
      <c r="Q594" s="59"/>
      <c r="R594" s="59"/>
      <c r="S594" s="59"/>
      <c r="T594" s="59"/>
      <c r="U594" s="59"/>
    </row>
    <row r="595" ht="35.25" customHeight="1">
      <c r="A595" s="59"/>
      <c r="B595" s="59"/>
      <c r="C595" s="59"/>
      <c r="D595" s="59"/>
      <c r="E595" s="178"/>
      <c r="F595" s="59"/>
      <c r="G595" s="59"/>
      <c r="H595" s="59"/>
      <c r="I595" s="178"/>
      <c r="J595" s="59"/>
      <c r="K595" s="59"/>
      <c r="L595" s="59"/>
      <c r="M595" s="59"/>
      <c r="N595" s="59"/>
      <c r="O595" s="59"/>
      <c r="P595" s="59"/>
      <c r="Q595" s="59"/>
      <c r="R595" s="59"/>
      <c r="S595" s="59"/>
      <c r="T595" s="59"/>
      <c r="U595" s="59"/>
    </row>
    <row r="596" ht="35.25" customHeight="1">
      <c r="A596" s="59"/>
      <c r="B596" s="59"/>
      <c r="C596" s="59"/>
      <c r="D596" s="59"/>
      <c r="E596" s="178"/>
      <c r="F596" s="59"/>
      <c r="G596" s="59"/>
      <c r="H596" s="59"/>
      <c r="I596" s="178"/>
      <c r="J596" s="59"/>
      <c r="K596" s="59"/>
      <c r="L596" s="59"/>
      <c r="M596" s="59"/>
      <c r="N596" s="59"/>
      <c r="O596" s="59"/>
      <c r="P596" s="59"/>
      <c r="Q596" s="59"/>
      <c r="R596" s="59"/>
      <c r="S596" s="59"/>
      <c r="T596" s="59"/>
      <c r="U596" s="59"/>
    </row>
    <row r="597" ht="35.25" customHeight="1">
      <c r="A597" s="59"/>
      <c r="B597" s="59"/>
      <c r="C597" s="59"/>
      <c r="D597" s="59"/>
      <c r="E597" s="178"/>
      <c r="F597" s="59"/>
      <c r="G597" s="59"/>
      <c r="H597" s="59"/>
      <c r="I597" s="178"/>
      <c r="J597" s="59"/>
      <c r="K597" s="59"/>
      <c r="L597" s="59"/>
      <c r="M597" s="59"/>
      <c r="N597" s="59"/>
      <c r="O597" s="59"/>
      <c r="P597" s="59"/>
      <c r="Q597" s="59"/>
      <c r="R597" s="59"/>
      <c r="S597" s="59"/>
      <c r="T597" s="59"/>
      <c r="U597" s="59"/>
    </row>
    <row r="598" ht="35.25" customHeight="1">
      <c r="A598" s="59"/>
      <c r="B598" s="59"/>
      <c r="C598" s="59"/>
      <c r="D598" s="59"/>
      <c r="E598" s="178"/>
      <c r="F598" s="59"/>
      <c r="G598" s="59"/>
      <c r="H598" s="59"/>
      <c r="I598" s="178"/>
      <c r="J598" s="59"/>
      <c r="K598" s="59"/>
      <c r="L598" s="59"/>
      <c r="M598" s="59"/>
      <c r="N598" s="59"/>
      <c r="O598" s="59"/>
      <c r="P598" s="59"/>
      <c r="Q598" s="59"/>
      <c r="R598" s="59"/>
      <c r="S598" s="59"/>
      <c r="T598" s="59"/>
      <c r="U598" s="59"/>
    </row>
    <row r="599" ht="35.25" customHeight="1">
      <c r="A599" s="59"/>
      <c r="B599" s="59"/>
      <c r="C599" s="59"/>
      <c r="D599" s="59"/>
      <c r="E599" s="178"/>
      <c r="F599" s="59"/>
      <c r="G599" s="59"/>
      <c r="H599" s="59"/>
      <c r="I599" s="178"/>
      <c r="J599" s="59"/>
      <c r="K599" s="59"/>
      <c r="L599" s="59"/>
      <c r="M599" s="59"/>
      <c r="N599" s="59"/>
      <c r="O599" s="59"/>
      <c r="P599" s="59"/>
      <c r="Q599" s="59"/>
      <c r="R599" s="59"/>
      <c r="S599" s="59"/>
      <c r="T599" s="59"/>
      <c r="U599" s="59"/>
    </row>
    <row r="600" ht="35.25" customHeight="1">
      <c r="A600" s="59"/>
      <c r="B600" s="59"/>
      <c r="C600" s="59"/>
      <c r="D600" s="59"/>
      <c r="E600" s="178"/>
      <c r="F600" s="59"/>
      <c r="G600" s="59"/>
      <c r="H600" s="59"/>
      <c r="I600" s="178"/>
      <c r="J600" s="59"/>
      <c r="K600" s="59"/>
      <c r="L600" s="59"/>
      <c r="M600" s="59"/>
      <c r="N600" s="59"/>
      <c r="O600" s="59"/>
      <c r="P600" s="59"/>
      <c r="Q600" s="59"/>
      <c r="R600" s="59"/>
      <c r="S600" s="59"/>
      <c r="T600" s="59"/>
      <c r="U600" s="59"/>
    </row>
    <row r="601" ht="35.25" customHeight="1">
      <c r="A601" s="59"/>
      <c r="B601" s="59"/>
      <c r="C601" s="59"/>
      <c r="D601" s="59"/>
      <c r="E601" s="178"/>
      <c r="F601" s="59"/>
      <c r="G601" s="59"/>
      <c r="H601" s="59"/>
      <c r="I601" s="178"/>
      <c r="J601" s="59"/>
      <c r="K601" s="59"/>
      <c r="L601" s="59"/>
      <c r="M601" s="59"/>
      <c r="N601" s="59"/>
      <c r="O601" s="59"/>
      <c r="P601" s="59"/>
      <c r="Q601" s="59"/>
      <c r="R601" s="59"/>
      <c r="S601" s="59"/>
      <c r="T601" s="59"/>
      <c r="U601" s="59"/>
    </row>
    <row r="602" ht="35.25" customHeight="1">
      <c r="A602" s="59"/>
      <c r="B602" s="59"/>
      <c r="C602" s="59"/>
      <c r="D602" s="59"/>
      <c r="E602" s="178"/>
      <c r="F602" s="59"/>
      <c r="G602" s="59"/>
      <c r="H602" s="59"/>
      <c r="I602" s="178"/>
      <c r="J602" s="59"/>
      <c r="K602" s="59"/>
      <c r="L602" s="59"/>
      <c r="M602" s="59"/>
      <c r="N602" s="59"/>
      <c r="O602" s="59"/>
      <c r="P602" s="59"/>
      <c r="Q602" s="59"/>
      <c r="R602" s="59"/>
      <c r="S602" s="59"/>
      <c r="T602" s="59"/>
      <c r="U602" s="59"/>
    </row>
    <row r="603" ht="35.25" customHeight="1">
      <c r="A603" s="59"/>
      <c r="B603" s="59"/>
      <c r="C603" s="59"/>
      <c r="D603" s="59"/>
      <c r="E603" s="178"/>
      <c r="F603" s="59"/>
      <c r="G603" s="59"/>
      <c r="H603" s="59"/>
      <c r="I603" s="178"/>
      <c r="J603" s="59"/>
      <c r="K603" s="59"/>
      <c r="L603" s="59"/>
      <c r="M603" s="59"/>
      <c r="N603" s="59"/>
      <c r="O603" s="59"/>
      <c r="P603" s="59"/>
      <c r="Q603" s="59"/>
      <c r="R603" s="59"/>
      <c r="S603" s="59"/>
      <c r="T603" s="59"/>
      <c r="U603" s="59"/>
    </row>
    <row r="604" ht="35.25" customHeight="1">
      <c r="A604" s="59"/>
      <c r="B604" s="59"/>
      <c r="C604" s="59"/>
      <c r="D604" s="59"/>
      <c r="E604" s="178"/>
      <c r="F604" s="59"/>
      <c r="G604" s="59"/>
      <c r="H604" s="59"/>
      <c r="I604" s="178"/>
      <c r="J604" s="59"/>
      <c r="K604" s="59"/>
      <c r="L604" s="59"/>
      <c r="M604" s="59"/>
      <c r="N604" s="59"/>
      <c r="O604" s="59"/>
      <c r="P604" s="59"/>
      <c r="Q604" s="59"/>
      <c r="R604" s="59"/>
      <c r="S604" s="59"/>
      <c r="T604" s="59"/>
      <c r="U604" s="59"/>
    </row>
    <row r="605" ht="35.25" customHeight="1">
      <c r="A605" s="59"/>
      <c r="B605" s="59"/>
      <c r="C605" s="59"/>
      <c r="D605" s="59"/>
      <c r="E605" s="178"/>
      <c r="F605" s="59"/>
      <c r="G605" s="59"/>
      <c r="H605" s="59"/>
      <c r="I605" s="178"/>
      <c r="J605" s="59"/>
      <c r="K605" s="59"/>
      <c r="L605" s="59"/>
      <c r="M605" s="59"/>
      <c r="N605" s="59"/>
      <c r="O605" s="59"/>
      <c r="P605" s="59"/>
      <c r="Q605" s="59"/>
      <c r="R605" s="59"/>
      <c r="S605" s="59"/>
      <c r="T605" s="59"/>
      <c r="U605" s="59"/>
    </row>
    <row r="606" ht="35.25" customHeight="1">
      <c r="A606" s="59"/>
      <c r="B606" s="59"/>
      <c r="C606" s="59"/>
      <c r="D606" s="59"/>
      <c r="E606" s="178"/>
      <c r="F606" s="59"/>
      <c r="G606" s="59"/>
      <c r="H606" s="59"/>
      <c r="I606" s="178"/>
      <c r="J606" s="59"/>
      <c r="K606" s="59"/>
      <c r="L606" s="59"/>
      <c r="M606" s="59"/>
      <c r="N606" s="59"/>
      <c r="O606" s="59"/>
      <c r="P606" s="59"/>
      <c r="Q606" s="59"/>
      <c r="R606" s="59"/>
      <c r="S606" s="59"/>
      <c r="T606" s="59"/>
      <c r="U606" s="59"/>
    </row>
    <row r="607" ht="35.25" customHeight="1">
      <c r="A607" s="59"/>
      <c r="B607" s="59"/>
      <c r="C607" s="59"/>
      <c r="D607" s="59"/>
      <c r="E607" s="178"/>
      <c r="F607" s="59"/>
      <c r="G607" s="59"/>
      <c r="H607" s="59"/>
      <c r="I607" s="178"/>
      <c r="J607" s="59"/>
      <c r="K607" s="59"/>
      <c r="L607" s="59"/>
      <c r="M607" s="59"/>
      <c r="N607" s="59"/>
      <c r="O607" s="59"/>
      <c r="P607" s="59"/>
      <c r="Q607" s="59"/>
      <c r="R607" s="59"/>
      <c r="S607" s="59"/>
      <c r="T607" s="59"/>
      <c r="U607" s="59"/>
    </row>
    <row r="608" ht="35.25" customHeight="1">
      <c r="A608" s="59"/>
      <c r="B608" s="59"/>
      <c r="C608" s="59"/>
      <c r="D608" s="59"/>
      <c r="E608" s="178"/>
      <c r="F608" s="59"/>
      <c r="G608" s="59"/>
      <c r="H608" s="59"/>
      <c r="I608" s="178"/>
      <c r="J608" s="59"/>
      <c r="K608" s="59"/>
      <c r="L608" s="59"/>
      <c r="M608" s="59"/>
      <c r="N608" s="59"/>
      <c r="O608" s="59"/>
      <c r="P608" s="59"/>
      <c r="Q608" s="59"/>
      <c r="R608" s="59"/>
      <c r="S608" s="59"/>
      <c r="T608" s="59"/>
      <c r="U608" s="59"/>
    </row>
    <row r="609" ht="35.25" customHeight="1">
      <c r="A609" s="59"/>
      <c r="B609" s="59"/>
      <c r="C609" s="59"/>
      <c r="D609" s="59"/>
      <c r="E609" s="178"/>
      <c r="F609" s="59"/>
      <c r="G609" s="59"/>
      <c r="H609" s="59"/>
      <c r="I609" s="178"/>
      <c r="J609" s="59"/>
      <c r="K609" s="59"/>
      <c r="L609" s="59"/>
      <c r="M609" s="59"/>
      <c r="N609" s="59"/>
      <c r="O609" s="59"/>
      <c r="P609" s="59"/>
      <c r="Q609" s="59"/>
      <c r="R609" s="59"/>
      <c r="S609" s="59"/>
      <c r="T609" s="59"/>
      <c r="U609" s="59"/>
    </row>
    <row r="610" ht="35.25" customHeight="1">
      <c r="A610" s="59"/>
      <c r="B610" s="59"/>
      <c r="C610" s="59"/>
      <c r="D610" s="59"/>
      <c r="E610" s="178"/>
      <c r="F610" s="59"/>
      <c r="G610" s="59"/>
      <c r="H610" s="59"/>
      <c r="I610" s="178"/>
      <c r="J610" s="59"/>
      <c r="K610" s="59"/>
      <c r="L610" s="59"/>
      <c r="M610" s="59"/>
      <c r="N610" s="59"/>
      <c r="O610" s="59"/>
      <c r="P610" s="59"/>
      <c r="Q610" s="59"/>
      <c r="R610" s="59"/>
      <c r="S610" s="59"/>
      <c r="T610" s="59"/>
      <c r="U610" s="59"/>
    </row>
    <row r="611" ht="35.25" customHeight="1">
      <c r="A611" s="59"/>
      <c r="B611" s="59"/>
      <c r="C611" s="59"/>
      <c r="D611" s="59"/>
      <c r="E611" s="178"/>
      <c r="F611" s="59"/>
      <c r="G611" s="59"/>
      <c r="H611" s="59"/>
      <c r="I611" s="178"/>
      <c r="J611" s="59"/>
      <c r="K611" s="59"/>
      <c r="L611" s="59"/>
      <c r="M611" s="59"/>
      <c r="N611" s="59"/>
      <c r="O611" s="59"/>
      <c r="P611" s="59"/>
      <c r="Q611" s="59"/>
      <c r="R611" s="59"/>
      <c r="S611" s="59"/>
      <c r="T611" s="59"/>
      <c r="U611" s="59"/>
    </row>
    <row r="612" ht="35.25" customHeight="1">
      <c r="A612" s="59"/>
      <c r="B612" s="59"/>
      <c r="C612" s="59"/>
      <c r="D612" s="59"/>
      <c r="E612" s="178"/>
      <c r="F612" s="59"/>
      <c r="G612" s="59"/>
      <c r="H612" s="59"/>
      <c r="I612" s="178"/>
      <c r="J612" s="59"/>
      <c r="K612" s="59"/>
      <c r="L612" s="59"/>
      <c r="M612" s="59"/>
      <c r="N612" s="59"/>
      <c r="O612" s="59"/>
      <c r="P612" s="59"/>
      <c r="Q612" s="59"/>
      <c r="R612" s="59"/>
      <c r="S612" s="59"/>
      <c r="T612" s="59"/>
      <c r="U612" s="59"/>
    </row>
    <row r="613" ht="35.25" customHeight="1">
      <c r="A613" s="59"/>
      <c r="B613" s="59"/>
      <c r="C613" s="59"/>
      <c r="D613" s="59"/>
      <c r="E613" s="178"/>
      <c r="F613" s="59"/>
      <c r="G613" s="59"/>
      <c r="H613" s="59"/>
      <c r="I613" s="178"/>
      <c r="J613" s="59"/>
      <c r="K613" s="59"/>
      <c r="L613" s="59"/>
      <c r="M613" s="59"/>
      <c r="N613" s="59"/>
      <c r="O613" s="59"/>
      <c r="P613" s="59"/>
      <c r="Q613" s="59"/>
      <c r="R613" s="59"/>
      <c r="S613" s="59"/>
      <c r="T613" s="59"/>
      <c r="U613" s="59"/>
    </row>
    <row r="614" ht="35.25" customHeight="1">
      <c r="A614" s="59"/>
      <c r="B614" s="59"/>
      <c r="C614" s="59"/>
      <c r="D614" s="59"/>
      <c r="E614" s="178"/>
      <c r="F614" s="59"/>
      <c r="G614" s="59"/>
      <c r="H614" s="59"/>
      <c r="I614" s="178"/>
      <c r="J614" s="59"/>
      <c r="K614" s="59"/>
      <c r="L614" s="59"/>
      <c r="M614" s="59"/>
      <c r="N614" s="59"/>
      <c r="O614" s="59"/>
      <c r="P614" s="59"/>
      <c r="Q614" s="59"/>
      <c r="R614" s="59"/>
      <c r="S614" s="59"/>
      <c r="T614" s="59"/>
      <c r="U614" s="59"/>
    </row>
    <row r="615" ht="35.25" customHeight="1">
      <c r="A615" s="59"/>
      <c r="B615" s="59"/>
      <c r="C615" s="59"/>
      <c r="D615" s="59"/>
      <c r="E615" s="178"/>
      <c r="F615" s="59"/>
      <c r="G615" s="59"/>
      <c r="H615" s="59"/>
      <c r="I615" s="178"/>
      <c r="J615" s="59"/>
      <c r="K615" s="59"/>
      <c r="L615" s="59"/>
      <c r="M615" s="59"/>
      <c r="N615" s="59"/>
      <c r="O615" s="59"/>
      <c r="P615" s="59"/>
      <c r="Q615" s="59"/>
      <c r="R615" s="59"/>
      <c r="S615" s="59"/>
      <c r="T615" s="59"/>
      <c r="U615" s="59"/>
    </row>
    <row r="616" ht="35.25" customHeight="1">
      <c r="A616" s="59"/>
      <c r="B616" s="59"/>
      <c r="C616" s="59"/>
      <c r="D616" s="59"/>
      <c r="E616" s="178"/>
      <c r="F616" s="59"/>
      <c r="G616" s="59"/>
      <c r="H616" s="59"/>
      <c r="I616" s="178"/>
      <c r="J616" s="59"/>
      <c r="K616" s="59"/>
      <c r="L616" s="59"/>
      <c r="M616" s="59"/>
      <c r="N616" s="59"/>
      <c r="O616" s="59"/>
      <c r="P616" s="59"/>
      <c r="Q616" s="59"/>
      <c r="R616" s="59"/>
      <c r="S616" s="59"/>
      <c r="T616" s="59"/>
      <c r="U616" s="59"/>
    </row>
    <row r="617" ht="35.25" customHeight="1">
      <c r="A617" s="59"/>
      <c r="B617" s="59"/>
      <c r="C617" s="59"/>
      <c r="D617" s="59"/>
      <c r="E617" s="178"/>
      <c r="F617" s="59"/>
      <c r="G617" s="59"/>
      <c r="H617" s="59"/>
      <c r="I617" s="178"/>
      <c r="J617" s="59"/>
      <c r="K617" s="59"/>
      <c r="L617" s="59"/>
      <c r="M617" s="59"/>
      <c r="N617" s="59"/>
      <c r="O617" s="59"/>
      <c r="P617" s="59"/>
      <c r="Q617" s="59"/>
      <c r="R617" s="59"/>
      <c r="S617" s="59"/>
      <c r="T617" s="59"/>
      <c r="U617" s="59"/>
    </row>
    <row r="618" ht="35.25" customHeight="1">
      <c r="A618" s="59"/>
      <c r="B618" s="59"/>
      <c r="C618" s="59"/>
      <c r="D618" s="59"/>
      <c r="E618" s="178"/>
      <c r="F618" s="59"/>
      <c r="G618" s="59"/>
      <c r="H618" s="59"/>
      <c r="I618" s="178"/>
      <c r="J618" s="59"/>
      <c r="K618" s="59"/>
      <c r="L618" s="59"/>
      <c r="M618" s="59"/>
      <c r="N618" s="59"/>
      <c r="O618" s="59"/>
      <c r="P618" s="59"/>
      <c r="Q618" s="59"/>
      <c r="R618" s="59"/>
      <c r="S618" s="59"/>
      <c r="T618" s="59"/>
      <c r="U618" s="59"/>
    </row>
    <row r="619" ht="35.25" customHeight="1">
      <c r="A619" s="59"/>
      <c r="B619" s="59"/>
      <c r="C619" s="59"/>
      <c r="D619" s="59"/>
      <c r="E619" s="178"/>
      <c r="F619" s="59"/>
      <c r="G619" s="59"/>
      <c r="H619" s="59"/>
      <c r="I619" s="178"/>
      <c r="J619" s="59"/>
      <c r="K619" s="59"/>
      <c r="L619" s="59"/>
      <c r="M619" s="59"/>
      <c r="N619" s="59"/>
      <c r="O619" s="59"/>
      <c r="P619" s="59"/>
      <c r="Q619" s="59"/>
      <c r="R619" s="59"/>
      <c r="S619" s="59"/>
      <c r="T619" s="59"/>
      <c r="U619" s="59"/>
    </row>
    <row r="620" ht="35.25" customHeight="1">
      <c r="A620" s="59"/>
      <c r="B620" s="59"/>
      <c r="C620" s="59"/>
      <c r="D620" s="59"/>
      <c r="E620" s="178"/>
      <c r="F620" s="59"/>
      <c r="G620" s="59"/>
      <c r="H620" s="59"/>
      <c r="I620" s="178"/>
      <c r="J620" s="59"/>
      <c r="K620" s="59"/>
      <c r="L620" s="59"/>
      <c r="M620" s="59"/>
      <c r="N620" s="59"/>
      <c r="O620" s="59"/>
      <c r="P620" s="59"/>
      <c r="Q620" s="59"/>
      <c r="R620" s="59"/>
      <c r="S620" s="59"/>
      <c r="T620" s="59"/>
      <c r="U620" s="59"/>
    </row>
    <row r="621" ht="35.25" customHeight="1">
      <c r="A621" s="59"/>
      <c r="B621" s="59"/>
      <c r="C621" s="59"/>
      <c r="D621" s="59"/>
      <c r="E621" s="178"/>
      <c r="F621" s="59"/>
      <c r="G621" s="59"/>
      <c r="H621" s="59"/>
      <c r="I621" s="178"/>
      <c r="J621" s="59"/>
      <c r="K621" s="59"/>
      <c r="L621" s="59"/>
      <c r="M621" s="59"/>
      <c r="N621" s="59"/>
      <c r="O621" s="59"/>
      <c r="P621" s="59"/>
      <c r="Q621" s="59"/>
      <c r="R621" s="59"/>
      <c r="S621" s="59"/>
      <c r="T621" s="59"/>
      <c r="U621" s="59"/>
    </row>
    <row r="622" ht="35.25" customHeight="1">
      <c r="A622" s="59"/>
      <c r="B622" s="59"/>
      <c r="C622" s="59"/>
      <c r="D622" s="59"/>
      <c r="E622" s="178"/>
      <c r="F622" s="59"/>
      <c r="G622" s="59"/>
      <c r="H622" s="59"/>
      <c r="I622" s="178"/>
      <c r="J622" s="59"/>
      <c r="K622" s="59"/>
      <c r="L622" s="59"/>
      <c r="M622" s="59"/>
      <c r="N622" s="59"/>
      <c r="O622" s="59"/>
      <c r="P622" s="59"/>
      <c r="Q622" s="59"/>
      <c r="R622" s="59"/>
      <c r="S622" s="59"/>
      <c r="T622" s="59"/>
      <c r="U622" s="59"/>
    </row>
    <row r="623" ht="35.25" customHeight="1">
      <c r="A623" s="59"/>
      <c r="B623" s="59"/>
      <c r="C623" s="59"/>
      <c r="D623" s="59"/>
      <c r="E623" s="178"/>
      <c r="F623" s="59"/>
      <c r="G623" s="59"/>
      <c r="H623" s="59"/>
      <c r="I623" s="178"/>
      <c r="J623" s="59"/>
      <c r="K623" s="59"/>
      <c r="L623" s="59"/>
      <c r="M623" s="59"/>
      <c r="N623" s="59"/>
      <c r="O623" s="59"/>
      <c r="P623" s="59"/>
      <c r="Q623" s="59"/>
      <c r="R623" s="59"/>
      <c r="S623" s="59"/>
      <c r="T623" s="59"/>
      <c r="U623" s="59"/>
    </row>
    <row r="624" ht="35.25" customHeight="1">
      <c r="A624" s="59"/>
      <c r="B624" s="59"/>
      <c r="C624" s="59"/>
      <c r="D624" s="59"/>
      <c r="E624" s="178"/>
      <c r="F624" s="59"/>
      <c r="G624" s="59"/>
      <c r="H624" s="59"/>
      <c r="I624" s="178"/>
      <c r="J624" s="59"/>
      <c r="K624" s="59"/>
      <c r="L624" s="59"/>
      <c r="M624" s="59"/>
      <c r="N624" s="59"/>
      <c r="O624" s="59"/>
      <c r="P624" s="59"/>
      <c r="Q624" s="59"/>
      <c r="R624" s="59"/>
      <c r="S624" s="59"/>
      <c r="T624" s="59"/>
      <c r="U624" s="59"/>
    </row>
    <row r="625" ht="35.25" customHeight="1">
      <c r="A625" s="59"/>
      <c r="B625" s="59"/>
      <c r="C625" s="59"/>
      <c r="D625" s="59"/>
      <c r="E625" s="178"/>
      <c r="F625" s="59"/>
      <c r="G625" s="59"/>
      <c r="H625" s="59"/>
      <c r="I625" s="178"/>
      <c r="J625" s="59"/>
      <c r="K625" s="59"/>
      <c r="L625" s="59"/>
      <c r="M625" s="59"/>
      <c r="N625" s="59"/>
      <c r="O625" s="59"/>
      <c r="P625" s="59"/>
      <c r="Q625" s="59"/>
      <c r="R625" s="59"/>
      <c r="S625" s="59"/>
      <c r="T625" s="59"/>
      <c r="U625" s="59"/>
    </row>
    <row r="626" ht="35.25" customHeight="1">
      <c r="A626" s="59"/>
      <c r="B626" s="59"/>
      <c r="C626" s="59"/>
      <c r="D626" s="59"/>
      <c r="E626" s="178"/>
      <c r="F626" s="59"/>
      <c r="G626" s="59"/>
      <c r="H626" s="59"/>
      <c r="I626" s="178"/>
      <c r="J626" s="59"/>
      <c r="K626" s="59"/>
      <c r="L626" s="59"/>
      <c r="M626" s="59"/>
      <c r="N626" s="59"/>
      <c r="O626" s="59"/>
      <c r="P626" s="59"/>
      <c r="Q626" s="59"/>
      <c r="R626" s="59"/>
      <c r="S626" s="59"/>
      <c r="T626" s="59"/>
      <c r="U626" s="59"/>
    </row>
    <row r="627" ht="35.25" customHeight="1">
      <c r="A627" s="59"/>
      <c r="B627" s="59"/>
      <c r="C627" s="59"/>
      <c r="D627" s="59"/>
      <c r="E627" s="178"/>
      <c r="F627" s="59"/>
      <c r="G627" s="59"/>
      <c r="H627" s="59"/>
      <c r="I627" s="178"/>
      <c r="J627" s="59"/>
      <c r="K627" s="59"/>
      <c r="L627" s="59"/>
      <c r="M627" s="59"/>
      <c r="N627" s="59"/>
      <c r="O627" s="59"/>
      <c r="P627" s="59"/>
      <c r="Q627" s="59"/>
      <c r="R627" s="59"/>
      <c r="S627" s="59"/>
      <c r="T627" s="59"/>
      <c r="U627" s="59"/>
    </row>
    <row r="628" ht="35.25" customHeight="1">
      <c r="A628" s="59"/>
      <c r="B628" s="59"/>
      <c r="C628" s="59"/>
      <c r="D628" s="59"/>
      <c r="E628" s="178"/>
      <c r="F628" s="59"/>
      <c r="G628" s="59"/>
      <c r="H628" s="59"/>
      <c r="I628" s="178"/>
      <c r="J628" s="59"/>
      <c r="K628" s="59"/>
      <c r="L628" s="59"/>
      <c r="M628" s="59"/>
      <c r="N628" s="59"/>
      <c r="O628" s="59"/>
      <c r="P628" s="59"/>
      <c r="Q628" s="59"/>
      <c r="R628" s="59"/>
      <c r="S628" s="59"/>
      <c r="T628" s="59"/>
      <c r="U628" s="59"/>
    </row>
    <row r="629" ht="35.25" customHeight="1">
      <c r="A629" s="59"/>
      <c r="B629" s="59"/>
      <c r="C629" s="59"/>
      <c r="D629" s="59"/>
      <c r="E629" s="178"/>
      <c r="F629" s="59"/>
      <c r="G629" s="59"/>
      <c r="H629" s="59"/>
      <c r="I629" s="178"/>
      <c r="J629" s="59"/>
      <c r="K629" s="59"/>
      <c r="L629" s="59"/>
      <c r="M629" s="59"/>
      <c r="N629" s="59"/>
      <c r="O629" s="59"/>
      <c r="P629" s="59"/>
      <c r="Q629" s="59"/>
      <c r="R629" s="59"/>
      <c r="S629" s="59"/>
      <c r="T629" s="59"/>
      <c r="U629" s="59"/>
    </row>
    <row r="630" ht="35.25" customHeight="1">
      <c r="A630" s="59"/>
      <c r="B630" s="59"/>
      <c r="C630" s="59"/>
      <c r="D630" s="59"/>
      <c r="E630" s="178"/>
      <c r="F630" s="59"/>
      <c r="G630" s="59"/>
      <c r="H630" s="59"/>
      <c r="I630" s="178"/>
      <c r="J630" s="59"/>
      <c r="K630" s="59"/>
      <c r="L630" s="59"/>
      <c r="M630" s="59"/>
      <c r="N630" s="59"/>
      <c r="O630" s="59"/>
      <c r="P630" s="59"/>
      <c r="Q630" s="59"/>
      <c r="R630" s="59"/>
      <c r="S630" s="59"/>
      <c r="T630" s="59"/>
      <c r="U630" s="59"/>
    </row>
    <row r="631" ht="35.25" customHeight="1">
      <c r="A631" s="59"/>
      <c r="B631" s="59"/>
      <c r="C631" s="59"/>
      <c r="D631" s="59"/>
      <c r="E631" s="178"/>
      <c r="F631" s="59"/>
      <c r="G631" s="59"/>
      <c r="H631" s="59"/>
      <c r="I631" s="178"/>
      <c r="J631" s="59"/>
      <c r="K631" s="59"/>
      <c r="L631" s="59"/>
      <c r="M631" s="59"/>
      <c r="N631" s="59"/>
      <c r="O631" s="59"/>
      <c r="P631" s="59"/>
      <c r="Q631" s="59"/>
      <c r="R631" s="59"/>
      <c r="S631" s="59"/>
      <c r="T631" s="59"/>
      <c r="U631" s="59"/>
    </row>
    <row r="632" ht="35.25" customHeight="1">
      <c r="A632" s="59"/>
      <c r="B632" s="59"/>
      <c r="C632" s="59"/>
      <c r="D632" s="59"/>
      <c r="E632" s="178"/>
      <c r="F632" s="59"/>
      <c r="G632" s="59"/>
      <c r="H632" s="59"/>
      <c r="I632" s="178"/>
      <c r="J632" s="59"/>
      <c r="K632" s="59"/>
      <c r="L632" s="59"/>
      <c r="M632" s="59"/>
      <c r="N632" s="59"/>
      <c r="O632" s="59"/>
      <c r="P632" s="59"/>
      <c r="Q632" s="59"/>
      <c r="R632" s="59"/>
      <c r="S632" s="59"/>
      <c r="T632" s="59"/>
      <c r="U632" s="59"/>
    </row>
    <row r="633" ht="35.25" customHeight="1">
      <c r="A633" s="59"/>
      <c r="B633" s="59"/>
      <c r="C633" s="59"/>
      <c r="D633" s="59"/>
      <c r="E633" s="178"/>
      <c r="F633" s="59"/>
      <c r="G633" s="59"/>
      <c r="H633" s="59"/>
      <c r="I633" s="178"/>
      <c r="J633" s="59"/>
      <c r="K633" s="59"/>
      <c r="L633" s="59"/>
      <c r="M633" s="59"/>
      <c r="N633" s="59"/>
      <c r="O633" s="59"/>
      <c r="P633" s="59"/>
      <c r="Q633" s="59"/>
      <c r="R633" s="59"/>
      <c r="S633" s="59"/>
      <c r="T633" s="59"/>
      <c r="U633" s="59"/>
    </row>
    <row r="634" ht="35.25" customHeight="1">
      <c r="A634" s="59"/>
      <c r="B634" s="59"/>
      <c r="C634" s="59"/>
      <c r="D634" s="59"/>
      <c r="E634" s="178"/>
      <c r="F634" s="59"/>
      <c r="G634" s="59"/>
      <c r="H634" s="59"/>
      <c r="I634" s="178"/>
      <c r="J634" s="59"/>
      <c r="K634" s="59"/>
      <c r="L634" s="59"/>
      <c r="M634" s="59"/>
      <c r="N634" s="59"/>
      <c r="O634" s="59"/>
      <c r="P634" s="59"/>
      <c r="Q634" s="59"/>
      <c r="R634" s="59"/>
      <c r="S634" s="59"/>
      <c r="T634" s="59"/>
      <c r="U634" s="59"/>
    </row>
    <row r="635" ht="35.25" customHeight="1">
      <c r="A635" s="59"/>
      <c r="B635" s="59"/>
      <c r="C635" s="59"/>
      <c r="D635" s="59"/>
      <c r="E635" s="178"/>
      <c r="F635" s="59"/>
      <c r="G635" s="59"/>
      <c r="H635" s="59"/>
      <c r="I635" s="178"/>
      <c r="J635" s="59"/>
      <c r="K635" s="59"/>
      <c r="L635" s="59"/>
      <c r="M635" s="59"/>
      <c r="N635" s="59"/>
      <c r="O635" s="59"/>
      <c r="P635" s="59"/>
      <c r="Q635" s="59"/>
      <c r="R635" s="59"/>
      <c r="S635" s="59"/>
      <c r="T635" s="59"/>
      <c r="U635" s="59"/>
    </row>
    <row r="636" ht="35.25" customHeight="1">
      <c r="A636" s="59"/>
      <c r="B636" s="59"/>
      <c r="C636" s="59"/>
      <c r="D636" s="59"/>
      <c r="E636" s="178"/>
      <c r="F636" s="59"/>
      <c r="G636" s="59"/>
      <c r="H636" s="59"/>
      <c r="I636" s="178"/>
      <c r="J636" s="59"/>
      <c r="K636" s="59"/>
      <c r="L636" s="59"/>
      <c r="M636" s="59"/>
      <c r="N636" s="59"/>
      <c r="O636" s="59"/>
      <c r="P636" s="59"/>
      <c r="Q636" s="59"/>
      <c r="R636" s="59"/>
      <c r="S636" s="59"/>
      <c r="T636" s="59"/>
      <c r="U636" s="59"/>
    </row>
    <row r="637" ht="35.25" customHeight="1">
      <c r="A637" s="59"/>
      <c r="B637" s="59"/>
      <c r="C637" s="59"/>
      <c r="D637" s="59"/>
      <c r="E637" s="178"/>
      <c r="F637" s="59"/>
      <c r="G637" s="59"/>
      <c r="H637" s="59"/>
      <c r="I637" s="178"/>
      <c r="J637" s="59"/>
      <c r="K637" s="59"/>
      <c r="L637" s="59"/>
      <c r="M637" s="59"/>
      <c r="N637" s="59"/>
      <c r="O637" s="59"/>
      <c r="P637" s="59"/>
      <c r="Q637" s="59"/>
      <c r="R637" s="59"/>
      <c r="S637" s="59"/>
      <c r="T637" s="59"/>
      <c r="U637" s="59"/>
    </row>
    <row r="638" ht="35.25" customHeight="1">
      <c r="A638" s="59"/>
      <c r="B638" s="59"/>
      <c r="C638" s="59"/>
      <c r="D638" s="59"/>
      <c r="E638" s="178"/>
      <c r="F638" s="59"/>
      <c r="G638" s="59"/>
      <c r="H638" s="59"/>
      <c r="I638" s="178"/>
      <c r="J638" s="59"/>
      <c r="K638" s="59"/>
      <c r="L638" s="59"/>
      <c r="M638" s="59"/>
      <c r="N638" s="59"/>
      <c r="O638" s="59"/>
      <c r="P638" s="59"/>
      <c r="Q638" s="59"/>
      <c r="R638" s="59"/>
      <c r="S638" s="59"/>
      <c r="T638" s="59"/>
      <c r="U638" s="59"/>
    </row>
    <row r="639" ht="35.25" customHeight="1">
      <c r="A639" s="59"/>
      <c r="B639" s="59"/>
      <c r="C639" s="59"/>
      <c r="D639" s="59"/>
      <c r="E639" s="178"/>
      <c r="F639" s="59"/>
      <c r="G639" s="59"/>
      <c r="H639" s="59"/>
      <c r="I639" s="178"/>
      <c r="J639" s="59"/>
      <c r="K639" s="59"/>
      <c r="L639" s="59"/>
      <c r="M639" s="59"/>
      <c r="N639" s="59"/>
      <c r="O639" s="59"/>
      <c r="P639" s="59"/>
      <c r="Q639" s="59"/>
      <c r="R639" s="59"/>
      <c r="S639" s="59"/>
      <c r="T639" s="59"/>
      <c r="U639" s="59"/>
    </row>
    <row r="640" ht="35.25" customHeight="1">
      <c r="A640" s="59"/>
      <c r="B640" s="59"/>
      <c r="C640" s="59"/>
      <c r="D640" s="59"/>
      <c r="E640" s="178"/>
      <c r="F640" s="59"/>
      <c r="G640" s="59"/>
      <c r="H640" s="59"/>
      <c r="I640" s="178"/>
      <c r="J640" s="59"/>
      <c r="K640" s="59"/>
      <c r="L640" s="59"/>
      <c r="M640" s="59"/>
      <c r="N640" s="59"/>
      <c r="O640" s="59"/>
      <c r="P640" s="59"/>
      <c r="Q640" s="59"/>
      <c r="R640" s="59"/>
      <c r="S640" s="59"/>
      <c r="T640" s="59"/>
      <c r="U640" s="59"/>
    </row>
    <row r="641" ht="35.25" customHeight="1">
      <c r="A641" s="59"/>
      <c r="B641" s="59"/>
      <c r="C641" s="59"/>
      <c r="D641" s="59"/>
      <c r="E641" s="178"/>
      <c r="F641" s="59"/>
      <c r="G641" s="59"/>
      <c r="H641" s="59"/>
      <c r="I641" s="178"/>
      <c r="J641" s="59"/>
      <c r="K641" s="59"/>
      <c r="L641" s="59"/>
      <c r="M641" s="59"/>
      <c r="N641" s="59"/>
      <c r="O641" s="59"/>
      <c r="P641" s="59"/>
      <c r="Q641" s="59"/>
      <c r="R641" s="59"/>
      <c r="S641" s="59"/>
      <c r="T641" s="59"/>
      <c r="U641" s="59"/>
    </row>
    <row r="642" ht="35.25" customHeight="1">
      <c r="A642" s="59"/>
      <c r="B642" s="59"/>
      <c r="C642" s="59"/>
      <c r="D642" s="59"/>
      <c r="E642" s="178"/>
      <c r="F642" s="59"/>
      <c r="G642" s="59"/>
      <c r="H642" s="59"/>
      <c r="I642" s="178"/>
      <c r="J642" s="59"/>
      <c r="K642" s="59"/>
      <c r="L642" s="59"/>
      <c r="M642" s="59"/>
      <c r="N642" s="59"/>
      <c r="O642" s="59"/>
      <c r="P642" s="59"/>
      <c r="Q642" s="59"/>
      <c r="R642" s="59"/>
      <c r="S642" s="59"/>
      <c r="T642" s="59"/>
      <c r="U642" s="59"/>
    </row>
    <row r="643" ht="35.25" customHeight="1">
      <c r="A643" s="59"/>
      <c r="B643" s="59"/>
      <c r="C643" s="59"/>
      <c r="D643" s="59"/>
      <c r="E643" s="178"/>
      <c r="F643" s="59"/>
      <c r="G643" s="59"/>
      <c r="H643" s="59"/>
      <c r="I643" s="178"/>
      <c r="J643" s="59"/>
      <c r="K643" s="59"/>
      <c r="L643" s="59"/>
      <c r="M643" s="59"/>
      <c r="N643" s="59"/>
      <c r="O643" s="59"/>
      <c r="P643" s="59"/>
      <c r="Q643" s="59"/>
      <c r="R643" s="59"/>
      <c r="S643" s="59"/>
      <c r="T643" s="59"/>
      <c r="U643" s="59"/>
    </row>
    <row r="644" ht="35.25" customHeight="1">
      <c r="A644" s="59"/>
      <c r="B644" s="59"/>
      <c r="C644" s="59"/>
      <c r="D644" s="59"/>
      <c r="E644" s="178"/>
      <c r="F644" s="59"/>
      <c r="G644" s="59"/>
      <c r="H644" s="59"/>
      <c r="I644" s="178"/>
      <c r="J644" s="59"/>
      <c r="K644" s="59"/>
      <c r="L644" s="59"/>
      <c r="M644" s="59"/>
      <c r="N644" s="59"/>
      <c r="O644" s="59"/>
      <c r="P644" s="59"/>
      <c r="Q644" s="59"/>
      <c r="R644" s="59"/>
      <c r="S644" s="59"/>
      <c r="T644" s="59"/>
      <c r="U644" s="59"/>
    </row>
    <row r="645" ht="35.25" customHeight="1">
      <c r="A645" s="59"/>
      <c r="B645" s="59"/>
      <c r="C645" s="59"/>
      <c r="D645" s="59"/>
      <c r="E645" s="178"/>
      <c r="F645" s="59"/>
      <c r="G645" s="59"/>
      <c r="H645" s="59"/>
      <c r="I645" s="178"/>
      <c r="J645" s="59"/>
      <c r="K645" s="59"/>
      <c r="L645" s="59"/>
      <c r="M645" s="59"/>
      <c r="N645" s="59"/>
      <c r="O645" s="59"/>
      <c r="P645" s="59"/>
      <c r="Q645" s="59"/>
      <c r="R645" s="59"/>
      <c r="S645" s="59"/>
      <c r="T645" s="59"/>
      <c r="U645" s="59"/>
    </row>
    <row r="646" ht="35.25" customHeight="1">
      <c r="A646" s="59"/>
      <c r="B646" s="59"/>
      <c r="C646" s="59"/>
      <c r="D646" s="59"/>
      <c r="E646" s="178"/>
      <c r="F646" s="59"/>
      <c r="G646" s="59"/>
      <c r="H646" s="59"/>
      <c r="I646" s="178"/>
      <c r="J646" s="59"/>
      <c r="K646" s="59"/>
      <c r="L646" s="59"/>
      <c r="M646" s="59"/>
      <c r="N646" s="59"/>
      <c r="O646" s="59"/>
      <c r="P646" s="59"/>
      <c r="Q646" s="59"/>
      <c r="R646" s="59"/>
      <c r="S646" s="59"/>
      <c r="T646" s="59"/>
      <c r="U646" s="59"/>
    </row>
    <row r="647" ht="35.25" customHeight="1">
      <c r="A647" s="59"/>
      <c r="B647" s="59"/>
      <c r="C647" s="59"/>
      <c r="D647" s="59"/>
      <c r="E647" s="178"/>
      <c r="F647" s="59"/>
      <c r="G647" s="59"/>
      <c r="H647" s="59"/>
      <c r="I647" s="178"/>
      <c r="J647" s="59"/>
      <c r="K647" s="59"/>
      <c r="L647" s="59"/>
      <c r="M647" s="59"/>
      <c r="N647" s="59"/>
      <c r="O647" s="59"/>
      <c r="P647" s="59"/>
      <c r="Q647" s="59"/>
      <c r="R647" s="59"/>
      <c r="S647" s="59"/>
      <c r="T647" s="59"/>
      <c r="U647" s="59"/>
    </row>
    <row r="648" ht="35.25" customHeight="1">
      <c r="A648" s="59"/>
      <c r="B648" s="59"/>
      <c r="C648" s="59"/>
      <c r="D648" s="59"/>
      <c r="E648" s="178"/>
      <c r="F648" s="59"/>
      <c r="G648" s="59"/>
      <c r="H648" s="59"/>
      <c r="I648" s="178"/>
      <c r="J648" s="59"/>
      <c r="K648" s="59"/>
      <c r="L648" s="59"/>
      <c r="M648" s="59"/>
      <c r="N648" s="59"/>
      <c r="O648" s="59"/>
      <c r="P648" s="59"/>
      <c r="Q648" s="59"/>
      <c r="R648" s="59"/>
      <c r="S648" s="59"/>
      <c r="T648" s="59"/>
      <c r="U648" s="59"/>
    </row>
    <row r="649" ht="35.25" customHeight="1">
      <c r="A649" s="59"/>
      <c r="B649" s="59"/>
      <c r="C649" s="59"/>
      <c r="D649" s="59"/>
      <c r="E649" s="178"/>
      <c r="F649" s="59"/>
      <c r="G649" s="59"/>
      <c r="H649" s="59"/>
      <c r="I649" s="178"/>
      <c r="J649" s="59"/>
      <c r="K649" s="59"/>
      <c r="L649" s="59"/>
      <c r="M649" s="59"/>
      <c r="N649" s="59"/>
      <c r="O649" s="59"/>
      <c r="P649" s="59"/>
      <c r="Q649" s="59"/>
      <c r="R649" s="59"/>
      <c r="S649" s="59"/>
      <c r="T649" s="59"/>
      <c r="U649" s="59"/>
    </row>
    <row r="650" ht="35.25" customHeight="1">
      <c r="A650" s="59"/>
      <c r="B650" s="59"/>
      <c r="C650" s="59"/>
      <c r="D650" s="59"/>
      <c r="E650" s="178"/>
      <c r="F650" s="59"/>
      <c r="G650" s="59"/>
      <c r="H650" s="59"/>
      <c r="I650" s="178"/>
      <c r="J650" s="59"/>
      <c r="K650" s="59"/>
      <c r="L650" s="59"/>
      <c r="M650" s="59"/>
      <c r="N650" s="59"/>
      <c r="O650" s="59"/>
      <c r="P650" s="59"/>
      <c r="Q650" s="59"/>
      <c r="R650" s="59"/>
      <c r="S650" s="59"/>
      <c r="T650" s="59"/>
      <c r="U650" s="59"/>
    </row>
    <row r="651" ht="35.25" customHeight="1">
      <c r="A651" s="59"/>
      <c r="B651" s="59"/>
      <c r="C651" s="59"/>
      <c r="D651" s="59"/>
      <c r="E651" s="178"/>
      <c r="F651" s="59"/>
      <c r="G651" s="59"/>
      <c r="H651" s="59"/>
      <c r="I651" s="178"/>
      <c r="J651" s="59"/>
      <c r="K651" s="59"/>
      <c r="L651" s="59"/>
      <c r="M651" s="59"/>
      <c r="N651" s="59"/>
      <c r="O651" s="59"/>
      <c r="P651" s="59"/>
      <c r="Q651" s="59"/>
      <c r="R651" s="59"/>
      <c r="S651" s="59"/>
      <c r="T651" s="59"/>
      <c r="U651" s="59"/>
    </row>
    <row r="652" ht="35.25" customHeight="1">
      <c r="A652" s="59"/>
      <c r="B652" s="59"/>
      <c r="C652" s="59"/>
      <c r="D652" s="59"/>
      <c r="E652" s="178"/>
      <c r="F652" s="59"/>
      <c r="G652" s="59"/>
      <c r="H652" s="59"/>
      <c r="I652" s="178"/>
      <c r="J652" s="59"/>
      <c r="K652" s="59"/>
      <c r="L652" s="59"/>
      <c r="M652" s="59"/>
      <c r="N652" s="59"/>
      <c r="O652" s="59"/>
      <c r="P652" s="59"/>
      <c r="Q652" s="59"/>
      <c r="R652" s="59"/>
      <c r="S652" s="59"/>
      <c r="T652" s="59"/>
      <c r="U652" s="59"/>
    </row>
    <row r="653" ht="35.25" customHeight="1">
      <c r="A653" s="59"/>
      <c r="B653" s="59"/>
      <c r="C653" s="59"/>
      <c r="D653" s="59"/>
      <c r="E653" s="178"/>
      <c r="F653" s="59"/>
      <c r="G653" s="59"/>
      <c r="H653" s="59"/>
      <c r="I653" s="178"/>
      <c r="J653" s="59"/>
      <c r="K653" s="59"/>
      <c r="L653" s="59"/>
      <c r="M653" s="59"/>
      <c r="N653" s="59"/>
      <c r="O653" s="59"/>
      <c r="P653" s="59"/>
      <c r="Q653" s="59"/>
      <c r="R653" s="59"/>
      <c r="S653" s="59"/>
      <c r="T653" s="59"/>
      <c r="U653" s="59"/>
    </row>
    <row r="654" ht="35.25" customHeight="1">
      <c r="A654" s="59"/>
      <c r="B654" s="59"/>
      <c r="C654" s="59"/>
      <c r="D654" s="59"/>
      <c r="E654" s="178"/>
      <c r="F654" s="59"/>
      <c r="G654" s="59"/>
      <c r="H654" s="59"/>
      <c r="I654" s="178"/>
      <c r="J654" s="59"/>
      <c r="K654" s="59"/>
      <c r="L654" s="59"/>
      <c r="M654" s="59"/>
      <c r="N654" s="59"/>
      <c r="O654" s="59"/>
      <c r="P654" s="59"/>
      <c r="Q654" s="59"/>
      <c r="R654" s="59"/>
      <c r="S654" s="59"/>
      <c r="T654" s="59"/>
      <c r="U654" s="59"/>
    </row>
    <row r="655" ht="35.25" customHeight="1">
      <c r="A655" s="59"/>
      <c r="B655" s="59"/>
      <c r="C655" s="59"/>
      <c r="D655" s="59"/>
      <c r="E655" s="178"/>
      <c r="F655" s="59"/>
      <c r="G655" s="59"/>
      <c r="H655" s="59"/>
      <c r="I655" s="178"/>
      <c r="J655" s="59"/>
      <c r="K655" s="59"/>
      <c r="L655" s="59"/>
      <c r="M655" s="59"/>
      <c r="N655" s="59"/>
      <c r="O655" s="59"/>
      <c r="P655" s="59"/>
      <c r="Q655" s="59"/>
      <c r="R655" s="59"/>
      <c r="S655" s="59"/>
      <c r="T655" s="59"/>
      <c r="U655" s="59"/>
    </row>
    <row r="656" ht="35.25" customHeight="1">
      <c r="A656" s="59"/>
      <c r="B656" s="59"/>
      <c r="C656" s="59"/>
      <c r="D656" s="59"/>
      <c r="E656" s="178"/>
      <c r="F656" s="59"/>
      <c r="G656" s="59"/>
      <c r="H656" s="59"/>
      <c r="I656" s="178"/>
      <c r="J656" s="59"/>
      <c r="K656" s="59"/>
      <c r="L656" s="59"/>
      <c r="M656" s="59"/>
      <c r="N656" s="59"/>
      <c r="O656" s="59"/>
      <c r="P656" s="59"/>
      <c r="Q656" s="59"/>
      <c r="R656" s="59"/>
      <c r="S656" s="59"/>
      <c r="T656" s="59"/>
      <c r="U656" s="59"/>
    </row>
    <row r="657" ht="35.25" customHeight="1">
      <c r="A657" s="59"/>
      <c r="B657" s="59"/>
      <c r="C657" s="59"/>
      <c r="D657" s="59"/>
      <c r="E657" s="178"/>
      <c r="F657" s="59"/>
      <c r="G657" s="59"/>
      <c r="H657" s="59"/>
      <c r="I657" s="178"/>
      <c r="J657" s="59"/>
      <c r="K657" s="59"/>
      <c r="L657" s="59"/>
      <c r="M657" s="59"/>
      <c r="N657" s="59"/>
      <c r="O657" s="59"/>
      <c r="P657" s="59"/>
      <c r="Q657" s="59"/>
      <c r="R657" s="59"/>
      <c r="S657" s="59"/>
      <c r="T657" s="59"/>
      <c r="U657" s="59"/>
    </row>
    <row r="658" ht="35.25" customHeight="1">
      <c r="A658" s="59"/>
      <c r="B658" s="59"/>
      <c r="C658" s="59"/>
      <c r="D658" s="59"/>
      <c r="E658" s="178"/>
      <c r="F658" s="59"/>
      <c r="G658" s="59"/>
      <c r="H658" s="59"/>
      <c r="I658" s="178"/>
      <c r="J658" s="59"/>
      <c r="K658" s="59"/>
      <c r="L658" s="59"/>
      <c r="M658" s="59"/>
      <c r="N658" s="59"/>
      <c r="O658" s="59"/>
      <c r="P658" s="59"/>
      <c r="Q658" s="59"/>
      <c r="R658" s="59"/>
      <c r="S658" s="59"/>
      <c r="T658" s="59"/>
      <c r="U658" s="59"/>
    </row>
    <row r="659" ht="35.25" customHeight="1">
      <c r="A659" s="59"/>
      <c r="B659" s="59"/>
      <c r="C659" s="59"/>
      <c r="D659" s="59"/>
      <c r="E659" s="178"/>
      <c r="F659" s="59"/>
      <c r="G659" s="59"/>
      <c r="H659" s="59"/>
      <c r="I659" s="178"/>
      <c r="J659" s="59"/>
      <c r="K659" s="59"/>
      <c r="L659" s="59"/>
      <c r="M659" s="59"/>
      <c r="N659" s="59"/>
      <c r="O659" s="59"/>
      <c r="P659" s="59"/>
      <c r="Q659" s="59"/>
      <c r="R659" s="59"/>
      <c r="S659" s="59"/>
      <c r="T659" s="59"/>
      <c r="U659" s="59"/>
    </row>
    <row r="660" ht="35.25" customHeight="1">
      <c r="A660" s="59"/>
      <c r="B660" s="59"/>
      <c r="C660" s="59"/>
      <c r="D660" s="59"/>
      <c r="E660" s="178"/>
      <c r="F660" s="59"/>
      <c r="G660" s="59"/>
      <c r="H660" s="59"/>
      <c r="I660" s="178"/>
      <c r="J660" s="59"/>
      <c r="K660" s="59"/>
      <c r="L660" s="59"/>
      <c r="M660" s="59"/>
      <c r="N660" s="59"/>
      <c r="O660" s="59"/>
      <c r="P660" s="59"/>
      <c r="Q660" s="59"/>
      <c r="R660" s="59"/>
      <c r="S660" s="59"/>
      <c r="T660" s="59"/>
      <c r="U660" s="59"/>
    </row>
    <row r="661" ht="35.25" customHeight="1">
      <c r="A661" s="59"/>
      <c r="B661" s="59"/>
      <c r="C661" s="59"/>
      <c r="D661" s="59"/>
      <c r="E661" s="178"/>
      <c r="F661" s="59"/>
      <c r="G661" s="59"/>
      <c r="H661" s="59"/>
      <c r="I661" s="178"/>
      <c r="J661" s="59"/>
      <c r="K661" s="59"/>
      <c r="L661" s="59"/>
      <c r="M661" s="59"/>
      <c r="N661" s="59"/>
      <c r="O661" s="59"/>
      <c r="P661" s="59"/>
      <c r="Q661" s="59"/>
      <c r="R661" s="59"/>
      <c r="S661" s="59"/>
      <c r="T661" s="59"/>
      <c r="U661" s="59"/>
    </row>
    <row r="662" ht="35.25" customHeight="1">
      <c r="A662" s="59"/>
      <c r="B662" s="59"/>
      <c r="C662" s="59"/>
      <c r="D662" s="59"/>
      <c r="E662" s="178"/>
      <c r="F662" s="59"/>
      <c r="G662" s="59"/>
      <c r="H662" s="59"/>
      <c r="I662" s="178"/>
      <c r="J662" s="59"/>
      <c r="K662" s="59"/>
      <c r="L662" s="59"/>
      <c r="M662" s="59"/>
      <c r="N662" s="59"/>
      <c r="O662" s="59"/>
      <c r="P662" s="59"/>
      <c r="Q662" s="59"/>
      <c r="R662" s="59"/>
      <c r="S662" s="59"/>
      <c r="T662" s="59"/>
      <c r="U662" s="59"/>
    </row>
    <row r="663" ht="35.25" customHeight="1">
      <c r="A663" s="59"/>
      <c r="B663" s="59"/>
      <c r="C663" s="59"/>
      <c r="D663" s="59"/>
      <c r="E663" s="178"/>
      <c r="F663" s="59"/>
      <c r="G663" s="59"/>
      <c r="H663" s="59"/>
      <c r="I663" s="178"/>
      <c r="J663" s="59"/>
      <c r="K663" s="59"/>
      <c r="L663" s="59"/>
      <c r="M663" s="59"/>
      <c r="N663" s="59"/>
      <c r="O663" s="59"/>
      <c r="P663" s="59"/>
      <c r="Q663" s="59"/>
      <c r="R663" s="59"/>
      <c r="S663" s="59"/>
      <c r="T663" s="59"/>
      <c r="U663" s="59"/>
    </row>
    <row r="664" ht="35.25" customHeight="1">
      <c r="A664" s="59"/>
      <c r="B664" s="59"/>
      <c r="C664" s="59"/>
      <c r="D664" s="59"/>
      <c r="E664" s="178"/>
      <c r="F664" s="59"/>
      <c r="G664" s="59"/>
      <c r="H664" s="59"/>
      <c r="I664" s="178"/>
      <c r="J664" s="59"/>
      <c r="K664" s="59"/>
      <c r="L664" s="59"/>
      <c r="M664" s="59"/>
      <c r="N664" s="59"/>
      <c r="O664" s="59"/>
      <c r="P664" s="59"/>
      <c r="Q664" s="59"/>
      <c r="R664" s="59"/>
      <c r="S664" s="59"/>
      <c r="T664" s="59"/>
      <c r="U664" s="59"/>
    </row>
    <row r="665" ht="35.25" customHeight="1">
      <c r="A665" s="59"/>
      <c r="B665" s="59"/>
      <c r="C665" s="59"/>
      <c r="D665" s="59"/>
      <c r="E665" s="178"/>
      <c r="F665" s="59"/>
      <c r="G665" s="59"/>
      <c r="H665" s="59"/>
      <c r="I665" s="178"/>
      <c r="J665" s="59"/>
      <c r="K665" s="59"/>
      <c r="L665" s="59"/>
      <c r="M665" s="59"/>
      <c r="N665" s="59"/>
      <c r="O665" s="59"/>
      <c r="P665" s="59"/>
      <c r="Q665" s="59"/>
      <c r="R665" s="59"/>
      <c r="S665" s="59"/>
      <c r="T665" s="59"/>
      <c r="U665" s="59"/>
    </row>
    <row r="666" ht="35.25" customHeight="1">
      <c r="A666" s="59"/>
      <c r="B666" s="59"/>
      <c r="C666" s="59"/>
      <c r="D666" s="59"/>
      <c r="E666" s="178"/>
      <c r="F666" s="59"/>
      <c r="G666" s="59"/>
      <c r="H666" s="59"/>
      <c r="I666" s="178"/>
      <c r="J666" s="59"/>
      <c r="K666" s="59"/>
      <c r="L666" s="59"/>
      <c r="M666" s="59"/>
      <c r="N666" s="59"/>
      <c r="O666" s="59"/>
      <c r="P666" s="59"/>
      <c r="Q666" s="59"/>
      <c r="R666" s="59"/>
      <c r="S666" s="59"/>
      <c r="T666" s="59"/>
      <c r="U666" s="59"/>
    </row>
    <row r="667" ht="35.25" customHeight="1">
      <c r="A667" s="59"/>
      <c r="B667" s="59"/>
      <c r="C667" s="59"/>
      <c r="D667" s="59"/>
      <c r="E667" s="178"/>
      <c r="F667" s="59"/>
      <c r="G667" s="59"/>
      <c r="H667" s="59"/>
      <c r="I667" s="178"/>
      <c r="J667" s="59"/>
      <c r="K667" s="59"/>
      <c r="L667" s="59"/>
      <c r="M667" s="59"/>
      <c r="N667" s="59"/>
      <c r="O667" s="59"/>
      <c r="P667" s="59"/>
      <c r="Q667" s="59"/>
      <c r="R667" s="59"/>
      <c r="S667" s="59"/>
      <c r="T667" s="59"/>
      <c r="U667" s="59"/>
    </row>
    <row r="668" ht="35.25" customHeight="1">
      <c r="A668" s="59"/>
      <c r="B668" s="59"/>
      <c r="C668" s="59"/>
      <c r="D668" s="59"/>
      <c r="E668" s="178"/>
      <c r="F668" s="59"/>
      <c r="G668" s="59"/>
      <c r="H668" s="59"/>
      <c r="I668" s="178"/>
      <c r="J668" s="59"/>
      <c r="K668" s="59"/>
      <c r="L668" s="59"/>
      <c r="M668" s="59"/>
      <c r="N668" s="59"/>
      <c r="O668" s="59"/>
      <c r="P668" s="59"/>
      <c r="Q668" s="59"/>
      <c r="R668" s="59"/>
      <c r="S668" s="59"/>
      <c r="T668" s="59"/>
      <c r="U668" s="59"/>
    </row>
    <row r="669" ht="35.25" customHeight="1">
      <c r="A669" s="59"/>
      <c r="B669" s="59"/>
      <c r="C669" s="59"/>
      <c r="D669" s="59"/>
      <c r="E669" s="178"/>
      <c r="F669" s="59"/>
      <c r="G669" s="59"/>
      <c r="H669" s="59"/>
      <c r="I669" s="178"/>
      <c r="J669" s="59"/>
      <c r="K669" s="59"/>
      <c r="L669" s="59"/>
      <c r="M669" s="59"/>
      <c r="N669" s="59"/>
      <c r="O669" s="59"/>
      <c r="P669" s="59"/>
      <c r="Q669" s="59"/>
      <c r="R669" s="59"/>
      <c r="S669" s="59"/>
      <c r="T669" s="59"/>
      <c r="U669" s="59"/>
    </row>
    <row r="670" ht="35.25" customHeight="1">
      <c r="A670" s="59"/>
      <c r="B670" s="59"/>
      <c r="C670" s="59"/>
      <c r="D670" s="59"/>
      <c r="E670" s="178"/>
      <c r="F670" s="59"/>
      <c r="G670" s="59"/>
      <c r="H670" s="59"/>
      <c r="I670" s="178"/>
      <c r="J670" s="59"/>
      <c r="K670" s="59"/>
      <c r="L670" s="59"/>
      <c r="M670" s="59"/>
      <c r="N670" s="59"/>
      <c r="O670" s="59"/>
      <c r="P670" s="59"/>
      <c r="Q670" s="59"/>
      <c r="R670" s="59"/>
      <c r="S670" s="59"/>
      <c r="T670" s="59"/>
      <c r="U670" s="59"/>
    </row>
    <row r="671" ht="35.25" customHeight="1">
      <c r="A671" s="59"/>
      <c r="B671" s="59"/>
      <c r="C671" s="59"/>
      <c r="D671" s="59"/>
      <c r="E671" s="178"/>
      <c r="F671" s="59"/>
      <c r="G671" s="59"/>
      <c r="H671" s="59"/>
      <c r="I671" s="178"/>
      <c r="J671" s="59"/>
      <c r="K671" s="59"/>
      <c r="L671" s="59"/>
      <c r="M671" s="59"/>
      <c r="N671" s="59"/>
      <c r="O671" s="59"/>
      <c r="P671" s="59"/>
      <c r="Q671" s="59"/>
      <c r="R671" s="59"/>
      <c r="S671" s="59"/>
      <c r="T671" s="59"/>
      <c r="U671" s="59"/>
    </row>
    <row r="672" ht="35.25" customHeight="1">
      <c r="A672" s="59"/>
      <c r="B672" s="59"/>
      <c r="C672" s="59"/>
      <c r="D672" s="59"/>
      <c r="E672" s="178"/>
      <c r="F672" s="59"/>
      <c r="G672" s="59"/>
      <c r="H672" s="59"/>
      <c r="I672" s="178"/>
      <c r="J672" s="59"/>
      <c r="K672" s="59"/>
      <c r="L672" s="59"/>
      <c r="M672" s="59"/>
      <c r="N672" s="59"/>
      <c r="O672" s="59"/>
      <c r="P672" s="59"/>
      <c r="Q672" s="59"/>
      <c r="R672" s="59"/>
      <c r="S672" s="59"/>
      <c r="T672" s="59"/>
      <c r="U672" s="59"/>
    </row>
    <row r="673" ht="35.25" customHeight="1">
      <c r="A673" s="59"/>
      <c r="B673" s="59"/>
      <c r="C673" s="59"/>
      <c r="D673" s="59"/>
      <c r="E673" s="178"/>
      <c r="F673" s="59"/>
      <c r="G673" s="59"/>
      <c r="H673" s="59"/>
      <c r="I673" s="178"/>
      <c r="J673" s="59"/>
      <c r="K673" s="59"/>
      <c r="L673" s="59"/>
      <c r="M673" s="59"/>
      <c r="N673" s="59"/>
      <c r="O673" s="59"/>
      <c r="P673" s="59"/>
      <c r="Q673" s="59"/>
      <c r="R673" s="59"/>
      <c r="S673" s="59"/>
      <c r="T673" s="59"/>
      <c r="U673" s="59"/>
    </row>
    <row r="674" ht="35.25" customHeight="1">
      <c r="A674" s="59"/>
      <c r="B674" s="59"/>
      <c r="C674" s="59"/>
      <c r="D674" s="59"/>
      <c r="E674" s="178"/>
      <c r="F674" s="59"/>
      <c r="G674" s="59"/>
      <c r="H674" s="59"/>
      <c r="I674" s="178"/>
      <c r="J674" s="59"/>
      <c r="K674" s="59"/>
      <c r="L674" s="59"/>
      <c r="M674" s="59"/>
      <c r="N674" s="59"/>
      <c r="O674" s="59"/>
      <c r="P674" s="59"/>
      <c r="Q674" s="59"/>
      <c r="R674" s="59"/>
      <c r="S674" s="59"/>
      <c r="T674" s="59"/>
      <c r="U674" s="59"/>
    </row>
    <row r="675" ht="35.25" customHeight="1">
      <c r="A675" s="59"/>
      <c r="B675" s="59"/>
      <c r="C675" s="59"/>
      <c r="D675" s="59"/>
      <c r="E675" s="178"/>
      <c r="F675" s="59"/>
      <c r="G675" s="59"/>
      <c r="H675" s="59"/>
      <c r="I675" s="178"/>
      <c r="J675" s="59"/>
      <c r="K675" s="59"/>
      <c r="L675" s="59"/>
      <c r="M675" s="59"/>
      <c r="N675" s="59"/>
      <c r="O675" s="59"/>
      <c r="P675" s="59"/>
      <c r="Q675" s="59"/>
      <c r="R675" s="59"/>
      <c r="S675" s="59"/>
      <c r="T675" s="59"/>
      <c r="U675" s="59"/>
    </row>
    <row r="676" ht="35.25" customHeight="1">
      <c r="A676" s="59"/>
      <c r="B676" s="59"/>
      <c r="C676" s="59"/>
      <c r="D676" s="59"/>
      <c r="E676" s="178"/>
      <c r="F676" s="59"/>
      <c r="G676" s="59"/>
      <c r="H676" s="59"/>
      <c r="I676" s="178"/>
      <c r="J676" s="59"/>
      <c r="K676" s="59"/>
      <c r="L676" s="59"/>
      <c r="M676" s="59"/>
      <c r="N676" s="59"/>
      <c r="O676" s="59"/>
      <c r="P676" s="59"/>
      <c r="Q676" s="59"/>
      <c r="R676" s="59"/>
      <c r="S676" s="59"/>
      <c r="T676" s="59"/>
      <c r="U676" s="59"/>
    </row>
    <row r="677" ht="35.25" customHeight="1">
      <c r="A677" s="59"/>
      <c r="B677" s="59"/>
      <c r="C677" s="59"/>
      <c r="D677" s="59"/>
      <c r="E677" s="178"/>
      <c r="F677" s="59"/>
      <c r="G677" s="59"/>
      <c r="H677" s="59"/>
      <c r="I677" s="178"/>
      <c r="J677" s="59"/>
      <c r="K677" s="59"/>
      <c r="L677" s="59"/>
      <c r="M677" s="59"/>
      <c r="N677" s="59"/>
      <c r="O677" s="59"/>
      <c r="P677" s="59"/>
      <c r="Q677" s="59"/>
      <c r="R677" s="59"/>
      <c r="S677" s="59"/>
      <c r="T677" s="59"/>
      <c r="U677" s="59"/>
    </row>
    <row r="678" ht="35.25" customHeight="1">
      <c r="A678" s="59"/>
      <c r="B678" s="59"/>
      <c r="C678" s="59"/>
      <c r="D678" s="59"/>
      <c r="E678" s="178"/>
      <c r="F678" s="59"/>
      <c r="G678" s="59"/>
      <c r="H678" s="59"/>
      <c r="I678" s="178"/>
      <c r="J678" s="59"/>
      <c r="K678" s="59"/>
      <c r="L678" s="59"/>
      <c r="M678" s="59"/>
      <c r="N678" s="59"/>
      <c r="O678" s="59"/>
      <c r="P678" s="59"/>
      <c r="Q678" s="59"/>
      <c r="R678" s="59"/>
      <c r="S678" s="59"/>
      <c r="T678" s="59"/>
      <c r="U678" s="59"/>
    </row>
    <row r="679" ht="35.25" customHeight="1">
      <c r="A679" s="59"/>
      <c r="B679" s="59"/>
      <c r="C679" s="59"/>
      <c r="D679" s="59"/>
      <c r="E679" s="178"/>
      <c r="F679" s="59"/>
      <c r="G679" s="59"/>
      <c r="H679" s="59"/>
      <c r="I679" s="178"/>
      <c r="J679" s="59"/>
      <c r="K679" s="59"/>
      <c r="L679" s="59"/>
      <c r="M679" s="59"/>
      <c r="N679" s="59"/>
      <c r="O679" s="59"/>
      <c r="P679" s="59"/>
      <c r="Q679" s="59"/>
      <c r="R679" s="59"/>
      <c r="S679" s="59"/>
      <c r="T679" s="59"/>
      <c r="U679" s="59"/>
    </row>
    <row r="680" ht="35.25" customHeight="1">
      <c r="A680" s="59"/>
      <c r="B680" s="59"/>
      <c r="C680" s="59"/>
      <c r="D680" s="59"/>
      <c r="E680" s="178"/>
      <c r="F680" s="59"/>
      <c r="G680" s="59"/>
      <c r="H680" s="59"/>
      <c r="I680" s="178"/>
      <c r="J680" s="59"/>
      <c r="K680" s="59"/>
      <c r="L680" s="59"/>
      <c r="M680" s="59"/>
      <c r="N680" s="59"/>
      <c r="O680" s="59"/>
      <c r="P680" s="59"/>
      <c r="Q680" s="59"/>
      <c r="R680" s="59"/>
      <c r="S680" s="59"/>
      <c r="T680" s="59"/>
      <c r="U680" s="59"/>
    </row>
    <row r="681" ht="35.25" customHeight="1">
      <c r="A681" s="59"/>
      <c r="B681" s="59"/>
      <c r="C681" s="59"/>
      <c r="D681" s="59"/>
      <c r="E681" s="178"/>
      <c r="F681" s="59"/>
      <c r="G681" s="59"/>
      <c r="H681" s="59"/>
      <c r="I681" s="178"/>
      <c r="J681" s="59"/>
      <c r="K681" s="59"/>
      <c r="L681" s="59"/>
      <c r="M681" s="59"/>
      <c r="N681" s="59"/>
      <c r="O681" s="59"/>
      <c r="P681" s="59"/>
      <c r="Q681" s="59"/>
      <c r="R681" s="59"/>
      <c r="S681" s="59"/>
      <c r="T681" s="59"/>
      <c r="U681" s="59"/>
    </row>
    <row r="682" ht="35.25" customHeight="1">
      <c r="A682" s="59"/>
      <c r="B682" s="59"/>
      <c r="C682" s="59"/>
      <c r="D682" s="59"/>
      <c r="E682" s="178"/>
      <c r="F682" s="59"/>
      <c r="G682" s="59"/>
      <c r="H682" s="59"/>
      <c r="I682" s="178"/>
      <c r="J682" s="59"/>
      <c r="K682" s="59"/>
      <c r="L682" s="59"/>
      <c r="M682" s="59"/>
      <c r="N682" s="59"/>
      <c r="O682" s="59"/>
      <c r="P682" s="59"/>
      <c r="Q682" s="59"/>
      <c r="R682" s="59"/>
      <c r="S682" s="59"/>
      <c r="T682" s="59"/>
      <c r="U682" s="59"/>
    </row>
    <row r="683" ht="35.25" customHeight="1">
      <c r="A683" s="59"/>
      <c r="B683" s="59"/>
      <c r="C683" s="59"/>
      <c r="D683" s="59"/>
      <c r="E683" s="178"/>
      <c r="F683" s="59"/>
      <c r="G683" s="59"/>
      <c r="H683" s="59"/>
      <c r="I683" s="178"/>
      <c r="J683" s="59"/>
      <c r="K683" s="59"/>
      <c r="L683" s="59"/>
      <c r="M683" s="59"/>
      <c r="N683" s="59"/>
      <c r="O683" s="59"/>
      <c r="P683" s="59"/>
      <c r="Q683" s="59"/>
      <c r="R683" s="59"/>
      <c r="S683" s="59"/>
      <c r="T683" s="59"/>
      <c r="U683" s="59"/>
    </row>
    <row r="684" ht="35.25" customHeight="1">
      <c r="A684" s="59"/>
      <c r="B684" s="59"/>
      <c r="C684" s="59"/>
      <c r="D684" s="59"/>
      <c r="E684" s="178"/>
      <c r="F684" s="59"/>
      <c r="G684" s="59"/>
      <c r="H684" s="59"/>
      <c r="I684" s="178"/>
      <c r="J684" s="59"/>
      <c r="K684" s="59"/>
      <c r="L684" s="59"/>
      <c r="M684" s="59"/>
      <c r="N684" s="59"/>
      <c r="O684" s="59"/>
      <c r="P684" s="59"/>
      <c r="Q684" s="59"/>
      <c r="R684" s="59"/>
      <c r="S684" s="59"/>
      <c r="T684" s="59"/>
      <c r="U684" s="59"/>
    </row>
    <row r="685" ht="35.25" customHeight="1">
      <c r="A685" s="59"/>
      <c r="B685" s="59"/>
      <c r="C685" s="59"/>
      <c r="D685" s="59"/>
      <c r="E685" s="178"/>
      <c r="F685" s="59"/>
      <c r="G685" s="59"/>
      <c r="H685" s="59"/>
      <c r="I685" s="178"/>
      <c r="J685" s="59"/>
      <c r="K685" s="59"/>
      <c r="L685" s="59"/>
      <c r="M685" s="59"/>
      <c r="N685" s="59"/>
      <c r="O685" s="59"/>
      <c r="P685" s="59"/>
      <c r="Q685" s="59"/>
      <c r="R685" s="59"/>
      <c r="S685" s="59"/>
      <c r="T685" s="59"/>
      <c r="U685" s="59"/>
    </row>
    <row r="686" ht="35.25" customHeight="1">
      <c r="A686" s="59"/>
      <c r="B686" s="59"/>
      <c r="C686" s="59"/>
      <c r="D686" s="59"/>
      <c r="E686" s="178"/>
      <c r="F686" s="59"/>
      <c r="G686" s="59"/>
      <c r="H686" s="59"/>
      <c r="I686" s="178"/>
      <c r="J686" s="59"/>
      <c r="K686" s="59"/>
      <c r="L686" s="59"/>
      <c r="M686" s="59"/>
      <c r="N686" s="59"/>
      <c r="O686" s="59"/>
      <c r="P686" s="59"/>
      <c r="Q686" s="59"/>
      <c r="R686" s="59"/>
      <c r="S686" s="59"/>
      <c r="T686" s="59"/>
      <c r="U686" s="59"/>
    </row>
    <row r="687" ht="35.25" customHeight="1">
      <c r="A687" s="59"/>
      <c r="B687" s="59"/>
      <c r="C687" s="59"/>
      <c r="D687" s="59"/>
      <c r="E687" s="178"/>
      <c r="F687" s="59"/>
      <c r="G687" s="59"/>
      <c r="H687" s="59"/>
      <c r="I687" s="178"/>
      <c r="J687" s="59"/>
      <c r="K687" s="59"/>
      <c r="L687" s="59"/>
      <c r="M687" s="59"/>
      <c r="N687" s="59"/>
      <c r="O687" s="59"/>
      <c r="P687" s="59"/>
      <c r="Q687" s="59"/>
      <c r="R687" s="59"/>
      <c r="S687" s="59"/>
      <c r="T687" s="59"/>
      <c r="U687" s="59"/>
    </row>
    <row r="688" ht="35.25" customHeight="1">
      <c r="A688" s="59"/>
      <c r="B688" s="59"/>
      <c r="C688" s="59"/>
      <c r="D688" s="59"/>
      <c r="E688" s="178"/>
      <c r="F688" s="59"/>
      <c r="G688" s="59"/>
      <c r="H688" s="59"/>
      <c r="I688" s="178"/>
      <c r="J688" s="59"/>
      <c r="K688" s="59"/>
      <c r="L688" s="59"/>
      <c r="M688" s="59"/>
      <c r="N688" s="59"/>
      <c r="O688" s="59"/>
      <c r="P688" s="59"/>
      <c r="Q688" s="59"/>
      <c r="R688" s="59"/>
      <c r="S688" s="59"/>
      <c r="T688" s="59"/>
      <c r="U688" s="59"/>
    </row>
    <row r="689" ht="35.25" customHeight="1">
      <c r="A689" s="59"/>
      <c r="B689" s="59"/>
      <c r="C689" s="59"/>
      <c r="D689" s="59"/>
      <c r="E689" s="178"/>
      <c r="F689" s="59"/>
      <c r="G689" s="59"/>
      <c r="H689" s="59"/>
      <c r="I689" s="178"/>
      <c r="J689" s="59"/>
      <c r="K689" s="59"/>
      <c r="L689" s="59"/>
      <c r="M689" s="59"/>
      <c r="N689" s="59"/>
      <c r="O689" s="59"/>
      <c r="P689" s="59"/>
      <c r="Q689" s="59"/>
      <c r="R689" s="59"/>
      <c r="S689" s="59"/>
      <c r="T689" s="59"/>
      <c r="U689" s="59"/>
    </row>
    <row r="690" ht="35.25" customHeight="1">
      <c r="A690" s="59"/>
      <c r="B690" s="59"/>
      <c r="C690" s="59"/>
      <c r="D690" s="59"/>
      <c r="E690" s="178"/>
      <c r="F690" s="59"/>
      <c r="G690" s="59"/>
      <c r="H690" s="59"/>
      <c r="I690" s="178"/>
      <c r="J690" s="59"/>
      <c r="K690" s="59"/>
      <c r="L690" s="59"/>
      <c r="M690" s="59"/>
      <c r="N690" s="59"/>
      <c r="O690" s="59"/>
      <c r="P690" s="59"/>
      <c r="Q690" s="59"/>
      <c r="R690" s="59"/>
      <c r="S690" s="59"/>
      <c r="T690" s="59"/>
      <c r="U690" s="59"/>
    </row>
    <row r="691" ht="35.25" customHeight="1">
      <c r="A691" s="59"/>
      <c r="B691" s="59"/>
      <c r="C691" s="59"/>
      <c r="D691" s="59"/>
      <c r="E691" s="178"/>
      <c r="F691" s="59"/>
      <c r="G691" s="59"/>
      <c r="H691" s="59"/>
      <c r="I691" s="178"/>
      <c r="J691" s="59"/>
      <c r="K691" s="59"/>
      <c r="L691" s="59"/>
      <c r="M691" s="59"/>
      <c r="N691" s="59"/>
      <c r="O691" s="59"/>
      <c r="P691" s="59"/>
      <c r="Q691" s="59"/>
      <c r="R691" s="59"/>
      <c r="S691" s="59"/>
      <c r="T691" s="59"/>
      <c r="U691" s="59"/>
    </row>
    <row r="692" ht="35.25" customHeight="1">
      <c r="A692" s="59"/>
      <c r="B692" s="59"/>
      <c r="C692" s="59"/>
      <c r="D692" s="59"/>
      <c r="E692" s="178"/>
      <c r="F692" s="59"/>
      <c r="G692" s="59"/>
      <c r="H692" s="59"/>
      <c r="I692" s="178"/>
      <c r="J692" s="59"/>
      <c r="K692" s="59"/>
      <c r="L692" s="59"/>
      <c r="M692" s="59"/>
      <c r="N692" s="59"/>
      <c r="O692" s="59"/>
      <c r="P692" s="59"/>
      <c r="Q692" s="59"/>
      <c r="R692" s="59"/>
      <c r="S692" s="59"/>
      <c r="T692" s="59"/>
      <c r="U692" s="59"/>
    </row>
    <row r="693" ht="35.25" customHeight="1">
      <c r="A693" s="59"/>
      <c r="B693" s="59"/>
      <c r="C693" s="59"/>
      <c r="D693" s="59"/>
      <c r="E693" s="178"/>
      <c r="F693" s="59"/>
      <c r="G693" s="59"/>
      <c r="H693" s="59"/>
      <c r="I693" s="178"/>
      <c r="J693" s="59"/>
      <c r="K693" s="59"/>
      <c r="L693" s="59"/>
      <c r="M693" s="59"/>
      <c r="N693" s="59"/>
      <c r="O693" s="59"/>
      <c r="P693" s="59"/>
      <c r="Q693" s="59"/>
      <c r="R693" s="59"/>
      <c r="S693" s="59"/>
      <c r="T693" s="59"/>
      <c r="U693" s="59"/>
    </row>
    <row r="694" ht="35.25" customHeight="1">
      <c r="A694" s="59"/>
      <c r="B694" s="59"/>
      <c r="C694" s="59"/>
      <c r="D694" s="59"/>
      <c r="E694" s="178"/>
      <c r="F694" s="59"/>
      <c r="G694" s="59"/>
      <c r="H694" s="59"/>
      <c r="I694" s="178"/>
      <c r="J694" s="59"/>
      <c r="K694" s="59"/>
      <c r="L694" s="59"/>
      <c r="M694" s="59"/>
      <c r="N694" s="59"/>
      <c r="O694" s="59"/>
      <c r="P694" s="59"/>
      <c r="Q694" s="59"/>
      <c r="R694" s="59"/>
      <c r="S694" s="59"/>
      <c r="T694" s="59"/>
      <c r="U694" s="59"/>
    </row>
    <row r="695" ht="35.25" customHeight="1">
      <c r="A695" s="59"/>
      <c r="B695" s="59"/>
      <c r="C695" s="59"/>
      <c r="D695" s="59"/>
      <c r="E695" s="178"/>
      <c r="F695" s="59"/>
      <c r="G695" s="59"/>
      <c r="H695" s="59"/>
      <c r="I695" s="178"/>
      <c r="J695" s="59"/>
      <c r="K695" s="59"/>
      <c r="L695" s="59"/>
      <c r="M695" s="59"/>
      <c r="N695" s="59"/>
      <c r="O695" s="59"/>
      <c r="P695" s="59"/>
      <c r="Q695" s="59"/>
      <c r="R695" s="59"/>
      <c r="S695" s="59"/>
      <c r="T695" s="59"/>
      <c r="U695" s="59"/>
    </row>
    <row r="696" ht="35.25" customHeight="1">
      <c r="A696" s="59"/>
      <c r="B696" s="59"/>
      <c r="C696" s="59"/>
      <c r="D696" s="59"/>
      <c r="E696" s="178"/>
      <c r="F696" s="59"/>
      <c r="G696" s="59"/>
      <c r="H696" s="59"/>
      <c r="I696" s="178"/>
      <c r="J696" s="59"/>
      <c r="K696" s="59"/>
      <c r="L696" s="59"/>
      <c r="M696" s="59"/>
      <c r="N696" s="59"/>
      <c r="O696" s="59"/>
      <c r="P696" s="59"/>
      <c r="Q696" s="59"/>
      <c r="R696" s="59"/>
      <c r="S696" s="59"/>
      <c r="T696" s="59"/>
      <c r="U696" s="59"/>
    </row>
    <row r="697" ht="35.25" customHeight="1">
      <c r="A697" s="59"/>
      <c r="B697" s="59"/>
      <c r="C697" s="59"/>
      <c r="D697" s="59"/>
      <c r="E697" s="178"/>
      <c r="F697" s="59"/>
      <c r="G697" s="59"/>
      <c r="H697" s="59"/>
      <c r="I697" s="178"/>
      <c r="J697" s="59"/>
      <c r="K697" s="59"/>
      <c r="L697" s="59"/>
      <c r="M697" s="59"/>
      <c r="N697" s="59"/>
      <c r="O697" s="59"/>
      <c r="P697" s="59"/>
      <c r="Q697" s="59"/>
      <c r="R697" s="59"/>
      <c r="S697" s="59"/>
      <c r="T697" s="59"/>
      <c r="U697" s="59"/>
    </row>
    <row r="698" ht="35.25" customHeight="1">
      <c r="A698" s="59"/>
      <c r="B698" s="59"/>
      <c r="C698" s="59"/>
      <c r="D698" s="59"/>
      <c r="E698" s="178"/>
      <c r="F698" s="59"/>
      <c r="G698" s="59"/>
      <c r="H698" s="59"/>
      <c r="I698" s="178"/>
      <c r="J698" s="59"/>
      <c r="K698" s="59"/>
      <c r="L698" s="59"/>
      <c r="M698" s="59"/>
      <c r="N698" s="59"/>
      <c r="O698" s="59"/>
      <c r="P698" s="59"/>
      <c r="Q698" s="59"/>
      <c r="R698" s="59"/>
      <c r="S698" s="59"/>
      <c r="T698" s="59"/>
      <c r="U698" s="59"/>
    </row>
    <row r="699" ht="35.25" customHeight="1">
      <c r="A699" s="59"/>
      <c r="B699" s="59"/>
      <c r="C699" s="59"/>
      <c r="D699" s="59"/>
      <c r="E699" s="178"/>
      <c r="F699" s="59"/>
      <c r="G699" s="59"/>
      <c r="H699" s="59"/>
      <c r="I699" s="178"/>
      <c r="J699" s="59"/>
      <c r="K699" s="59"/>
      <c r="L699" s="59"/>
      <c r="M699" s="59"/>
      <c r="N699" s="59"/>
      <c r="O699" s="59"/>
      <c r="P699" s="59"/>
      <c r="Q699" s="59"/>
      <c r="R699" s="59"/>
      <c r="S699" s="59"/>
      <c r="T699" s="59"/>
      <c r="U699" s="59"/>
    </row>
    <row r="700" ht="35.25" customHeight="1">
      <c r="A700" s="59"/>
      <c r="B700" s="59"/>
      <c r="C700" s="59"/>
      <c r="D700" s="59"/>
      <c r="E700" s="178"/>
      <c r="F700" s="59"/>
      <c r="G700" s="59"/>
      <c r="H700" s="59"/>
      <c r="I700" s="178"/>
      <c r="J700" s="59"/>
      <c r="K700" s="59"/>
      <c r="L700" s="59"/>
      <c r="M700" s="59"/>
      <c r="N700" s="59"/>
      <c r="O700" s="59"/>
      <c r="P700" s="59"/>
      <c r="Q700" s="59"/>
      <c r="R700" s="59"/>
      <c r="S700" s="59"/>
      <c r="T700" s="59"/>
      <c r="U700" s="59"/>
    </row>
    <row r="701" ht="35.25" customHeight="1">
      <c r="A701" s="59"/>
      <c r="B701" s="59"/>
      <c r="C701" s="59"/>
      <c r="D701" s="59"/>
      <c r="E701" s="178"/>
      <c r="F701" s="59"/>
      <c r="G701" s="59"/>
      <c r="H701" s="59"/>
      <c r="I701" s="178"/>
      <c r="J701" s="59"/>
      <c r="K701" s="59"/>
      <c r="L701" s="59"/>
      <c r="M701" s="59"/>
      <c r="N701" s="59"/>
      <c r="O701" s="59"/>
      <c r="P701" s="59"/>
      <c r="Q701" s="59"/>
      <c r="R701" s="59"/>
      <c r="S701" s="59"/>
      <c r="T701" s="59"/>
      <c r="U701" s="59"/>
    </row>
    <row r="702" ht="35.25" customHeight="1">
      <c r="A702" s="59"/>
      <c r="B702" s="59"/>
      <c r="C702" s="59"/>
      <c r="D702" s="59"/>
      <c r="E702" s="178"/>
      <c r="F702" s="59"/>
      <c r="G702" s="59"/>
      <c r="H702" s="59"/>
      <c r="I702" s="178"/>
      <c r="J702" s="59"/>
      <c r="K702" s="59"/>
      <c r="L702" s="59"/>
      <c r="M702" s="59"/>
      <c r="N702" s="59"/>
      <c r="O702" s="59"/>
      <c r="P702" s="59"/>
      <c r="Q702" s="59"/>
      <c r="R702" s="59"/>
      <c r="S702" s="59"/>
      <c r="T702" s="59"/>
      <c r="U702" s="59"/>
    </row>
    <row r="703" ht="35.25" customHeight="1">
      <c r="A703" s="59"/>
      <c r="B703" s="59"/>
      <c r="C703" s="59"/>
      <c r="D703" s="59"/>
      <c r="E703" s="178"/>
      <c r="F703" s="59"/>
      <c r="G703" s="59"/>
      <c r="H703" s="59"/>
      <c r="I703" s="178"/>
      <c r="J703" s="59"/>
      <c r="K703" s="59"/>
      <c r="L703" s="59"/>
      <c r="M703" s="59"/>
      <c r="N703" s="59"/>
      <c r="O703" s="59"/>
      <c r="P703" s="59"/>
      <c r="Q703" s="59"/>
      <c r="R703" s="59"/>
      <c r="S703" s="59"/>
      <c r="T703" s="59"/>
      <c r="U703" s="59"/>
    </row>
    <row r="704" ht="35.25" customHeight="1">
      <c r="A704" s="59"/>
      <c r="B704" s="59"/>
      <c r="C704" s="59"/>
      <c r="D704" s="59"/>
      <c r="E704" s="178"/>
      <c r="F704" s="59"/>
      <c r="G704" s="59"/>
      <c r="H704" s="59"/>
      <c r="I704" s="178"/>
      <c r="J704" s="59"/>
      <c r="K704" s="59"/>
      <c r="L704" s="59"/>
      <c r="M704" s="59"/>
      <c r="N704" s="59"/>
      <c r="O704" s="59"/>
      <c r="P704" s="59"/>
      <c r="Q704" s="59"/>
      <c r="R704" s="59"/>
      <c r="S704" s="59"/>
      <c r="T704" s="59"/>
      <c r="U704" s="59"/>
    </row>
    <row r="705" ht="35.25" customHeight="1">
      <c r="A705" s="59"/>
      <c r="B705" s="59"/>
      <c r="C705" s="59"/>
      <c r="D705" s="59"/>
      <c r="E705" s="178"/>
      <c r="F705" s="59"/>
      <c r="G705" s="59"/>
      <c r="H705" s="59"/>
      <c r="I705" s="178"/>
      <c r="J705" s="59"/>
      <c r="K705" s="59"/>
      <c r="L705" s="59"/>
      <c r="M705" s="59"/>
      <c r="N705" s="59"/>
      <c r="O705" s="59"/>
      <c r="P705" s="59"/>
      <c r="Q705" s="59"/>
      <c r="R705" s="59"/>
      <c r="S705" s="59"/>
      <c r="T705" s="59"/>
      <c r="U705" s="59"/>
    </row>
    <row r="706" ht="35.25" customHeight="1">
      <c r="A706" s="59"/>
      <c r="B706" s="59"/>
      <c r="C706" s="59"/>
      <c r="D706" s="59"/>
      <c r="E706" s="178"/>
      <c r="F706" s="59"/>
      <c r="G706" s="59"/>
      <c r="H706" s="59"/>
      <c r="I706" s="178"/>
      <c r="J706" s="59"/>
      <c r="K706" s="59"/>
      <c r="L706" s="59"/>
      <c r="M706" s="59"/>
      <c r="N706" s="59"/>
      <c r="O706" s="59"/>
      <c r="P706" s="59"/>
      <c r="Q706" s="59"/>
      <c r="R706" s="59"/>
      <c r="S706" s="59"/>
      <c r="T706" s="59"/>
      <c r="U706" s="59"/>
    </row>
    <row r="707" ht="35.25" customHeight="1">
      <c r="A707" s="59"/>
      <c r="B707" s="59"/>
      <c r="C707" s="59"/>
      <c r="D707" s="59"/>
      <c r="E707" s="178"/>
      <c r="F707" s="59"/>
      <c r="G707" s="59"/>
      <c r="H707" s="59"/>
      <c r="I707" s="178"/>
      <c r="J707" s="59"/>
      <c r="K707" s="59"/>
      <c r="L707" s="59"/>
      <c r="M707" s="59"/>
      <c r="N707" s="59"/>
      <c r="O707" s="59"/>
      <c r="P707" s="59"/>
      <c r="Q707" s="59"/>
      <c r="R707" s="59"/>
      <c r="S707" s="59"/>
      <c r="T707" s="59"/>
      <c r="U707" s="59"/>
    </row>
    <row r="708" ht="35.25" customHeight="1">
      <c r="A708" s="59"/>
      <c r="B708" s="59"/>
      <c r="C708" s="59"/>
      <c r="D708" s="59"/>
      <c r="E708" s="178"/>
      <c r="F708" s="59"/>
      <c r="G708" s="59"/>
      <c r="H708" s="59"/>
      <c r="I708" s="178"/>
      <c r="J708" s="59"/>
      <c r="K708" s="59"/>
      <c r="L708" s="59"/>
      <c r="M708" s="59"/>
      <c r="N708" s="59"/>
      <c r="O708" s="59"/>
      <c r="P708" s="59"/>
      <c r="Q708" s="59"/>
      <c r="R708" s="59"/>
      <c r="S708" s="59"/>
      <c r="T708" s="59"/>
      <c r="U708" s="59"/>
    </row>
    <row r="709" ht="35.25" customHeight="1">
      <c r="A709" s="59"/>
      <c r="B709" s="59"/>
      <c r="C709" s="59"/>
      <c r="D709" s="59"/>
      <c r="E709" s="178"/>
      <c r="F709" s="59"/>
      <c r="G709" s="59"/>
      <c r="H709" s="59"/>
      <c r="I709" s="178"/>
      <c r="J709" s="59"/>
      <c r="K709" s="59"/>
      <c r="L709" s="59"/>
      <c r="M709" s="59"/>
      <c r="N709" s="59"/>
      <c r="O709" s="59"/>
      <c r="P709" s="59"/>
      <c r="Q709" s="59"/>
      <c r="R709" s="59"/>
      <c r="S709" s="59"/>
      <c r="T709" s="59"/>
      <c r="U709" s="59"/>
    </row>
    <row r="710" ht="35.25" customHeight="1">
      <c r="A710" s="59"/>
      <c r="B710" s="59"/>
      <c r="C710" s="59"/>
      <c r="D710" s="59"/>
      <c r="E710" s="178"/>
      <c r="F710" s="59"/>
      <c r="G710" s="59"/>
      <c r="H710" s="59"/>
      <c r="I710" s="178"/>
      <c r="J710" s="59"/>
      <c r="K710" s="59"/>
      <c r="L710" s="59"/>
      <c r="M710" s="59"/>
      <c r="N710" s="59"/>
      <c r="O710" s="59"/>
      <c r="P710" s="59"/>
      <c r="Q710" s="59"/>
      <c r="R710" s="59"/>
      <c r="S710" s="59"/>
      <c r="T710" s="59"/>
      <c r="U710" s="59"/>
    </row>
    <row r="711" ht="35.25" customHeight="1">
      <c r="A711" s="59"/>
      <c r="B711" s="59"/>
      <c r="C711" s="59"/>
      <c r="D711" s="59"/>
      <c r="E711" s="178"/>
      <c r="F711" s="59"/>
      <c r="G711" s="59"/>
      <c r="H711" s="59"/>
      <c r="I711" s="178"/>
      <c r="J711" s="59"/>
      <c r="K711" s="59"/>
      <c r="L711" s="59"/>
      <c r="M711" s="59"/>
      <c r="N711" s="59"/>
      <c r="O711" s="59"/>
      <c r="P711" s="59"/>
      <c r="Q711" s="59"/>
      <c r="R711" s="59"/>
      <c r="S711" s="59"/>
      <c r="T711" s="59"/>
      <c r="U711" s="59"/>
    </row>
    <row r="712" ht="35.25" customHeight="1">
      <c r="A712" s="59"/>
      <c r="B712" s="59"/>
      <c r="C712" s="59"/>
      <c r="D712" s="59"/>
      <c r="E712" s="178"/>
      <c r="F712" s="59"/>
      <c r="G712" s="59"/>
      <c r="H712" s="59"/>
      <c r="I712" s="178"/>
      <c r="J712" s="59"/>
      <c r="K712" s="59"/>
      <c r="L712" s="59"/>
      <c r="M712" s="59"/>
      <c r="N712" s="59"/>
      <c r="O712" s="59"/>
      <c r="P712" s="59"/>
      <c r="Q712" s="59"/>
      <c r="R712" s="59"/>
      <c r="S712" s="59"/>
      <c r="T712" s="59"/>
      <c r="U712" s="59"/>
    </row>
    <row r="713" ht="35.25" customHeight="1">
      <c r="A713" s="59"/>
      <c r="B713" s="59"/>
      <c r="C713" s="59"/>
      <c r="D713" s="59"/>
      <c r="E713" s="178"/>
      <c r="F713" s="59"/>
      <c r="G713" s="59"/>
      <c r="H713" s="59"/>
      <c r="I713" s="178"/>
      <c r="J713" s="59"/>
      <c r="K713" s="59"/>
      <c r="L713" s="59"/>
      <c r="M713" s="59"/>
      <c r="N713" s="59"/>
      <c r="O713" s="59"/>
      <c r="P713" s="59"/>
      <c r="Q713" s="59"/>
      <c r="R713" s="59"/>
      <c r="S713" s="59"/>
      <c r="T713" s="59"/>
      <c r="U713" s="59"/>
    </row>
    <row r="714" ht="35.25" customHeight="1">
      <c r="A714" s="59"/>
      <c r="B714" s="59"/>
      <c r="C714" s="59"/>
      <c r="D714" s="59"/>
      <c r="E714" s="178"/>
      <c r="F714" s="59"/>
      <c r="G714" s="59"/>
      <c r="H714" s="59"/>
      <c r="I714" s="178"/>
      <c r="J714" s="59"/>
      <c r="K714" s="59"/>
      <c r="L714" s="59"/>
      <c r="M714" s="59"/>
      <c r="N714" s="59"/>
      <c r="O714" s="59"/>
      <c r="P714" s="59"/>
      <c r="Q714" s="59"/>
      <c r="R714" s="59"/>
      <c r="S714" s="59"/>
      <c r="T714" s="59"/>
      <c r="U714" s="59"/>
    </row>
    <row r="715" ht="35.25" customHeight="1">
      <c r="A715" s="59"/>
      <c r="B715" s="59"/>
      <c r="C715" s="59"/>
      <c r="D715" s="59"/>
      <c r="E715" s="178"/>
      <c r="F715" s="59"/>
      <c r="G715" s="59"/>
      <c r="H715" s="59"/>
      <c r="I715" s="178"/>
      <c r="J715" s="59"/>
      <c r="K715" s="59"/>
      <c r="L715" s="59"/>
      <c r="M715" s="59"/>
      <c r="N715" s="59"/>
      <c r="O715" s="59"/>
      <c r="P715" s="59"/>
      <c r="Q715" s="59"/>
      <c r="R715" s="59"/>
      <c r="S715" s="59"/>
      <c r="T715" s="59"/>
      <c r="U715" s="59"/>
    </row>
    <row r="716" ht="35.25" customHeight="1">
      <c r="A716" s="59"/>
      <c r="B716" s="59"/>
      <c r="C716" s="59"/>
      <c r="D716" s="59"/>
      <c r="E716" s="178"/>
      <c r="F716" s="59"/>
      <c r="G716" s="59"/>
      <c r="H716" s="59"/>
      <c r="I716" s="178"/>
      <c r="J716" s="59"/>
      <c r="K716" s="59"/>
      <c r="L716" s="59"/>
      <c r="M716" s="59"/>
      <c r="N716" s="59"/>
      <c r="O716" s="59"/>
      <c r="P716" s="59"/>
      <c r="Q716" s="59"/>
      <c r="R716" s="59"/>
      <c r="S716" s="59"/>
      <c r="T716" s="59"/>
      <c r="U716" s="59"/>
    </row>
    <row r="717" ht="35.25" customHeight="1">
      <c r="A717" s="59"/>
      <c r="B717" s="59"/>
      <c r="C717" s="59"/>
      <c r="D717" s="59"/>
      <c r="E717" s="178"/>
      <c r="F717" s="59"/>
      <c r="G717" s="59"/>
      <c r="H717" s="59"/>
      <c r="I717" s="178"/>
      <c r="J717" s="59"/>
      <c r="K717" s="59"/>
      <c r="L717" s="59"/>
      <c r="M717" s="59"/>
      <c r="N717" s="59"/>
      <c r="O717" s="59"/>
      <c r="P717" s="59"/>
      <c r="Q717" s="59"/>
      <c r="R717" s="59"/>
      <c r="S717" s="59"/>
      <c r="T717" s="59"/>
      <c r="U717" s="59"/>
    </row>
    <row r="718" ht="35.25" customHeight="1">
      <c r="A718" s="59"/>
      <c r="B718" s="59"/>
      <c r="C718" s="59"/>
      <c r="D718" s="59"/>
      <c r="E718" s="178"/>
      <c r="F718" s="59"/>
      <c r="G718" s="59"/>
      <c r="H718" s="59"/>
      <c r="I718" s="178"/>
      <c r="J718" s="59"/>
      <c r="K718" s="59"/>
      <c r="L718" s="59"/>
      <c r="M718" s="59"/>
      <c r="N718" s="59"/>
      <c r="O718" s="59"/>
      <c r="P718" s="59"/>
      <c r="Q718" s="59"/>
      <c r="R718" s="59"/>
      <c r="S718" s="59"/>
      <c r="T718" s="59"/>
      <c r="U718" s="59"/>
    </row>
    <row r="719" ht="35.25" customHeight="1">
      <c r="A719" s="59"/>
      <c r="B719" s="59"/>
      <c r="C719" s="59"/>
      <c r="D719" s="59"/>
      <c r="E719" s="178"/>
      <c r="F719" s="59"/>
      <c r="G719" s="59"/>
      <c r="H719" s="59"/>
      <c r="I719" s="178"/>
      <c r="J719" s="59"/>
      <c r="K719" s="59"/>
      <c r="L719" s="59"/>
      <c r="M719" s="59"/>
      <c r="N719" s="59"/>
      <c r="O719" s="59"/>
      <c r="P719" s="59"/>
      <c r="Q719" s="59"/>
      <c r="R719" s="59"/>
      <c r="S719" s="59"/>
      <c r="T719" s="59"/>
      <c r="U719" s="59"/>
    </row>
    <row r="720" ht="35.25" customHeight="1">
      <c r="A720" s="59"/>
      <c r="B720" s="59"/>
      <c r="C720" s="59"/>
      <c r="D720" s="59"/>
      <c r="E720" s="178"/>
      <c r="F720" s="59"/>
      <c r="G720" s="59"/>
      <c r="H720" s="59"/>
      <c r="I720" s="178"/>
      <c r="J720" s="59"/>
      <c r="K720" s="59"/>
      <c r="L720" s="59"/>
      <c r="M720" s="59"/>
      <c r="N720" s="59"/>
      <c r="O720" s="59"/>
      <c r="P720" s="59"/>
      <c r="Q720" s="59"/>
      <c r="R720" s="59"/>
      <c r="S720" s="59"/>
      <c r="T720" s="59"/>
      <c r="U720" s="59"/>
    </row>
    <row r="721" ht="35.25" customHeight="1">
      <c r="A721" s="59"/>
      <c r="B721" s="59"/>
      <c r="C721" s="59"/>
      <c r="D721" s="59"/>
      <c r="E721" s="178"/>
      <c r="F721" s="59"/>
      <c r="G721" s="59"/>
      <c r="H721" s="59"/>
      <c r="I721" s="178"/>
      <c r="J721" s="59"/>
      <c r="K721" s="59"/>
      <c r="L721" s="59"/>
      <c r="M721" s="59"/>
      <c r="N721" s="59"/>
      <c r="O721" s="59"/>
      <c r="P721" s="59"/>
      <c r="Q721" s="59"/>
      <c r="R721" s="59"/>
      <c r="S721" s="59"/>
      <c r="T721" s="59"/>
      <c r="U721" s="59"/>
    </row>
    <row r="722" ht="35.25" customHeight="1">
      <c r="A722" s="59"/>
      <c r="B722" s="59"/>
      <c r="C722" s="59"/>
      <c r="D722" s="59"/>
      <c r="E722" s="178"/>
      <c r="F722" s="59"/>
      <c r="G722" s="59"/>
      <c r="H722" s="59"/>
      <c r="I722" s="178"/>
      <c r="J722" s="59"/>
      <c r="K722" s="59"/>
      <c r="L722" s="59"/>
      <c r="M722" s="59"/>
      <c r="N722" s="59"/>
      <c r="O722" s="59"/>
      <c r="P722" s="59"/>
      <c r="Q722" s="59"/>
      <c r="R722" s="59"/>
      <c r="S722" s="59"/>
      <c r="T722" s="59"/>
      <c r="U722" s="59"/>
    </row>
    <row r="723" ht="35.25" customHeight="1">
      <c r="A723" s="59"/>
      <c r="B723" s="59"/>
      <c r="C723" s="59"/>
      <c r="D723" s="59"/>
      <c r="E723" s="178"/>
      <c r="F723" s="59"/>
      <c r="G723" s="59"/>
      <c r="H723" s="59"/>
      <c r="I723" s="178"/>
      <c r="J723" s="59"/>
      <c r="K723" s="59"/>
      <c r="L723" s="59"/>
      <c r="M723" s="59"/>
      <c r="N723" s="59"/>
      <c r="O723" s="59"/>
      <c r="P723" s="59"/>
      <c r="Q723" s="59"/>
      <c r="R723" s="59"/>
      <c r="S723" s="59"/>
      <c r="T723" s="59"/>
      <c r="U723" s="59"/>
    </row>
    <row r="724" ht="35.25" customHeight="1">
      <c r="A724" s="59"/>
      <c r="B724" s="59"/>
      <c r="C724" s="59"/>
      <c r="D724" s="59"/>
      <c r="E724" s="178"/>
      <c r="F724" s="59"/>
      <c r="G724" s="59"/>
      <c r="H724" s="59"/>
      <c r="I724" s="178"/>
      <c r="J724" s="59"/>
      <c r="K724" s="59"/>
      <c r="L724" s="59"/>
      <c r="M724" s="59"/>
      <c r="N724" s="59"/>
      <c r="O724" s="59"/>
      <c r="P724" s="59"/>
      <c r="Q724" s="59"/>
      <c r="R724" s="59"/>
      <c r="S724" s="59"/>
      <c r="T724" s="59"/>
      <c r="U724" s="59"/>
    </row>
    <row r="725" ht="35.25" customHeight="1">
      <c r="A725" s="59"/>
      <c r="B725" s="59"/>
      <c r="C725" s="59"/>
      <c r="D725" s="59"/>
      <c r="E725" s="178"/>
      <c r="F725" s="59"/>
      <c r="G725" s="59"/>
      <c r="H725" s="59"/>
      <c r="I725" s="178"/>
      <c r="J725" s="59"/>
      <c r="K725" s="59"/>
      <c r="L725" s="59"/>
      <c r="M725" s="59"/>
      <c r="N725" s="59"/>
      <c r="O725" s="59"/>
      <c r="P725" s="59"/>
      <c r="Q725" s="59"/>
      <c r="R725" s="59"/>
      <c r="S725" s="59"/>
      <c r="T725" s="59"/>
      <c r="U725" s="59"/>
    </row>
    <row r="726" ht="35.25" customHeight="1">
      <c r="A726" s="59"/>
      <c r="B726" s="59"/>
      <c r="C726" s="59"/>
      <c r="D726" s="59"/>
      <c r="E726" s="178"/>
      <c r="F726" s="59"/>
      <c r="G726" s="59"/>
      <c r="H726" s="59"/>
      <c r="I726" s="178"/>
      <c r="J726" s="59"/>
      <c r="K726" s="59"/>
      <c r="L726" s="59"/>
      <c r="M726" s="59"/>
      <c r="N726" s="59"/>
      <c r="O726" s="59"/>
      <c r="P726" s="59"/>
      <c r="Q726" s="59"/>
      <c r="R726" s="59"/>
      <c r="S726" s="59"/>
      <c r="T726" s="59"/>
      <c r="U726" s="59"/>
    </row>
    <row r="727" ht="35.25" customHeight="1">
      <c r="A727" s="59"/>
      <c r="B727" s="59"/>
      <c r="C727" s="59"/>
      <c r="D727" s="59"/>
      <c r="E727" s="178"/>
      <c r="F727" s="59"/>
      <c r="G727" s="59"/>
      <c r="H727" s="59"/>
      <c r="I727" s="178"/>
      <c r="J727" s="59"/>
      <c r="K727" s="59"/>
      <c r="L727" s="59"/>
      <c r="M727" s="59"/>
      <c r="N727" s="59"/>
      <c r="O727" s="59"/>
      <c r="P727" s="59"/>
      <c r="Q727" s="59"/>
      <c r="R727" s="59"/>
      <c r="S727" s="59"/>
      <c r="T727" s="59"/>
      <c r="U727" s="59"/>
    </row>
    <row r="728" ht="35.25" customHeight="1">
      <c r="A728" s="59"/>
      <c r="B728" s="59"/>
      <c r="C728" s="59"/>
      <c r="D728" s="59"/>
      <c r="E728" s="178"/>
      <c r="F728" s="59"/>
      <c r="G728" s="59"/>
      <c r="H728" s="59"/>
      <c r="I728" s="178"/>
      <c r="J728" s="59"/>
      <c r="K728" s="59"/>
      <c r="L728" s="59"/>
      <c r="M728" s="59"/>
      <c r="N728" s="59"/>
      <c r="O728" s="59"/>
      <c r="P728" s="59"/>
      <c r="Q728" s="59"/>
      <c r="R728" s="59"/>
      <c r="S728" s="59"/>
      <c r="T728" s="59"/>
      <c r="U728" s="59"/>
    </row>
    <row r="729" ht="35.25" customHeight="1">
      <c r="A729" s="59"/>
      <c r="B729" s="59"/>
      <c r="C729" s="59"/>
      <c r="D729" s="59"/>
      <c r="E729" s="178"/>
      <c r="F729" s="59"/>
      <c r="G729" s="59"/>
      <c r="H729" s="59"/>
      <c r="I729" s="178"/>
      <c r="J729" s="59"/>
      <c r="K729" s="59"/>
      <c r="L729" s="59"/>
      <c r="M729" s="59"/>
      <c r="N729" s="59"/>
      <c r="O729" s="59"/>
      <c r="P729" s="59"/>
      <c r="Q729" s="59"/>
      <c r="R729" s="59"/>
      <c r="S729" s="59"/>
      <c r="T729" s="59"/>
      <c r="U729" s="59"/>
    </row>
    <row r="730" ht="35.25" customHeight="1">
      <c r="A730" s="59"/>
      <c r="B730" s="59"/>
      <c r="C730" s="59"/>
      <c r="D730" s="59"/>
      <c r="E730" s="178"/>
      <c r="F730" s="59"/>
      <c r="G730" s="59"/>
      <c r="H730" s="59"/>
      <c r="I730" s="178"/>
      <c r="J730" s="59"/>
      <c r="K730" s="59"/>
      <c r="L730" s="59"/>
      <c r="M730" s="59"/>
      <c r="N730" s="59"/>
      <c r="O730" s="59"/>
      <c r="P730" s="59"/>
      <c r="Q730" s="59"/>
      <c r="R730" s="59"/>
      <c r="S730" s="59"/>
      <c r="T730" s="59"/>
      <c r="U730" s="59"/>
    </row>
    <row r="731" ht="35.25" customHeight="1">
      <c r="A731" s="59"/>
      <c r="B731" s="59"/>
      <c r="C731" s="59"/>
      <c r="D731" s="59"/>
      <c r="E731" s="178"/>
      <c r="F731" s="59"/>
      <c r="G731" s="59"/>
      <c r="H731" s="59"/>
      <c r="I731" s="178"/>
      <c r="J731" s="59"/>
      <c r="K731" s="59"/>
      <c r="L731" s="59"/>
      <c r="M731" s="59"/>
      <c r="N731" s="59"/>
      <c r="O731" s="59"/>
      <c r="P731" s="59"/>
      <c r="Q731" s="59"/>
      <c r="R731" s="59"/>
      <c r="S731" s="59"/>
      <c r="T731" s="59"/>
      <c r="U731" s="59"/>
    </row>
    <row r="732" ht="35.25" customHeight="1">
      <c r="A732" s="59"/>
      <c r="B732" s="59"/>
      <c r="C732" s="59"/>
      <c r="D732" s="59"/>
      <c r="E732" s="178"/>
      <c r="F732" s="59"/>
      <c r="G732" s="59"/>
      <c r="H732" s="59"/>
      <c r="I732" s="178"/>
      <c r="J732" s="59"/>
      <c r="K732" s="59"/>
      <c r="L732" s="59"/>
      <c r="M732" s="59"/>
      <c r="N732" s="59"/>
      <c r="O732" s="59"/>
      <c r="P732" s="59"/>
      <c r="Q732" s="59"/>
      <c r="R732" s="59"/>
      <c r="S732" s="59"/>
      <c r="T732" s="59"/>
      <c r="U732" s="59"/>
    </row>
    <row r="733" ht="35.25" customHeight="1">
      <c r="A733" s="59"/>
      <c r="B733" s="59"/>
      <c r="C733" s="59"/>
      <c r="D733" s="59"/>
      <c r="E733" s="178"/>
      <c r="F733" s="59"/>
      <c r="G733" s="59"/>
      <c r="H733" s="59"/>
      <c r="I733" s="178"/>
      <c r="J733" s="59"/>
      <c r="K733" s="59"/>
      <c r="L733" s="59"/>
      <c r="M733" s="59"/>
      <c r="N733" s="59"/>
      <c r="O733" s="59"/>
      <c r="P733" s="59"/>
      <c r="Q733" s="59"/>
      <c r="R733" s="59"/>
      <c r="S733" s="59"/>
      <c r="T733" s="59"/>
      <c r="U733" s="59"/>
    </row>
    <row r="734" ht="35.25" customHeight="1">
      <c r="A734" s="59"/>
      <c r="B734" s="59"/>
      <c r="C734" s="59"/>
      <c r="D734" s="59"/>
      <c r="E734" s="178"/>
      <c r="F734" s="59"/>
      <c r="G734" s="59"/>
      <c r="H734" s="59"/>
      <c r="I734" s="178"/>
      <c r="J734" s="59"/>
      <c r="K734" s="59"/>
      <c r="L734" s="59"/>
      <c r="M734" s="59"/>
      <c r="N734" s="59"/>
      <c r="O734" s="59"/>
      <c r="P734" s="59"/>
      <c r="Q734" s="59"/>
      <c r="R734" s="59"/>
      <c r="S734" s="59"/>
      <c r="T734" s="59"/>
      <c r="U734" s="59"/>
    </row>
    <row r="735" ht="35.25" customHeight="1">
      <c r="A735" s="59"/>
      <c r="B735" s="59"/>
      <c r="C735" s="59"/>
      <c r="D735" s="59"/>
      <c r="E735" s="178"/>
      <c r="F735" s="59"/>
      <c r="G735" s="59"/>
      <c r="H735" s="59"/>
      <c r="I735" s="178"/>
      <c r="J735" s="59"/>
      <c r="K735" s="59"/>
      <c r="L735" s="59"/>
      <c r="M735" s="59"/>
      <c r="N735" s="59"/>
      <c r="O735" s="59"/>
      <c r="P735" s="59"/>
      <c r="Q735" s="59"/>
      <c r="R735" s="59"/>
      <c r="S735" s="59"/>
      <c r="T735" s="59"/>
      <c r="U735" s="59"/>
    </row>
    <row r="736" ht="35.25" customHeight="1">
      <c r="A736" s="59"/>
      <c r="B736" s="59"/>
      <c r="C736" s="59"/>
      <c r="D736" s="59"/>
      <c r="E736" s="178"/>
      <c r="F736" s="59"/>
      <c r="G736" s="59"/>
      <c r="H736" s="59"/>
      <c r="I736" s="178"/>
      <c r="J736" s="59"/>
      <c r="K736" s="59"/>
      <c r="L736" s="59"/>
      <c r="M736" s="59"/>
      <c r="N736" s="59"/>
      <c r="O736" s="59"/>
      <c r="P736" s="59"/>
      <c r="Q736" s="59"/>
      <c r="R736" s="59"/>
      <c r="S736" s="59"/>
      <c r="T736" s="59"/>
      <c r="U736" s="59"/>
    </row>
    <row r="737" ht="35.25" customHeight="1">
      <c r="A737" s="59"/>
      <c r="B737" s="59"/>
      <c r="C737" s="59"/>
      <c r="D737" s="59"/>
      <c r="E737" s="178"/>
      <c r="F737" s="59"/>
      <c r="G737" s="59"/>
      <c r="H737" s="59"/>
      <c r="I737" s="178"/>
      <c r="J737" s="59"/>
      <c r="K737" s="59"/>
      <c r="L737" s="59"/>
      <c r="M737" s="59"/>
      <c r="N737" s="59"/>
      <c r="O737" s="59"/>
      <c r="P737" s="59"/>
      <c r="Q737" s="59"/>
      <c r="R737" s="59"/>
      <c r="S737" s="59"/>
      <c r="T737" s="59"/>
      <c r="U737" s="59"/>
    </row>
    <row r="738" ht="35.25" customHeight="1">
      <c r="A738" s="59"/>
      <c r="B738" s="59"/>
      <c r="C738" s="59"/>
      <c r="D738" s="59"/>
      <c r="E738" s="178"/>
      <c r="F738" s="59"/>
      <c r="G738" s="59"/>
      <c r="H738" s="59"/>
      <c r="I738" s="178"/>
      <c r="J738" s="59"/>
      <c r="K738" s="59"/>
      <c r="L738" s="59"/>
      <c r="M738" s="59"/>
      <c r="N738" s="59"/>
      <c r="O738" s="59"/>
      <c r="P738" s="59"/>
      <c r="Q738" s="59"/>
      <c r="R738" s="59"/>
      <c r="S738" s="59"/>
      <c r="T738" s="59"/>
      <c r="U738" s="59"/>
    </row>
    <row r="739" ht="35.25" customHeight="1">
      <c r="A739" s="59"/>
      <c r="B739" s="59"/>
      <c r="C739" s="59"/>
      <c r="D739" s="59"/>
      <c r="E739" s="178"/>
      <c r="F739" s="59"/>
      <c r="G739" s="59"/>
      <c r="H739" s="59"/>
      <c r="I739" s="178"/>
      <c r="J739" s="59"/>
      <c r="K739" s="59"/>
      <c r="L739" s="59"/>
      <c r="M739" s="59"/>
      <c r="N739" s="59"/>
      <c r="O739" s="59"/>
      <c r="P739" s="59"/>
      <c r="Q739" s="59"/>
      <c r="R739" s="59"/>
      <c r="S739" s="59"/>
      <c r="T739" s="59"/>
      <c r="U739" s="59"/>
    </row>
    <row r="740" ht="35.25" customHeight="1">
      <c r="A740" s="59"/>
      <c r="B740" s="59"/>
      <c r="C740" s="59"/>
      <c r="D740" s="59"/>
      <c r="E740" s="178"/>
      <c r="F740" s="59"/>
      <c r="G740" s="59"/>
      <c r="H740" s="59"/>
      <c r="I740" s="178"/>
      <c r="J740" s="59"/>
      <c r="K740" s="59"/>
      <c r="L740" s="59"/>
      <c r="M740" s="59"/>
      <c r="N740" s="59"/>
      <c r="O740" s="59"/>
      <c r="P740" s="59"/>
      <c r="Q740" s="59"/>
      <c r="R740" s="59"/>
      <c r="S740" s="59"/>
      <c r="T740" s="59"/>
      <c r="U740" s="59"/>
    </row>
    <row r="741" ht="35.25" customHeight="1">
      <c r="A741" s="59"/>
      <c r="B741" s="59"/>
      <c r="C741" s="59"/>
      <c r="D741" s="59"/>
      <c r="E741" s="178"/>
      <c r="F741" s="59"/>
      <c r="G741" s="59"/>
      <c r="H741" s="59"/>
      <c r="I741" s="178"/>
      <c r="J741" s="59"/>
      <c r="K741" s="59"/>
      <c r="L741" s="59"/>
      <c r="M741" s="59"/>
      <c r="N741" s="59"/>
      <c r="O741" s="59"/>
      <c r="P741" s="59"/>
      <c r="Q741" s="59"/>
      <c r="R741" s="59"/>
      <c r="S741" s="59"/>
      <c r="T741" s="59"/>
      <c r="U741" s="59"/>
    </row>
    <row r="742" ht="35.25" customHeight="1">
      <c r="A742" s="59"/>
      <c r="B742" s="59"/>
      <c r="C742" s="59"/>
      <c r="D742" s="59"/>
      <c r="E742" s="178"/>
      <c r="F742" s="59"/>
      <c r="G742" s="59"/>
      <c r="H742" s="59"/>
      <c r="I742" s="178"/>
      <c r="J742" s="59"/>
      <c r="K742" s="59"/>
      <c r="L742" s="59"/>
      <c r="M742" s="59"/>
      <c r="N742" s="59"/>
      <c r="O742" s="59"/>
      <c r="P742" s="59"/>
      <c r="Q742" s="59"/>
      <c r="R742" s="59"/>
      <c r="S742" s="59"/>
      <c r="T742" s="59"/>
      <c r="U742" s="59"/>
    </row>
    <row r="743" ht="35.25" customHeight="1">
      <c r="A743" s="59"/>
      <c r="B743" s="59"/>
      <c r="C743" s="59"/>
      <c r="D743" s="59"/>
      <c r="E743" s="178"/>
      <c r="F743" s="59"/>
      <c r="G743" s="59"/>
      <c r="H743" s="59"/>
      <c r="I743" s="178"/>
      <c r="J743" s="59"/>
      <c r="K743" s="59"/>
      <c r="L743" s="59"/>
      <c r="M743" s="59"/>
      <c r="N743" s="59"/>
      <c r="O743" s="59"/>
      <c r="P743" s="59"/>
      <c r="Q743" s="59"/>
      <c r="R743" s="59"/>
      <c r="S743" s="59"/>
      <c r="T743" s="59"/>
      <c r="U743" s="59"/>
    </row>
    <row r="744" ht="35.25" customHeight="1">
      <c r="A744" s="59"/>
      <c r="B744" s="59"/>
      <c r="C744" s="59"/>
      <c r="D744" s="59"/>
      <c r="E744" s="178"/>
      <c r="F744" s="59"/>
      <c r="G744" s="59"/>
      <c r="H744" s="59"/>
      <c r="I744" s="178"/>
      <c r="J744" s="59"/>
      <c r="K744" s="59"/>
      <c r="L744" s="59"/>
      <c r="M744" s="59"/>
      <c r="N744" s="59"/>
      <c r="O744" s="59"/>
      <c r="P744" s="59"/>
      <c r="Q744" s="59"/>
      <c r="R744" s="59"/>
      <c r="S744" s="59"/>
      <c r="T744" s="59"/>
      <c r="U744" s="59"/>
    </row>
    <row r="745" ht="35.25" customHeight="1">
      <c r="A745" s="59"/>
      <c r="B745" s="59"/>
      <c r="C745" s="59"/>
      <c r="D745" s="59"/>
      <c r="E745" s="178"/>
      <c r="F745" s="59"/>
      <c r="G745" s="59"/>
      <c r="H745" s="59"/>
      <c r="I745" s="178"/>
      <c r="J745" s="59"/>
      <c r="K745" s="59"/>
      <c r="L745" s="59"/>
      <c r="M745" s="59"/>
      <c r="N745" s="59"/>
      <c r="O745" s="59"/>
      <c r="P745" s="59"/>
      <c r="Q745" s="59"/>
      <c r="R745" s="59"/>
      <c r="S745" s="59"/>
      <c r="T745" s="59"/>
      <c r="U745" s="59"/>
    </row>
    <row r="746" ht="35.25" customHeight="1">
      <c r="A746" s="59"/>
      <c r="B746" s="59"/>
      <c r="C746" s="59"/>
      <c r="D746" s="59"/>
      <c r="E746" s="178"/>
      <c r="F746" s="59"/>
      <c r="G746" s="59"/>
      <c r="H746" s="59"/>
      <c r="I746" s="178"/>
      <c r="J746" s="59"/>
      <c r="K746" s="59"/>
      <c r="L746" s="59"/>
      <c r="M746" s="59"/>
      <c r="N746" s="59"/>
      <c r="O746" s="59"/>
      <c r="P746" s="59"/>
      <c r="Q746" s="59"/>
      <c r="R746" s="59"/>
      <c r="S746" s="59"/>
      <c r="T746" s="59"/>
      <c r="U746" s="59"/>
    </row>
    <row r="747" ht="35.25" customHeight="1">
      <c r="A747" s="59"/>
      <c r="B747" s="59"/>
      <c r="C747" s="59"/>
      <c r="D747" s="59"/>
      <c r="E747" s="178"/>
      <c r="F747" s="59"/>
      <c r="G747" s="59"/>
      <c r="H747" s="59"/>
      <c r="I747" s="178"/>
      <c r="J747" s="59"/>
      <c r="K747" s="59"/>
      <c r="L747" s="59"/>
      <c r="M747" s="59"/>
      <c r="N747" s="59"/>
      <c r="O747" s="59"/>
      <c r="P747" s="59"/>
      <c r="Q747" s="59"/>
      <c r="R747" s="59"/>
      <c r="S747" s="59"/>
      <c r="T747" s="59"/>
      <c r="U747" s="59"/>
    </row>
    <row r="748" ht="35.25" customHeight="1">
      <c r="A748" s="59"/>
      <c r="B748" s="59"/>
      <c r="C748" s="59"/>
      <c r="D748" s="59"/>
      <c r="E748" s="178"/>
      <c r="F748" s="59"/>
      <c r="G748" s="59"/>
      <c r="H748" s="59"/>
      <c r="I748" s="178"/>
      <c r="J748" s="59"/>
      <c r="K748" s="59"/>
      <c r="L748" s="59"/>
      <c r="M748" s="59"/>
      <c r="N748" s="59"/>
      <c r="O748" s="59"/>
      <c r="P748" s="59"/>
      <c r="Q748" s="59"/>
      <c r="R748" s="59"/>
      <c r="S748" s="59"/>
      <c r="T748" s="59"/>
      <c r="U748" s="59"/>
    </row>
    <row r="749" ht="35.25" customHeight="1">
      <c r="A749" s="59"/>
      <c r="B749" s="59"/>
      <c r="C749" s="59"/>
      <c r="D749" s="59"/>
      <c r="E749" s="178"/>
      <c r="F749" s="59"/>
      <c r="G749" s="59"/>
      <c r="H749" s="59"/>
      <c r="I749" s="178"/>
      <c r="J749" s="59"/>
      <c r="K749" s="59"/>
      <c r="L749" s="59"/>
      <c r="M749" s="59"/>
      <c r="N749" s="59"/>
      <c r="O749" s="59"/>
      <c r="P749" s="59"/>
      <c r="Q749" s="59"/>
      <c r="R749" s="59"/>
      <c r="S749" s="59"/>
      <c r="T749" s="59"/>
      <c r="U749" s="59"/>
    </row>
    <row r="750" ht="35.25" customHeight="1">
      <c r="A750" s="59"/>
      <c r="B750" s="59"/>
      <c r="C750" s="59"/>
      <c r="D750" s="59"/>
      <c r="E750" s="178"/>
      <c r="F750" s="59"/>
      <c r="G750" s="59"/>
      <c r="H750" s="59"/>
      <c r="I750" s="178"/>
      <c r="J750" s="59"/>
      <c r="K750" s="59"/>
      <c r="L750" s="59"/>
      <c r="M750" s="59"/>
      <c r="N750" s="59"/>
      <c r="O750" s="59"/>
      <c r="P750" s="59"/>
      <c r="Q750" s="59"/>
      <c r="R750" s="59"/>
      <c r="S750" s="59"/>
      <c r="T750" s="59"/>
      <c r="U750" s="59"/>
    </row>
    <row r="751" ht="35.25" customHeight="1">
      <c r="A751" s="59"/>
      <c r="B751" s="59"/>
      <c r="C751" s="59"/>
      <c r="D751" s="59"/>
      <c r="E751" s="178"/>
      <c r="F751" s="59"/>
      <c r="G751" s="59"/>
      <c r="H751" s="59"/>
      <c r="I751" s="178"/>
      <c r="J751" s="59"/>
      <c r="K751" s="59"/>
      <c r="L751" s="59"/>
      <c r="M751" s="59"/>
      <c r="N751" s="59"/>
      <c r="O751" s="59"/>
      <c r="P751" s="59"/>
      <c r="Q751" s="59"/>
      <c r="R751" s="59"/>
      <c r="S751" s="59"/>
      <c r="T751" s="59"/>
      <c r="U751" s="59"/>
    </row>
    <row r="752" ht="35.25" customHeight="1">
      <c r="A752" s="59"/>
      <c r="B752" s="59"/>
      <c r="C752" s="59"/>
      <c r="D752" s="59"/>
      <c r="E752" s="178"/>
      <c r="F752" s="59"/>
      <c r="G752" s="59"/>
      <c r="H752" s="59"/>
      <c r="I752" s="178"/>
      <c r="J752" s="59"/>
      <c r="K752" s="59"/>
      <c r="L752" s="59"/>
      <c r="M752" s="59"/>
      <c r="N752" s="59"/>
      <c r="O752" s="59"/>
      <c r="P752" s="59"/>
      <c r="Q752" s="59"/>
      <c r="R752" s="59"/>
      <c r="S752" s="59"/>
      <c r="T752" s="59"/>
      <c r="U752" s="59"/>
    </row>
    <row r="753" ht="35.25" customHeight="1">
      <c r="A753" s="59"/>
      <c r="B753" s="59"/>
      <c r="C753" s="59"/>
      <c r="D753" s="59"/>
      <c r="E753" s="178"/>
      <c r="F753" s="59"/>
      <c r="G753" s="59"/>
      <c r="H753" s="59"/>
      <c r="I753" s="178"/>
      <c r="J753" s="59"/>
      <c r="K753" s="59"/>
      <c r="L753" s="59"/>
      <c r="M753" s="59"/>
      <c r="N753" s="59"/>
      <c r="O753" s="59"/>
      <c r="P753" s="59"/>
      <c r="Q753" s="59"/>
      <c r="R753" s="59"/>
      <c r="S753" s="59"/>
      <c r="T753" s="59"/>
      <c r="U753" s="59"/>
    </row>
    <row r="754" ht="35.25" customHeight="1">
      <c r="A754" s="59"/>
      <c r="B754" s="59"/>
      <c r="C754" s="59"/>
      <c r="D754" s="59"/>
      <c r="E754" s="178"/>
      <c r="F754" s="59"/>
      <c r="G754" s="59"/>
      <c r="H754" s="59"/>
      <c r="I754" s="178"/>
      <c r="J754" s="59"/>
      <c r="K754" s="59"/>
      <c r="L754" s="59"/>
      <c r="M754" s="59"/>
      <c r="N754" s="59"/>
      <c r="O754" s="59"/>
      <c r="P754" s="59"/>
      <c r="Q754" s="59"/>
      <c r="R754" s="59"/>
      <c r="S754" s="59"/>
      <c r="T754" s="59"/>
      <c r="U754" s="59"/>
    </row>
    <row r="755" ht="35.25" customHeight="1">
      <c r="A755" s="59"/>
      <c r="B755" s="59"/>
      <c r="C755" s="59"/>
      <c r="D755" s="59"/>
      <c r="E755" s="178"/>
      <c r="F755" s="59"/>
      <c r="G755" s="59"/>
      <c r="H755" s="59"/>
      <c r="I755" s="178"/>
      <c r="J755" s="59"/>
      <c r="K755" s="59"/>
      <c r="L755" s="59"/>
      <c r="M755" s="59"/>
      <c r="N755" s="59"/>
      <c r="O755" s="59"/>
      <c r="P755" s="59"/>
      <c r="Q755" s="59"/>
      <c r="R755" s="59"/>
      <c r="S755" s="59"/>
      <c r="T755" s="59"/>
      <c r="U755" s="59"/>
    </row>
    <row r="756" ht="35.25" customHeight="1">
      <c r="A756" s="59"/>
      <c r="B756" s="59"/>
      <c r="C756" s="59"/>
      <c r="D756" s="59"/>
      <c r="E756" s="178"/>
      <c r="F756" s="59"/>
      <c r="G756" s="59"/>
      <c r="H756" s="59"/>
      <c r="I756" s="178"/>
      <c r="J756" s="59"/>
      <c r="K756" s="59"/>
      <c r="L756" s="59"/>
      <c r="M756" s="59"/>
      <c r="N756" s="59"/>
      <c r="O756" s="59"/>
      <c r="P756" s="59"/>
      <c r="Q756" s="59"/>
      <c r="R756" s="59"/>
      <c r="S756" s="59"/>
      <c r="T756" s="59"/>
      <c r="U756" s="59"/>
    </row>
    <row r="757" ht="35.25" customHeight="1">
      <c r="A757" s="59"/>
      <c r="B757" s="59"/>
      <c r="C757" s="59"/>
      <c r="D757" s="59"/>
      <c r="E757" s="178"/>
      <c r="F757" s="59"/>
      <c r="G757" s="59"/>
      <c r="H757" s="59"/>
      <c r="I757" s="178"/>
      <c r="J757" s="59"/>
      <c r="K757" s="59"/>
      <c r="L757" s="59"/>
      <c r="M757" s="59"/>
      <c r="N757" s="59"/>
      <c r="O757" s="59"/>
      <c r="P757" s="59"/>
      <c r="Q757" s="59"/>
      <c r="R757" s="59"/>
      <c r="S757" s="59"/>
      <c r="T757" s="59"/>
      <c r="U757" s="59"/>
    </row>
    <row r="758" ht="35.25" customHeight="1">
      <c r="A758" s="59"/>
      <c r="B758" s="59"/>
      <c r="C758" s="59"/>
      <c r="D758" s="59"/>
      <c r="E758" s="178"/>
      <c r="F758" s="59"/>
      <c r="G758" s="59"/>
      <c r="H758" s="59"/>
      <c r="I758" s="178"/>
      <c r="J758" s="59"/>
      <c r="K758" s="59"/>
      <c r="L758" s="59"/>
      <c r="M758" s="59"/>
      <c r="N758" s="59"/>
      <c r="O758" s="59"/>
      <c r="P758" s="59"/>
      <c r="Q758" s="59"/>
      <c r="R758" s="59"/>
      <c r="S758" s="59"/>
      <c r="T758" s="59"/>
      <c r="U758" s="59"/>
    </row>
    <row r="759" ht="35.25" customHeight="1">
      <c r="A759" s="59"/>
      <c r="B759" s="59"/>
      <c r="C759" s="59"/>
      <c r="D759" s="59"/>
      <c r="E759" s="178"/>
      <c r="F759" s="59"/>
      <c r="G759" s="59"/>
      <c r="H759" s="59"/>
      <c r="I759" s="178"/>
      <c r="J759" s="59"/>
      <c r="K759" s="59"/>
      <c r="L759" s="59"/>
      <c r="M759" s="59"/>
      <c r="N759" s="59"/>
      <c r="O759" s="59"/>
      <c r="P759" s="59"/>
      <c r="Q759" s="59"/>
      <c r="R759" s="59"/>
      <c r="S759" s="59"/>
      <c r="T759" s="59"/>
      <c r="U759" s="59"/>
    </row>
    <row r="760" ht="35.25" customHeight="1">
      <c r="A760" s="59"/>
      <c r="B760" s="59"/>
      <c r="C760" s="59"/>
      <c r="D760" s="59"/>
      <c r="E760" s="178"/>
      <c r="F760" s="59"/>
      <c r="G760" s="59"/>
      <c r="H760" s="59"/>
      <c r="I760" s="178"/>
      <c r="J760" s="59"/>
      <c r="K760" s="59"/>
      <c r="L760" s="59"/>
      <c r="M760" s="59"/>
      <c r="N760" s="59"/>
      <c r="O760" s="59"/>
      <c r="P760" s="59"/>
      <c r="Q760" s="59"/>
      <c r="R760" s="59"/>
      <c r="S760" s="59"/>
      <c r="T760" s="59"/>
      <c r="U760" s="59"/>
    </row>
    <row r="761" ht="35.25" customHeight="1">
      <c r="A761" s="59"/>
      <c r="B761" s="59"/>
      <c r="C761" s="59"/>
      <c r="D761" s="59"/>
      <c r="E761" s="178"/>
      <c r="F761" s="59"/>
      <c r="G761" s="59"/>
      <c r="H761" s="59"/>
      <c r="I761" s="178"/>
      <c r="J761" s="59"/>
      <c r="K761" s="59"/>
      <c r="L761" s="59"/>
      <c r="M761" s="59"/>
      <c r="N761" s="59"/>
      <c r="O761" s="59"/>
      <c r="P761" s="59"/>
      <c r="Q761" s="59"/>
      <c r="R761" s="59"/>
      <c r="S761" s="59"/>
      <c r="T761" s="59"/>
      <c r="U761" s="59"/>
    </row>
    <row r="762" ht="35.25" customHeight="1">
      <c r="A762" s="59"/>
      <c r="B762" s="59"/>
      <c r="C762" s="59"/>
      <c r="D762" s="59"/>
      <c r="E762" s="178"/>
      <c r="F762" s="59"/>
      <c r="G762" s="59"/>
      <c r="H762" s="59"/>
      <c r="I762" s="178"/>
      <c r="J762" s="59"/>
      <c r="K762" s="59"/>
      <c r="L762" s="59"/>
      <c r="M762" s="59"/>
      <c r="N762" s="59"/>
      <c r="O762" s="59"/>
      <c r="P762" s="59"/>
      <c r="Q762" s="59"/>
      <c r="R762" s="59"/>
      <c r="S762" s="59"/>
      <c r="T762" s="59"/>
      <c r="U762" s="59"/>
    </row>
    <row r="763" ht="35.25" customHeight="1">
      <c r="A763" s="59"/>
      <c r="B763" s="59"/>
      <c r="C763" s="59"/>
      <c r="D763" s="59"/>
      <c r="E763" s="178"/>
      <c r="F763" s="59"/>
      <c r="G763" s="59"/>
      <c r="H763" s="59"/>
      <c r="I763" s="178"/>
      <c r="J763" s="59"/>
      <c r="K763" s="59"/>
      <c r="L763" s="59"/>
      <c r="M763" s="59"/>
      <c r="N763" s="59"/>
      <c r="O763" s="59"/>
      <c r="P763" s="59"/>
      <c r="Q763" s="59"/>
      <c r="R763" s="59"/>
      <c r="S763" s="59"/>
      <c r="T763" s="59"/>
      <c r="U763" s="59"/>
    </row>
    <row r="764" ht="35.25" customHeight="1">
      <c r="A764" s="59"/>
      <c r="B764" s="59"/>
      <c r="C764" s="59"/>
      <c r="D764" s="59"/>
      <c r="E764" s="178"/>
      <c r="F764" s="59"/>
      <c r="G764" s="59"/>
      <c r="H764" s="59"/>
      <c r="I764" s="178"/>
      <c r="J764" s="59"/>
      <c r="K764" s="59"/>
      <c r="L764" s="59"/>
      <c r="M764" s="59"/>
      <c r="N764" s="59"/>
      <c r="O764" s="59"/>
      <c r="P764" s="59"/>
      <c r="Q764" s="59"/>
      <c r="R764" s="59"/>
      <c r="S764" s="59"/>
      <c r="T764" s="59"/>
      <c r="U764" s="59"/>
    </row>
    <row r="765" ht="35.25" customHeight="1">
      <c r="A765" s="59"/>
      <c r="B765" s="59"/>
      <c r="C765" s="59"/>
      <c r="D765" s="59"/>
      <c r="E765" s="178"/>
      <c r="F765" s="59"/>
      <c r="G765" s="59"/>
      <c r="H765" s="59"/>
      <c r="I765" s="178"/>
      <c r="J765" s="59"/>
      <c r="K765" s="59"/>
      <c r="L765" s="59"/>
      <c r="M765" s="59"/>
      <c r="N765" s="59"/>
      <c r="O765" s="59"/>
      <c r="P765" s="59"/>
      <c r="Q765" s="59"/>
      <c r="R765" s="59"/>
      <c r="S765" s="59"/>
      <c r="T765" s="59"/>
      <c r="U765" s="59"/>
    </row>
    <row r="766" ht="35.25" customHeight="1">
      <c r="A766" s="59"/>
      <c r="B766" s="59"/>
      <c r="C766" s="59"/>
      <c r="D766" s="59"/>
      <c r="E766" s="178"/>
      <c r="F766" s="59"/>
      <c r="G766" s="59"/>
      <c r="H766" s="59"/>
      <c r="I766" s="178"/>
      <c r="J766" s="59"/>
      <c r="K766" s="59"/>
      <c r="L766" s="59"/>
      <c r="M766" s="59"/>
      <c r="N766" s="59"/>
      <c r="O766" s="59"/>
      <c r="P766" s="59"/>
      <c r="Q766" s="59"/>
      <c r="R766" s="59"/>
      <c r="S766" s="59"/>
      <c r="T766" s="59"/>
      <c r="U766" s="59"/>
    </row>
    <row r="767" ht="35.25" customHeight="1">
      <c r="A767" s="59"/>
      <c r="B767" s="59"/>
      <c r="C767" s="59"/>
      <c r="D767" s="59"/>
      <c r="E767" s="178"/>
      <c r="F767" s="59"/>
      <c r="G767" s="59"/>
      <c r="H767" s="59"/>
      <c r="I767" s="178"/>
      <c r="J767" s="59"/>
      <c r="K767" s="59"/>
      <c r="L767" s="59"/>
      <c r="M767" s="59"/>
      <c r="N767" s="59"/>
      <c r="O767" s="59"/>
      <c r="P767" s="59"/>
      <c r="Q767" s="59"/>
      <c r="R767" s="59"/>
      <c r="S767" s="59"/>
      <c r="T767" s="59"/>
      <c r="U767" s="59"/>
    </row>
    <row r="768" ht="35.25" customHeight="1">
      <c r="A768" s="59"/>
      <c r="B768" s="59"/>
      <c r="C768" s="59"/>
      <c r="D768" s="59"/>
      <c r="E768" s="178"/>
      <c r="F768" s="59"/>
      <c r="G768" s="59"/>
      <c r="H768" s="59"/>
      <c r="I768" s="178"/>
      <c r="J768" s="59"/>
      <c r="K768" s="59"/>
      <c r="L768" s="59"/>
      <c r="M768" s="59"/>
      <c r="N768" s="59"/>
      <c r="O768" s="59"/>
      <c r="P768" s="59"/>
      <c r="Q768" s="59"/>
      <c r="R768" s="59"/>
      <c r="S768" s="59"/>
      <c r="T768" s="59"/>
      <c r="U768" s="59"/>
    </row>
    <row r="769" ht="35.25" customHeight="1">
      <c r="A769" s="59"/>
      <c r="B769" s="59"/>
      <c r="C769" s="59"/>
      <c r="D769" s="59"/>
      <c r="E769" s="178"/>
      <c r="F769" s="59"/>
      <c r="G769" s="59"/>
      <c r="H769" s="59"/>
      <c r="I769" s="178"/>
      <c r="J769" s="59"/>
      <c r="K769" s="59"/>
      <c r="L769" s="59"/>
      <c r="M769" s="59"/>
      <c r="N769" s="59"/>
      <c r="O769" s="59"/>
      <c r="P769" s="59"/>
      <c r="Q769" s="59"/>
      <c r="R769" s="59"/>
      <c r="S769" s="59"/>
      <c r="T769" s="59"/>
      <c r="U769" s="59"/>
    </row>
    <row r="770" ht="35.25" customHeight="1">
      <c r="A770" s="59"/>
      <c r="B770" s="59"/>
      <c r="C770" s="59"/>
      <c r="D770" s="59"/>
      <c r="E770" s="178"/>
      <c r="F770" s="59"/>
      <c r="G770" s="59"/>
      <c r="H770" s="59"/>
      <c r="I770" s="178"/>
      <c r="J770" s="59"/>
      <c r="K770" s="59"/>
      <c r="L770" s="59"/>
      <c r="M770" s="59"/>
      <c r="N770" s="59"/>
      <c r="O770" s="59"/>
      <c r="P770" s="59"/>
      <c r="Q770" s="59"/>
      <c r="R770" s="59"/>
      <c r="S770" s="59"/>
      <c r="T770" s="59"/>
      <c r="U770" s="59"/>
    </row>
    <row r="771" ht="35.25" customHeight="1">
      <c r="A771" s="59"/>
      <c r="B771" s="59"/>
      <c r="C771" s="59"/>
      <c r="D771" s="59"/>
      <c r="E771" s="178"/>
      <c r="F771" s="59"/>
      <c r="G771" s="59"/>
      <c r="H771" s="59"/>
      <c r="I771" s="178"/>
      <c r="J771" s="59"/>
      <c r="K771" s="59"/>
      <c r="L771" s="59"/>
      <c r="M771" s="59"/>
      <c r="N771" s="59"/>
      <c r="O771" s="59"/>
      <c r="P771" s="59"/>
      <c r="Q771" s="59"/>
      <c r="R771" s="59"/>
      <c r="S771" s="59"/>
      <c r="T771" s="59"/>
      <c r="U771" s="59"/>
    </row>
    <row r="772" ht="35.25" customHeight="1">
      <c r="A772" s="59"/>
      <c r="B772" s="59"/>
      <c r="C772" s="59"/>
      <c r="D772" s="59"/>
      <c r="E772" s="178"/>
      <c r="F772" s="59"/>
      <c r="G772" s="59"/>
      <c r="H772" s="59"/>
      <c r="I772" s="178"/>
      <c r="J772" s="59"/>
      <c r="K772" s="59"/>
      <c r="L772" s="59"/>
      <c r="M772" s="59"/>
      <c r="N772" s="59"/>
      <c r="O772" s="59"/>
      <c r="P772" s="59"/>
      <c r="Q772" s="59"/>
      <c r="R772" s="59"/>
      <c r="S772" s="59"/>
      <c r="T772" s="59"/>
      <c r="U772" s="59"/>
    </row>
    <row r="773" ht="35.25" customHeight="1">
      <c r="A773" s="59"/>
      <c r="B773" s="59"/>
      <c r="C773" s="59"/>
      <c r="D773" s="59"/>
      <c r="E773" s="178"/>
      <c r="F773" s="59"/>
      <c r="G773" s="59"/>
      <c r="H773" s="59"/>
      <c r="I773" s="178"/>
      <c r="J773" s="59"/>
      <c r="K773" s="59"/>
      <c r="L773" s="59"/>
      <c r="M773" s="59"/>
      <c r="N773" s="59"/>
      <c r="O773" s="59"/>
      <c r="P773" s="59"/>
      <c r="Q773" s="59"/>
      <c r="R773" s="59"/>
      <c r="S773" s="59"/>
      <c r="T773" s="59"/>
      <c r="U773" s="59"/>
    </row>
    <row r="774" ht="35.25" customHeight="1">
      <c r="A774" s="59"/>
      <c r="B774" s="59"/>
      <c r="C774" s="59"/>
      <c r="D774" s="59"/>
      <c r="E774" s="178"/>
      <c r="F774" s="59"/>
      <c r="G774" s="59"/>
      <c r="H774" s="59"/>
      <c r="I774" s="178"/>
      <c r="J774" s="59"/>
      <c r="K774" s="59"/>
      <c r="L774" s="59"/>
      <c r="M774" s="59"/>
      <c r="N774" s="59"/>
      <c r="O774" s="59"/>
      <c r="P774" s="59"/>
      <c r="Q774" s="59"/>
      <c r="R774" s="59"/>
      <c r="S774" s="59"/>
      <c r="T774" s="59"/>
      <c r="U774" s="59"/>
    </row>
    <row r="775" ht="35.25" customHeight="1">
      <c r="A775" s="59"/>
      <c r="B775" s="59"/>
      <c r="C775" s="59"/>
      <c r="D775" s="59"/>
      <c r="E775" s="178"/>
      <c r="F775" s="59"/>
      <c r="G775" s="59"/>
      <c r="H775" s="59"/>
      <c r="I775" s="178"/>
      <c r="J775" s="59"/>
      <c r="K775" s="59"/>
      <c r="L775" s="59"/>
      <c r="M775" s="59"/>
      <c r="N775" s="59"/>
      <c r="O775" s="59"/>
      <c r="P775" s="59"/>
      <c r="Q775" s="59"/>
      <c r="R775" s="59"/>
      <c r="S775" s="59"/>
      <c r="T775" s="59"/>
      <c r="U775" s="59"/>
    </row>
    <row r="776" ht="35.25" customHeight="1">
      <c r="A776" s="59"/>
      <c r="B776" s="59"/>
      <c r="C776" s="59"/>
      <c r="D776" s="59"/>
      <c r="E776" s="178"/>
      <c r="F776" s="59"/>
      <c r="G776" s="59"/>
      <c r="H776" s="59"/>
      <c r="I776" s="178"/>
      <c r="J776" s="59"/>
      <c r="K776" s="59"/>
      <c r="L776" s="59"/>
      <c r="M776" s="59"/>
      <c r="N776" s="59"/>
      <c r="O776" s="59"/>
      <c r="P776" s="59"/>
      <c r="Q776" s="59"/>
      <c r="R776" s="59"/>
      <c r="S776" s="59"/>
      <c r="T776" s="59"/>
      <c r="U776" s="59"/>
    </row>
    <row r="777" ht="35.25" customHeight="1">
      <c r="A777" s="59"/>
      <c r="B777" s="59"/>
      <c r="C777" s="59"/>
      <c r="D777" s="59"/>
      <c r="E777" s="178"/>
      <c r="F777" s="59"/>
      <c r="G777" s="59"/>
      <c r="H777" s="59"/>
      <c r="I777" s="178"/>
      <c r="J777" s="59"/>
      <c r="K777" s="59"/>
      <c r="L777" s="59"/>
      <c r="M777" s="59"/>
      <c r="N777" s="59"/>
      <c r="O777" s="59"/>
      <c r="P777" s="59"/>
      <c r="Q777" s="59"/>
      <c r="R777" s="59"/>
      <c r="S777" s="59"/>
      <c r="T777" s="59"/>
      <c r="U777" s="59"/>
    </row>
    <row r="778" ht="35.25" customHeight="1">
      <c r="A778" s="59"/>
      <c r="B778" s="59"/>
      <c r="C778" s="59"/>
      <c r="D778" s="59"/>
      <c r="E778" s="178"/>
      <c r="F778" s="59"/>
      <c r="G778" s="59"/>
      <c r="H778" s="59"/>
      <c r="I778" s="178"/>
      <c r="J778" s="59"/>
      <c r="K778" s="59"/>
      <c r="L778" s="59"/>
      <c r="M778" s="59"/>
      <c r="N778" s="59"/>
      <c r="O778" s="59"/>
      <c r="P778" s="59"/>
      <c r="Q778" s="59"/>
      <c r="R778" s="59"/>
      <c r="S778" s="59"/>
      <c r="T778" s="59"/>
      <c r="U778" s="59"/>
    </row>
    <row r="779" ht="35.25" customHeight="1">
      <c r="A779" s="59"/>
      <c r="B779" s="59"/>
      <c r="C779" s="59"/>
      <c r="D779" s="59"/>
      <c r="E779" s="178"/>
      <c r="F779" s="59"/>
      <c r="G779" s="59"/>
      <c r="H779" s="59"/>
      <c r="I779" s="178"/>
      <c r="J779" s="59"/>
      <c r="K779" s="59"/>
      <c r="L779" s="59"/>
      <c r="M779" s="59"/>
      <c r="N779" s="59"/>
      <c r="O779" s="59"/>
      <c r="P779" s="59"/>
      <c r="Q779" s="59"/>
      <c r="R779" s="59"/>
      <c r="S779" s="59"/>
      <c r="T779" s="59"/>
      <c r="U779" s="59"/>
    </row>
    <row r="780" ht="35.25" customHeight="1">
      <c r="A780" s="59"/>
      <c r="B780" s="59"/>
      <c r="C780" s="59"/>
      <c r="D780" s="59"/>
      <c r="E780" s="178"/>
      <c r="F780" s="59"/>
      <c r="G780" s="59"/>
      <c r="H780" s="59"/>
      <c r="I780" s="178"/>
      <c r="J780" s="59"/>
      <c r="K780" s="59"/>
      <c r="L780" s="59"/>
      <c r="M780" s="59"/>
      <c r="N780" s="59"/>
      <c r="O780" s="59"/>
      <c r="P780" s="59"/>
      <c r="Q780" s="59"/>
      <c r="R780" s="59"/>
      <c r="S780" s="59"/>
      <c r="T780" s="59"/>
      <c r="U780" s="59"/>
    </row>
    <row r="781" ht="35.25" customHeight="1">
      <c r="A781" s="59"/>
      <c r="B781" s="59"/>
      <c r="C781" s="59"/>
      <c r="D781" s="59"/>
      <c r="E781" s="178"/>
      <c r="F781" s="59"/>
      <c r="G781" s="59"/>
      <c r="H781" s="59"/>
      <c r="I781" s="178"/>
      <c r="J781" s="59"/>
      <c r="K781" s="59"/>
      <c r="L781" s="59"/>
      <c r="M781" s="59"/>
      <c r="N781" s="59"/>
      <c r="O781" s="59"/>
      <c r="P781" s="59"/>
      <c r="Q781" s="59"/>
      <c r="R781" s="59"/>
      <c r="S781" s="59"/>
      <c r="T781" s="59"/>
      <c r="U781" s="59"/>
    </row>
    <row r="782" ht="35.25" customHeight="1">
      <c r="A782" s="59"/>
      <c r="B782" s="59"/>
      <c r="C782" s="59"/>
      <c r="D782" s="59"/>
      <c r="E782" s="178"/>
      <c r="F782" s="59"/>
      <c r="G782" s="59"/>
      <c r="H782" s="59"/>
      <c r="I782" s="178"/>
      <c r="J782" s="59"/>
      <c r="K782" s="59"/>
      <c r="L782" s="59"/>
      <c r="M782" s="59"/>
      <c r="N782" s="59"/>
      <c r="O782" s="59"/>
      <c r="P782" s="59"/>
      <c r="Q782" s="59"/>
      <c r="R782" s="59"/>
      <c r="S782" s="59"/>
      <c r="T782" s="59"/>
      <c r="U782" s="59"/>
    </row>
    <row r="783" ht="35.25" customHeight="1">
      <c r="A783" s="59"/>
      <c r="B783" s="59"/>
      <c r="C783" s="59"/>
      <c r="D783" s="59"/>
      <c r="E783" s="178"/>
      <c r="F783" s="59"/>
      <c r="G783" s="59"/>
      <c r="H783" s="59"/>
      <c r="I783" s="178"/>
      <c r="J783" s="59"/>
      <c r="K783" s="59"/>
      <c r="L783" s="59"/>
      <c r="M783" s="59"/>
      <c r="N783" s="59"/>
      <c r="O783" s="59"/>
      <c r="P783" s="59"/>
      <c r="Q783" s="59"/>
      <c r="R783" s="59"/>
      <c r="S783" s="59"/>
      <c r="T783" s="59"/>
      <c r="U783" s="59"/>
    </row>
    <row r="784" ht="35.25" customHeight="1">
      <c r="A784" s="59"/>
      <c r="B784" s="59"/>
      <c r="C784" s="59"/>
      <c r="D784" s="59"/>
      <c r="E784" s="178"/>
      <c r="F784" s="59"/>
      <c r="G784" s="59"/>
      <c r="H784" s="59"/>
      <c r="I784" s="178"/>
      <c r="J784" s="59"/>
      <c r="K784" s="59"/>
      <c r="L784" s="59"/>
      <c r="M784" s="59"/>
      <c r="N784" s="59"/>
      <c r="O784" s="59"/>
      <c r="P784" s="59"/>
      <c r="Q784" s="59"/>
      <c r="R784" s="59"/>
      <c r="S784" s="59"/>
      <c r="T784" s="59"/>
      <c r="U784" s="59"/>
    </row>
    <row r="785" ht="35.25" customHeight="1">
      <c r="A785" s="59"/>
      <c r="B785" s="59"/>
      <c r="C785" s="59"/>
      <c r="D785" s="59"/>
      <c r="E785" s="178"/>
      <c r="F785" s="59"/>
      <c r="G785" s="59"/>
      <c r="H785" s="59"/>
      <c r="I785" s="178"/>
      <c r="J785" s="59"/>
      <c r="K785" s="59"/>
      <c r="L785" s="59"/>
      <c r="M785" s="59"/>
      <c r="N785" s="59"/>
      <c r="O785" s="59"/>
      <c r="P785" s="59"/>
      <c r="Q785" s="59"/>
      <c r="R785" s="59"/>
      <c r="S785" s="59"/>
      <c r="T785" s="59"/>
      <c r="U785" s="59"/>
    </row>
    <row r="786" ht="35.25" customHeight="1">
      <c r="A786" s="59"/>
      <c r="B786" s="59"/>
      <c r="C786" s="59"/>
      <c r="D786" s="59"/>
      <c r="E786" s="178"/>
      <c r="F786" s="59"/>
      <c r="G786" s="59"/>
      <c r="H786" s="59"/>
      <c r="I786" s="178"/>
      <c r="J786" s="59"/>
      <c r="K786" s="59"/>
      <c r="L786" s="59"/>
      <c r="M786" s="59"/>
      <c r="N786" s="59"/>
      <c r="O786" s="59"/>
      <c r="P786" s="59"/>
      <c r="Q786" s="59"/>
      <c r="R786" s="59"/>
      <c r="S786" s="59"/>
      <c r="T786" s="59"/>
      <c r="U786" s="59"/>
    </row>
    <row r="787" ht="35.25" customHeight="1">
      <c r="A787" s="59"/>
      <c r="B787" s="59"/>
      <c r="C787" s="59"/>
      <c r="D787" s="59"/>
      <c r="E787" s="178"/>
      <c r="F787" s="59"/>
      <c r="G787" s="59"/>
      <c r="H787" s="59"/>
      <c r="I787" s="178"/>
      <c r="J787" s="59"/>
      <c r="K787" s="59"/>
      <c r="L787" s="59"/>
      <c r="M787" s="59"/>
      <c r="N787" s="59"/>
      <c r="O787" s="59"/>
      <c r="P787" s="59"/>
      <c r="Q787" s="59"/>
      <c r="R787" s="59"/>
      <c r="S787" s="59"/>
      <c r="T787" s="59"/>
      <c r="U787" s="59"/>
    </row>
    <row r="788" ht="35.25" customHeight="1">
      <c r="A788" s="59"/>
      <c r="B788" s="59"/>
      <c r="C788" s="59"/>
      <c r="D788" s="59"/>
      <c r="E788" s="178"/>
      <c r="F788" s="59"/>
      <c r="G788" s="59"/>
      <c r="H788" s="59"/>
      <c r="I788" s="178"/>
      <c r="J788" s="59"/>
      <c r="K788" s="59"/>
      <c r="L788" s="59"/>
      <c r="M788" s="59"/>
      <c r="N788" s="59"/>
      <c r="O788" s="59"/>
      <c r="P788" s="59"/>
      <c r="Q788" s="59"/>
      <c r="R788" s="59"/>
      <c r="S788" s="59"/>
      <c r="T788" s="59"/>
      <c r="U788" s="59"/>
    </row>
    <row r="789" ht="35.25" customHeight="1">
      <c r="A789" s="59"/>
      <c r="B789" s="59"/>
      <c r="C789" s="59"/>
      <c r="D789" s="59"/>
      <c r="E789" s="178"/>
      <c r="F789" s="59"/>
      <c r="G789" s="59"/>
      <c r="H789" s="59"/>
      <c r="I789" s="178"/>
      <c r="J789" s="59"/>
      <c r="K789" s="59"/>
      <c r="L789" s="59"/>
      <c r="M789" s="59"/>
      <c r="N789" s="59"/>
      <c r="O789" s="59"/>
      <c r="P789" s="59"/>
      <c r="Q789" s="59"/>
      <c r="R789" s="59"/>
      <c r="S789" s="59"/>
      <c r="T789" s="59"/>
      <c r="U789" s="59"/>
    </row>
    <row r="790" ht="35.25" customHeight="1">
      <c r="A790" s="59"/>
      <c r="B790" s="59"/>
      <c r="C790" s="59"/>
      <c r="D790" s="59"/>
      <c r="E790" s="178"/>
      <c r="F790" s="59"/>
      <c r="G790" s="59"/>
      <c r="H790" s="59"/>
      <c r="I790" s="178"/>
      <c r="J790" s="59"/>
      <c r="K790" s="59"/>
      <c r="L790" s="59"/>
      <c r="M790" s="59"/>
      <c r="N790" s="59"/>
      <c r="O790" s="59"/>
      <c r="P790" s="59"/>
      <c r="Q790" s="59"/>
      <c r="R790" s="59"/>
      <c r="S790" s="59"/>
      <c r="T790" s="59"/>
      <c r="U790" s="59"/>
    </row>
    <row r="791" ht="35.25" customHeight="1">
      <c r="A791" s="59"/>
      <c r="B791" s="59"/>
      <c r="C791" s="59"/>
      <c r="D791" s="59"/>
      <c r="E791" s="178"/>
      <c r="F791" s="59"/>
      <c r="G791" s="59"/>
      <c r="H791" s="59"/>
      <c r="I791" s="178"/>
      <c r="J791" s="59"/>
      <c r="K791" s="59"/>
      <c r="L791" s="59"/>
      <c r="M791" s="59"/>
      <c r="N791" s="59"/>
      <c r="O791" s="59"/>
      <c r="P791" s="59"/>
      <c r="Q791" s="59"/>
      <c r="R791" s="59"/>
      <c r="S791" s="59"/>
      <c r="T791" s="59"/>
      <c r="U791" s="59"/>
    </row>
    <row r="792" ht="35.25" customHeight="1">
      <c r="A792" s="59"/>
      <c r="B792" s="59"/>
      <c r="C792" s="59"/>
      <c r="D792" s="59"/>
      <c r="E792" s="178"/>
      <c r="F792" s="59"/>
      <c r="G792" s="59"/>
      <c r="H792" s="59"/>
      <c r="I792" s="178"/>
      <c r="J792" s="59"/>
      <c r="K792" s="59"/>
      <c r="L792" s="59"/>
      <c r="M792" s="59"/>
      <c r="N792" s="59"/>
      <c r="O792" s="59"/>
      <c r="P792" s="59"/>
      <c r="Q792" s="59"/>
      <c r="R792" s="59"/>
      <c r="S792" s="59"/>
      <c r="T792" s="59"/>
      <c r="U792" s="59"/>
    </row>
    <row r="793" ht="35.25" customHeight="1">
      <c r="A793" s="59"/>
      <c r="B793" s="59"/>
      <c r="C793" s="59"/>
      <c r="D793" s="59"/>
      <c r="E793" s="178"/>
      <c r="F793" s="59"/>
      <c r="G793" s="59"/>
      <c r="H793" s="59"/>
      <c r="I793" s="178"/>
      <c r="J793" s="59"/>
      <c r="K793" s="59"/>
      <c r="L793" s="59"/>
      <c r="M793" s="59"/>
      <c r="N793" s="59"/>
      <c r="O793" s="59"/>
      <c r="P793" s="59"/>
      <c r="Q793" s="59"/>
      <c r="R793" s="59"/>
      <c r="S793" s="59"/>
      <c r="T793" s="59"/>
      <c r="U793" s="59"/>
    </row>
    <row r="794" ht="35.25" customHeight="1">
      <c r="A794" s="59"/>
      <c r="B794" s="59"/>
      <c r="C794" s="59"/>
      <c r="D794" s="59"/>
      <c r="E794" s="178"/>
      <c r="F794" s="59"/>
      <c r="G794" s="59"/>
      <c r="H794" s="59"/>
      <c r="I794" s="178"/>
      <c r="J794" s="59"/>
      <c r="K794" s="59"/>
      <c r="L794" s="59"/>
      <c r="M794" s="59"/>
      <c r="N794" s="59"/>
      <c r="O794" s="59"/>
      <c r="P794" s="59"/>
      <c r="Q794" s="59"/>
      <c r="R794" s="59"/>
      <c r="S794" s="59"/>
      <c r="T794" s="59"/>
      <c r="U794" s="59"/>
    </row>
    <row r="795" ht="35.25" customHeight="1">
      <c r="A795" s="59"/>
      <c r="B795" s="59"/>
      <c r="C795" s="59"/>
      <c r="D795" s="59"/>
      <c r="E795" s="178"/>
      <c r="F795" s="59"/>
      <c r="G795" s="59"/>
      <c r="H795" s="59"/>
      <c r="I795" s="178"/>
      <c r="J795" s="59"/>
      <c r="K795" s="59"/>
      <c r="L795" s="59"/>
      <c r="M795" s="59"/>
      <c r="N795" s="59"/>
      <c r="O795" s="59"/>
      <c r="P795" s="59"/>
      <c r="Q795" s="59"/>
      <c r="R795" s="59"/>
      <c r="S795" s="59"/>
      <c r="T795" s="59"/>
      <c r="U795" s="59"/>
    </row>
    <row r="796" ht="35.25" customHeight="1">
      <c r="A796" s="59"/>
      <c r="B796" s="59"/>
      <c r="C796" s="59"/>
      <c r="D796" s="59"/>
      <c r="E796" s="178"/>
      <c r="F796" s="59"/>
      <c r="G796" s="59"/>
      <c r="H796" s="59"/>
      <c r="I796" s="178"/>
      <c r="J796" s="59"/>
      <c r="K796" s="59"/>
      <c r="L796" s="59"/>
      <c r="M796" s="59"/>
      <c r="N796" s="59"/>
      <c r="O796" s="59"/>
      <c r="P796" s="59"/>
      <c r="Q796" s="59"/>
      <c r="R796" s="59"/>
      <c r="S796" s="59"/>
      <c r="T796" s="59"/>
      <c r="U796" s="59"/>
    </row>
    <row r="797" ht="35.25" customHeight="1">
      <c r="A797" s="59"/>
      <c r="B797" s="59"/>
      <c r="C797" s="59"/>
      <c r="D797" s="59"/>
      <c r="E797" s="178"/>
      <c r="F797" s="59"/>
      <c r="G797" s="59"/>
      <c r="H797" s="59"/>
      <c r="I797" s="178"/>
      <c r="J797" s="59"/>
      <c r="K797" s="59"/>
      <c r="L797" s="59"/>
      <c r="M797" s="59"/>
      <c r="N797" s="59"/>
      <c r="O797" s="59"/>
      <c r="P797" s="59"/>
      <c r="Q797" s="59"/>
      <c r="R797" s="59"/>
      <c r="S797" s="59"/>
      <c r="T797" s="59"/>
      <c r="U797" s="59"/>
    </row>
    <row r="798" ht="35.25" customHeight="1">
      <c r="A798" s="59"/>
      <c r="B798" s="59"/>
      <c r="C798" s="59"/>
      <c r="D798" s="59"/>
      <c r="E798" s="178"/>
      <c r="F798" s="59"/>
      <c r="G798" s="59"/>
      <c r="H798" s="59"/>
      <c r="I798" s="178"/>
      <c r="J798" s="59"/>
      <c r="K798" s="59"/>
      <c r="L798" s="59"/>
      <c r="M798" s="59"/>
      <c r="N798" s="59"/>
      <c r="O798" s="59"/>
      <c r="P798" s="59"/>
      <c r="Q798" s="59"/>
      <c r="R798" s="59"/>
      <c r="S798" s="59"/>
      <c r="T798" s="59"/>
      <c r="U798" s="59"/>
    </row>
    <row r="799" ht="35.25" customHeight="1">
      <c r="A799" s="59"/>
      <c r="B799" s="59"/>
      <c r="C799" s="59"/>
      <c r="D799" s="59"/>
      <c r="E799" s="178"/>
      <c r="F799" s="59"/>
      <c r="G799" s="59"/>
      <c r="H799" s="59"/>
      <c r="I799" s="178"/>
      <c r="J799" s="59"/>
      <c r="K799" s="59"/>
      <c r="L799" s="59"/>
      <c r="M799" s="59"/>
      <c r="N799" s="59"/>
      <c r="O799" s="59"/>
      <c r="P799" s="59"/>
      <c r="Q799" s="59"/>
      <c r="R799" s="59"/>
      <c r="S799" s="59"/>
      <c r="T799" s="59"/>
      <c r="U799" s="59"/>
    </row>
    <row r="800" ht="35.25" customHeight="1">
      <c r="A800" s="59"/>
      <c r="B800" s="59"/>
      <c r="C800" s="59"/>
      <c r="D800" s="59"/>
      <c r="E800" s="178"/>
      <c r="F800" s="59"/>
      <c r="G800" s="59"/>
      <c r="H800" s="59"/>
      <c r="I800" s="178"/>
      <c r="J800" s="59"/>
      <c r="K800" s="59"/>
      <c r="L800" s="59"/>
      <c r="M800" s="59"/>
      <c r="N800" s="59"/>
      <c r="O800" s="59"/>
      <c r="P800" s="59"/>
      <c r="Q800" s="59"/>
      <c r="R800" s="59"/>
      <c r="S800" s="59"/>
      <c r="T800" s="59"/>
      <c r="U800" s="59"/>
    </row>
    <row r="801" ht="35.25" customHeight="1">
      <c r="A801" s="59"/>
      <c r="B801" s="59"/>
      <c r="C801" s="59"/>
      <c r="D801" s="59"/>
      <c r="E801" s="178"/>
      <c r="F801" s="59"/>
      <c r="G801" s="59"/>
      <c r="H801" s="59"/>
      <c r="I801" s="178"/>
      <c r="J801" s="59"/>
      <c r="K801" s="59"/>
      <c r="L801" s="59"/>
      <c r="M801" s="59"/>
      <c r="N801" s="59"/>
      <c r="O801" s="59"/>
      <c r="P801" s="59"/>
      <c r="Q801" s="59"/>
      <c r="R801" s="59"/>
      <c r="S801" s="59"/>
      <c r="T801" s="59"/>
      <c r="U801" s="59"/>
    </row>
    <row r="802" ht="35.25" customHeight="1">
      <c r="A802" s="59"/>
      <c r="B802" s="59"/>
      <c r="C802" s="59"/>
      <c r="D802" s="59"/>
      <c r="E802" s="178"/>
      <c r="F802" s="59"/>
      <c r="G802" s="59"/>
      <c r="H802" s="59"/>
      <c r="I802" s="178"/>
      <c r="J802" s="59"/>
      <c r="K802" s="59"/>
      <c r="L802" s="59"/>
      <c r="M802" s="59"/>
      <c r="N802" s="59"/>
      <c r="O802" s="59"/>
      <c r="P802" s="59"/>
      <c r="Q802" s="59"/>
      <c r="R802" s="59"/>
      <c r="S802" s="59"/>
      <c r="T802" s="59"/>
      <c r="U802" s="59"/>
    </row>
    <row r="803" ht="35.25" customHeight="1">
      <c r="A803" s="59"/>
      <c r="B803" s="59"/>
      <c r="C803" s="59"/>
      <c r="D803" s="59"/>
      <c r="E803" s="178"/>
      <c r="F803" s="59"/>
      <c r="G803" s="59"/>
      <c r="H803" s="59"/>
      <c r="I803" s="178"/>
      <c r="J803" s="59"/>
      <c r="K803" s="59"/>
      <c r="L803" s="59"/>
      <c r="M803" s="59"/>
      <c r="N803" s="59"/>
      <c r="O803" s="59"/>
      <c r="P803" s="59"/>
      <c r="Q803" s="59"/>
      <c r="R803" s="59"/>
      <c r="S803" s="59"/>
      <c r="T803" s="59"/>
      <c r="U803" s="59"/>
    </row>
    <row r="804" ht="35.25" customHeight="1">
      <c r="A804" s="59"/>
      <c r="B804" s="59"/>
      <c r="C804" s="59"/>
      <c r="D804" s="59"/>
      <c r="E804" s="178"/>
      <c r="F804" s="59"/>
      <c r="G804" s="59"/>
      <c r="H804" s="59"/>
      <c r="I804" s="178"/>
      <c r="J804" s="59"/>
      <c r="K804" s="59"/>
      <c r="L804" s="59"/>
      <c r="M804" s="59"/>
      <c r="N804" s="59"/>
      <c r="O804" s="59"/>
      <c r="P804" s="59"/>
      <c r="Q804" s="59"/>
      <c r="R804" s="59"/>
      <c r="S804" s="59"/>
      <c r="T804" s="59"/>
      <c r="U804" s="59"/>
    </row>
    <row r="805" ht="35.25" customHeight="1">
      <c r="A805" s="59"/>
      <c r="B805" s="59"/>
      <c r="C805" s="59"/>
      <c r="D805" s="59"/>
      <c r="E805" s="178"/>
      <c r="F805" s="59"/>
      <c r="G805" s="59"/>
      <c r="H805" s="59"/>
      <c r="I805" s="178"/>
      <c r="J805" s="59"/>
      <c r="K805" s="59"/>
      <c r="L805" s="59"/>
      <c r="M805" s="59"/>
      <c r="N805" s="59"/>
      <c r="O805" s="59"/>
      <c r="P805" s="59"/>
      <c r="Q805" s="59"/>
      <c r="R805" s="59"/>
      <c r="S805" s="59"/>
      <c r="T805" s="59"/>
      <c r="U805" s="59"/>
    </row>
    <row r="806" ht="35.25" customHeight="1">
      <c r="A806" s="59"/>
      <c r="B806" s="59"/>
      <c r="C806" s="59"/>
      <c r="D806" s="59"/>
      <c r="E806" s="178"/>
      <c r="F806" s="59"/>
      <c r="G806" s="59"/>
      <c r="H806" s="59"/>
      <c r="I806" s="178"/>
      <c r="J806" s="59"/>
      <c r="K806" s="59"/>
      <c r="L806" s="59"/>
      <c r="M806" s="59"/>
      <c r="N806" s="59"/>
      <c r="O806" s="59"/>
      <c r="P806" s="59"/>
      <c r="Q806" s="59"/>
      <c r="R806" s="59"/>
      <c r="S806" s="59"/>
      <c r="T806" s="59"/>
      <c r="U806" s="59"/>
    </row>
    <row r="807" ht="35.25" customHeight="1">
      <c r="A807" s="59"/>
      <c r="B807" s="59"/>
      <c r="C807" s="59"/>
      <c r="D807" s="59"/>
      <c r="E807" s="178"/>
      <c r="F807" s="59"/>
      <c r="G807" s="59"/>
      <c r="H807" s="59"/>
      <c r="I807" s="178"/>
      <c r="J807" s="59"/>
      <c r="K807" s="59"/>
      <c r="L807" s="59"/>
      <c r="M807" s="59"/>
      <c r="N807" s="59"/>
      <c r="O807" s="59"/>
      <c r="P807" s="59"/>
      <c r="Q807" s="59"/>
      <c r="R807" s="59"/>
      <c r="S807" s="59"/>
      <c r="T807" s="59"/>
      <c r="U807" s="59"/>
    </row>
    <row r="808" ht="35.25" customHeight="1">
      <c r="A808" s="59"/>
      <c r="B808" s="59"/>
      <c r="C808" s="59"/>
      <c r="D808" s="59"/>
      <c r="E808" s="178"/>
      <c r="F808" s="59"/>
      <c r="G808" s="59"/>
      <c r="H808" s="59"/>
      <c r="I808" s="178"/>
      <c r="J808" s="59"/>
      <c r="K808" s="59"/>
      <c r="L808" s="59"/>
      <c r="M808" s="59"/>
      <c r="N808" s="59"/>
      <c r="O808" s="59"/>
      <c r="P808" s="59"/>
      <c r="Q808" s="59"/>
      <c r="R808" s="59"/>
      <c r="S808" s="59"/>
      <c r="T808" s="59"/>
      <c r="U808" s="59"/>
    </row>
    <row r="809" ht="35.25" customHeight="1">
      <c r="A809" s="59"/>
      <c r="B809" s="59"/>
      <c r="C809" s="59"/>
      <c r="D809" s="59"/>
      <c r="E809" s="178"/>
      <c r="F809" s="59"/>
      <c r="G809" s="59"/>
      <c r="H809" s="59"/>
      <c r="I809" s="178"/>
      <c r="J809" s="59"/>
      <c r="K809" s="59"/>
      <c r="L809" s="59"/>
      <c r="M809" s="59"/>
      <c r="N809" s="59"/>
      <c r="O809" s="59"/>
      <c r="P809" s="59"/>
      <c r="Q809" s="59"/>
      <c r="R809" s="59"/>
      <c r="S809" s="59"/>
      <c r="T809" s="59"/>
      <c r="U809" s="59"/>
    </row>
    <row r="810" ht="35.25" customHeight="1">
      <c r="A810" s="59"/>
      <c r="B810" s="59"/>
      <c r="C810" s="59"/>
      <c r="D810" s="59"/>
      <c r="E810" s="178"/>
      <c r="F810" s="59"/>
      <c r="G810" s="59"/>
      <c r="H810" s="59"/>
      <c r="I810" s="178"/>
      <c r="J810" s="59"/>
      <c r="K810" s="59"/>
      <c r="L810" s="59"/>
      <c r="M810" s="59"/>
      <c r="N810" s="59"/>
      <c r="O810" s="59"/>
      <c r="P810" s="59"/>
      <c r="Q810" s="59"/>
      <c r="R810" s="59"/>
      <c r="S810" s="59"/>
      <c r="T810" s="59"/>
      <c r="U810" s="59"/>
    </row>
    <row r="811" ht="35.25" customHeight="1">
      <c r="A811" s="59"/>
      <c r="B811" s="59"/>
      <c r="C811" s="59"/>
      <c r="D811" s="59"/>
      <c r="E811" s="178"/>
      <c r="F811" s="59"/>
      <c r="G811" s="59"/>
      <c r="H811" s="59"/>
      <c r="I811" s="178"/>
      <c r="J811" s="59"/>
      <c r="K811" s="59"/>
      <c r="L811" s="59"/>
      <c r="M811" s="59"/>
      <c r="N811" s="59"/>
      <c r="O811" s="59"/>
      <c r="P811" s="59"/>
      <c r="Q811" s="59"/>
      <c r="R811" s="59"/>
      <c r="S811" s="59"/>
      <c r="T811" s="59"/>
      <c r="U811" s="59"/>
    </row>
    <row r="812" ht="35.25" customHeight="1">
      <c r="A812" s="59"/>
      <c r="B812" s="59"/>
      <c r="C812" s="59"/>
      <c r="D812" s="59"/>
      <c r="E812" s="178"/>
      <c r="F812" s="59"/>
      <c r="G812" s="59"/>
      <c r="H812" s="59"/>
      <c r="I812" s="178"/>
      <c r="J812" s="59"/>
      <c r="K812" s="59"/>
      <c r="L812" s="59"/>
      <c r="M812" s="59"/>
      <c r="N812" s="59"/>
      <c r="O812" s="59"/>
      <c r="P812" s="59"/>
      <c r="Q812" s="59"/>
      <c r="R812" s="59"/>
      <c r="S812" s="59"/>
      <c r="T812" s="59"/>
      <c r="U812" s="59"/>
    </row>
    <row r="813" ht="35.25" customHeight="1">
      <c r="A813" s="59"/>
      <c r="B813" s="59"/>
      <c r="C813" s="59"/>
      <c r="D813" s="59"/>
      <c r="E813" s="178"/>
      <c r="F813" s="59"/>
      <c r="G813" s="59"/>
      <c r="H813" s="59"/>
      <c r="I813" s="178"/>
      <c r="J813" s="59"/>
      <c r="K813" s="59"/>
      <c r="L813" s="59"/>
      <c r="M813" s="59"/>
      <c r="N813" s="59"/>
      <c r="O813" s="59"/>
      <c r="P813" s="59"/>
      <c r="Q813" s="59"/>
      <c r="R813" s="59"/>
      <c r="S813" s="59"/>
      <c r="T813" s="59"/>
      <c r="U813" s="59"/>
    </row>
    <row r="814" ht="35.25" customHeight="1">
      <c r="A814" s="59"/>
      <c r="B814" s="59"/>
      <c r="C814" s="59"/>
      <c r="D814" s="59"/>
      <c r="E814" s="178"/>
      <c r="F814" s="59"/>
      <c r="G814" s="59"/>
      <c r="H814" s="59"/>
      <c r="I814" s="178"/>
      <c r="J814" s="59"/>
      <c r="K814" s="59"/>
      <c r="L814" s="59"/>
      <c r="M814" s="59"/>
      <c r="N814" s="59"/>
      <c r="O814" s="59"/>
      <c r="P814" s="59"/>
      <c r="Q814" s="59"/>
      <c r="R814" s="59"/>
      <c r="S814" s="59"/>
      <c r="T814" s="59"/>
      <c r="U814" s="59"/>
    </row>
    <row r="815" ht="35.25" customHeight="1">
      <c r="A815" s="59"/>
      <c r="B815" s="59"/>
      <c r="C815" s="59"/>
      <c r="D815" s="59"/>
      <c r="E815" s="178"/>
      <c r="F815" s="59"/>
      <c r="G815" s="59"/>
      <c r="H815" s="59"/>
      <c r="I815" s="178"/>
      <c r="J815" s="59"/>
      <c r="K815" s="59"/>
      <c r="L815" s="59"/>
      <c r="M815" s="59"/>
      <c r="N815" s="59"/>
      <c r="O815" s="59"/>
      <c r="P815" s="59"/>
      <c r="Q815" s="59"/>
      <c r="R815" s="59"/>
      <c r="S815" s="59"/>
      <c r="T815" s="59"/>
      <c r="U815" s="59"/>
    </row>
    <row r="816" ht="35.25" customHeight="1">
      <c r="A816" s="59"/>
      <c r="B816" s="59"/>
      <c r="C816" s="59"/>
      <c r="D816" s="59"/>
      <c r="E816" s="178"/>
      <c r="F816" s="59"/>
      <c r="G816" s="59"/>
      <c r="H816" s="59"/>
      <c r="I816" s="178"/>
      <c r="J816" s="59"/>
      <c r="K816" s="59"/>
      <c r="L816" s="59"/>
      <c r="M816" s="59"/>
      <c r="N816" s="59"/>
      <c r="O816" s="59"/>
      <c r="P816" s="59"/>
      <c r="Q816" s="59"/>
      <c r="R816" s="59"/>
      <c r="S816" s="59"/>
      <c r="T816" s="59"/>
      <c r="U816" s="59"/>
    </row>
    <row r="817" ht="35.25" customHeight="1">
      <c r="A817" s="59"/>
      <c r="B817" s="59"/>
      <c r="C817" s="59"/>
      <c r="D817" s="59"/>
      <c r="E817" s="178"/>
      <c r="F817" s="59"/>
      <c r="G817" s="59"/>
      <c r="H817" s="59"/>
      <c r="I817" s="178"/>
      <c r="J817" s="59"/>
      <c r="K817" s="59"/>
      <c r="L817" s="59"/>
      <c r="M817" s="59"/>
      <c r="N817" s="59"/>
      <c r="O817" s="59"/>
      <c r="P817" s="59"/>
      <c r="Q817" s="59"/>
      <c r="R817" s="59"/>
      <c r="S817" s="59"/>
      <c r="T817" s="59"/>
      <c r="U817" s="59"/>
    </row>
    <row r="818" ht="35.25" customHeight="1">
      <c r="A818" s="59"/>
      <c r="B818" s="59"/>
      <c r="C818" s="59"/>
      <c r="D818" s="59"/>
      <c r="E818" s="178"/>
      <c r="F818" s="59"/>
      <c r="G818" s="59"/>
      <c r="H818" s="59"/>
      <c r="I818" s="178"/>
      <c r="J818" s="59"/>
      <c r="K818" s="59"/>
      <c r="L818" s="59"/>
      <c r="M818" s="59"/>
      <c r="N818" s="59"/>
      <c r="O818" s="59"/>
      <c r="P818" s="59"/>
      <c r="Q818" s="59"/>
      <c r="R818" s="59"/>
      <c r="S818" s="59"/>
      <c r="T818" s="59"/>
      <c r="U818" s="59"/>
    </row>
    <row r="819" ht="35.25" customHeight="1">
      <c r="A819" s="59"/>
      <c r="B819" s="59"/>
      <c r="C819" s="59"/>
      <c r="D819" s="59"/>
      <c r="E819" s="178"/>
      <c r="F819" s="59"/>
      <c r="G819" s="59"/>
      <c r="H819" s="59"/>
      <c r="I819" s="178"/>
      <c r="J819" s="59"/>
      <c r="K819" s="59"/>
      <c r="L819" s="59"/>
      <c r="M819" s="59"/>
      <c r="N819" s="59"/>
      <c r="O819" s="59"/>
      <c r="P819" s="59"/>
      <c r="Q819" s="59"/>
      <c r="R819" s="59"/>
      <c r="S819" s="59"/>
      <c r="T819" s="59"/>
      <c r="U819" s="59"/>
    </row>
    <row r="820" ht="35.25" customHeight="1">
      <c r="A820" s="59"/>
      <c r="B820" s="59"/>
      <c r="C820" s="59"/>
      <c r="D820" s="59"/>
      <c r="E820" s="178"/>
      <c r="F820" s="59"/>
      <c r="G820" s="59"/>
      <c r="H820" s="59"/>
      <c r="I820" s="178"/>
      <c r="J820" s="59"/>
      <c r="K820" s="59"/>
      <c r="L820" s="59"/>
      <c r="M820" s="59"/>
      <c r="N820" s="59"/>
      <c r="O820" s="59"/>
      <c r="P820" s="59"/>
      <c r="Q820" s="59"/>
      <c r="R820" s="59"/>
      <c r="S820" s="59"/>
      <c r="T820" s="59"/>
      <c r="U820" s="59"/>
    </row>
    <row r="821" ht="35.25" customHeight="1">
      <c r="A821" s="59"/>
      <c r="B821" s="59"/>
      <c r="C821" s="59"/>
      <c r="D821" s="59"/>
      <c r="E821" s="178"/>
      <c r="F821" s="59"/>
      <c r="G821" s="59"/>
      <c r="H821" s="59"/>
      <c r="I821" s="178"/>
      <c r="J821" s="59"/>
      <c r="K821" s="59"/>
      <c r="L821" s="59"/>
      <c r="M821" s="59"/>
      <c r="N821" s="59"/>
      <c r="O821" s="59"/>
      <c r="P821" s="59"/>
      <c r="Q821" s="59"/>
      <c r="R821" s="59"/>
      <c r="S821" s="59"/>
      <c r="T821" s="59"/>
      <c r="U821" s="59"/>
    </row>
    <row r="822" ht="35.25" customHeight="1">
      <c r="A822" s="59"/>
      <c r="B822" s="59"/>
      <c r="C822" s="59"/>
      <c r="D822" s="59"/>
      <c r="E822" s="178"/>
      <c r="F822" s="59"/>
      <c r="G822" s="59"/>
      <c r="H822" s="59"/>
      <c r="I822" s="178"/>
      <c r="J822" s="59"/>
      <c r="K822" s="59"/>
      <c r="L822" s="59"/>
      <c r="M822" s="59"/>
      <c r="N822" s="59"/>
      <c r="O822" s="59"/>
      <c r="P822" s="59"/>
      <c r="Q822" s="59"/>
      <c r="R822" s="59"/>
      <c r="S822" s="59"/>
      <c r="T822" s="59"/>
      <c r="U822" s="59"/>
    </row>
    <row r="823" ht="35.25" customHeight="1">
      <c r="A823" s="59"/>
      <c r="B823" s="59"/>
      <c r="C823" s="59"/>
      <c r="D823" s="59"/>
      <c r="E823" s="178"/>
      <c r="F823" s="59"/>
      <c r="G823" s="59"/>
      <c r="H823" s="59"/>
      <c r="I823" s="178"/>
      <c r="J823" s="59"/>
      <c r="K823" s="59"/>
      <c r="L823" s="59"/>
      <c r="M823" s="59"/>
      <c r="N823" s="59"/>
      <c r="O823" s="59"/>
      <c r="P823" s="59"/>
      <c r="Q823" s="59"/>
      <c r="R823" s="59"/>
      <c r="S823" s="59"/>
      <c r="T823" s="59"/>
      <c r="U823" s="59"/>
    </row>
    <row r="824" ht="35.25" customHeight="1">
      <c r="A824" s="59"/>
      <c r="B824" s="59"/>
      <c r="C824" s="59"/>
      <c r="D824" s="59"/>
      <c r="E824" s="178"/>
      <c r="F824" s="59"/>
      <c r="G824" s="59"/>
      <c r="H824" s="59"/>
      <c r="I824" s="178"/>
      <c r="J824" s="59"/>
      <c r="K824" s="59"/>
      <c r="L824" s="59"/>
      <c r="M824" s="59"/>
      <c r="N824" s="59"/>
      <c r="O824" s="59"/>
      <c r="P824" s="59"/>
      <c r="Q824" s="59"/>
      <c r="R824" s="59"/>
      <c r="S824" s="59"/>
      <c r="T824" s="59"/>
      <c r="U824" s="59"/>
    </row>
    <row r="825" ht="35.25" customHeight="1">
      <c r="A825" s="59"/>
      <c r="B825" s="59"/>
      <c r="C825" s="59"/>
      <c r="D825" s="59"/>
      <c r="E825" s="178"/>
      <c r="F825" s="59"/>
      <c r="G825" s="59"/>
      <c r="H825" s="59"/>
      <c r="I825" s="178"/>
      <c r="J825" s="59"/>
      <c r="K825" s="59"/>
      <c r="L825" s="59"/>
      <c r="M825" s="59"/>
      <c r="N825" s="59"/>
      <c r="O825" s="59"/>
      <c r="P825" s="59"/>
      <c r="Q825" s="59"/>
      <c r="R825" s="59"/>
      <c r="S825" s="59"/>
      <c r="T825" s="59"/>
      <c r="U825" s="59"/>
    </row>
    <row r="826" ht="35.25" customHeight="1">
      <c r="A826" s="59"/>
      <c r="B826" s="59"/>
      <c r="C826" s="59"/>
      <c r="D826" s="59"/>
      <c r="E826" s="178"/>
      <c r="F826" s="59"/>
      <c r="G826" s="59"/>
      <c r="H826" s="59"/>
      <c r="I826" s="178"/>
      <c r="J826" s="59"/>
      <c r="K826" s="59"/>
      <c r="L826" s="59"/>
      <c r="M826" s="59"/>
      <c r="N826" s="59"/>
      <c r="O826" s="59"/>
      <c r="P826" s="59"/>
      <c r="Q826" s="59"/>
      <c r="R826" s="59"/>
      <c r="S826" s="59"/>
      <c r="T826" s="59"/>
      <c r="U826" s="59"/>
    </row>
    <row r="827" ht="35.25" customHeight="1">
      <c r="A827" s="59"/>
      <c r="B827" s="59"/>
      <c r="C827" s="59"/>
      <c r="D827" s="59"/>
      <c r="E827" s="178"/>
      <c r="F827" s="59"/>
      <c r="G827" s="59"/>
      <c r="H827" s="59"/>
      <c r="I827" s="178"/>
      <c r="J827" s="59"/>
      <c r="K827" s="59"/>
      <c r="L827" s="59"/>
      <c r="M827" s="59"/>
      <c r="N827" s="59"/>
      <c r="O827" s="59"/>
      <c r="P827" s="59"/>
      <c r="Q827" s="59"/>
      <c r="R827" s="59"/>
      <c r="S827" s="59"/>
      <c r="T827" s="59"/>
      <c r="U827" s="59"/>
    </row>
    <row r="828" ht="35.25" customHeight="1">
      <c r="A828" s="59"/>
      <c r="B828" s="59"/>
      <c r="C828" s="59"/>
      <c r="D828" s="59"/>
      <c r="E828" s="178"/>
      <c r="F828" s="59"/>
      <c r="G828" s="59"/>
      <c r="H828" s="59"/>
      <c r="I828" s="178"/>
      <c r="J828" s="59"/>
      <c r="K828" s="59"/>
      <c r="L828" s="59"/>
      <c r="M828" s="59"/>
      <c r="N828" s="59"/>
      <c r="O828" s="59"/>
      <c r="P828" s="59"/>
      <c r="Q828" s="59"/>
      <c r="R828" s="59"/>
      <c r="S828" s="59"/>
      <c r="T828" s="59"/>
      <c r="U828" s="59"/>
    </row>
    <row r="829" ht="35.25" customHeight="1">
      <c r="A829" s="59"/>
      <c r="B829" s="59"/>
      <c r="C829" s="59"/>
      <c r="D829" s="59"/>
      <c r="E829" s="178"/>
      <c r="F829" s="59"/>
      <c r="G829" s="59"/>
      <c r="H829" s="59"/>
      <c r="I829" s="178"/>
      <c r="J829" s="59"/>
      <c r="K829" s="59"/>
      <c r="L829" s="59"/>
      <c r="M829" s="59"/>
      <c r="N829" s="59"/>
      <c r="O829" s="59"/>
      <c r="P829" s="59"/>
      <c r="Q829" s="59"/>
      <c r="R829" s="59"/>
      <c r="S829" s="59"/>
      <c r="T829" s="59"/>
      <c r="U829" s="59"/>
    </row>
    <row r="830" ht="35.25" customHeight="1">
      <c r="A830" s="59"/>
      <c r="B830" s="59"/>
      <c r="C830" s="59"/>
      <c r="D830" s="59"/>
      <c r="E830" s="178"/>
      <c r="F830" s="59"/>
      <c r="G830" s="59"/>
      <c r="H830" s="59"/>
      <c r="I830" s="178"/>
      <c r="J830" s="59"/>
      <c r="K830" s="59"/>
      <c r="L830" s="59"/>
      <c r="M830" s="59"/>
      <c r="N830" s="59"/>
      <c r="O830" s="59"/>
      <c r="P830" s="59"/>
      <c r="Q830" s="59"/>
      <c r="R830" s="59"/>
      <c r="S830" s="59"/>
      <c r="T830" s="59"/>
      <c r="U830" s="59"/>
    </row>
    <row r="831" ht="35.25" customHeight="1">
      <c r="A831" s="59"/>
      <c r="B831" s="59"/>
      <c r="C831" s="59"/>
      <c r="D831" s="59"/>
      <c r="E831" s="178"/>
      <c r="F831" s="59"/>
      <c r="G831" s="59"/>
      <c r="H831" s="59"/>
      <c r="I831" s="178"/>
      <c r="J831" s="59"/>
      <c r="K831" s="59"/>
      <c r="L831" s="59"/>
      <c r="M831" s="59"/>
      <c r="N831" s="59"/>
      <c r="O831" s="59"/>
      <c r="P831" s="59"/>
      <c r="Q831" s="59"/>
      <c r="R831" s="59"/>
      <c r="S831" s="59"/>
      <c r="T831" s="59"/>
      <c r="U831" s="59"/>
    </row>
    <row r="832" ht="35.25" customHeight="1">
      <c r="A832" s="59"/>
      <c r="B832" s="59"/>
      <c r="C832" s="59"/>
      <c r="D832" s="59"/>
      <c r="E832" s="178"/>
      <c r="F832" s="59"/>
      <c r="G832" s="59"/>
      <c r="H832" s="59"/>
      <c r="I832" s="178"/>
      <c r="J832" s="59"/>
      <c r="K832" s="59"/>
      <c r="L832" s="59"/>
      <c r="M832" s="59"/>
      <c r="N832" s="59"/>
      <c r="O832" s="59"/>
      <c r="P832" s="59"/>
      <c r="Q832" s="59"/>
      <c r="R832" s="59"/>
      <c r="S832" s="59"/>
      <c r="T832" s="59"/>
      <c r="U832" s="59"/>
    </row>
    <row r="833" ht="35.25" customHeight="1">
      <c r="A833" s="59"/>
      <c r="B833" s="59"/>
      <c r="C833" s="59"/>
      <c r="D833" s="59"/>
      <c r="E833" s="178"/>
      <c r="F833" s="59"/>
      <c r="G833" s="59"/>
      <c r="H833" s="59"/>
      <c r="I833" s="178"/>
      <c r="J833" s="59"/>
      <c r="K833" s="59"/>
      <c r="L833" s="59"/>
      <c r="M833" s="59"/>
      <c r="N833" s="59"/>
      <c r="O833" s="59"/>
      <c r="P833" s="59"/>
      <c r="Q833" s="59"/>
      <c r="R833" s="59"/>
      <c r="S833" s="59"/>
      <c r="T833" s="59"/>
      <c r="U833" s="59"/>
    </row>
    <row r="834" ht="35.25" customHeight="1">
      <c r="A834" s="59"/>
      <c r="B834" s="59"/>
      <c r="C834" s="59"/>
      <c r="D834" s="59"/>
      <c r="E834" s="178"/>
      <c r="F834" s="59"/>
      <c r="G834" s="59"/>
      <c r="H834" s="59"/>
      <c r="I834" s="178"/>
      <c r="J834" s="59"/>
      <c r="K834" s="59"/>
      <c r="L834" s="59"/>
      <c r="M834" s="59"/>
      <c r="N834" s="59"/>
      <c r="O834" s="59"/>
      <c r="P834" s="59"/>
      <c r="Q834" s="59"/>
      <c r="R834" s="59"/>
      <c r="S834" s="59"/>
      <c r="T834" s="59"/>
      <c r="U834" s="59"/>
    </row>
    <row r="835" ht="35.25" customHeight="1">
      <c r="A835" s="59"/>
      <c r="B835" s="59"/>
      <c r="C835" s="59"/>
      <c r="D835" s="59"/>
      <c r="E835" s="178"/>
      <c r="F835" s="59"/>
      <c r="G835" s="59"/>
      <c r="H835" s="59"/>
      <c r="I835" s="178"/>
      <c r="J835" s="59"/>
      <c r="K835" s="59"/>
      <c r="L835" s="59"/>
      <c r="M835" s="59"/>
      <c r="N835" s="59"/>
      <c r="O835" s="59"/>
      <c r="P835" s="59"/>
      <c r="Q835" s="59"/>
      <c r="R835" s="59"/>
      <c r="S835" s="59"/>
      <c r="T835" s="59"/>
      <c r="U835" s="59"/>
    </row>
    <row r="836" ht="35.25" customHeight="1">
      <c r="A836" s="59"/>
      <c r="B836" s="59"/>
      <c r="C836" s="59"/>
      <c r="D836" s="59"/>
      <c r="E836" s="178"/>
      <c r="F836" s="59"/>
      <c r="G836" s="59"/>
      <c r="H836" s="59"/>
      <c r="I836" s="178"/>
      <c r="J836" s="59"/>
      <c r="K836" s="59"/>
      <c r="L836" s="59"/>
      <c r="M836" s="59"/>
      <c r="N836" s="59"/>
      <c r="O836" s="59"/>
      <c r="P836" s="59"/>
      <c r="Q836" s="59"/>
      <c r="R836" s="59"/>
      <c r="S836" s="59"/>
      <c r="T836" s="59"/>
      <c r="U836" s="59"/>
    </row>
    <row r="837" ht="35.25" customHeight="1">
      <c r="A837" s="59"/>
      <c r="B837" s="59"/>
      <c r="C837" s="59"/>
      <c r="D837" s="59"/>
      <c r="E837" s="178"/>
      <c r="F837" s="59"/>
      <c r="G837" s="59"/>
      <c r="H837" s="59"/>
      <c r="I837" s="178"/>
      <c r="J837" s="59"/>
      <c r="K837" s="59"/>
      <c r="L837" s="59"/>
      <c r="M837" s="59"/>
      <c r="N837" s="59"/>
      <c r="O837" s="59"/>
      <c r="P837" s="59"/>
      <c r="Q837" s="59"/>
      <c r="R837" s="59"/>
      <c r="S837" s="59"/>
      <c r="T837" s="59"/>
      <c r="U837" s="59"/>
    </row>
    <row r="838" ht="35.25" customHeight="1">
      <c r="A838" s="59"/>
      <c r="B838" s="59"/>
      <c r="C838" s="59"/>
      <c r="D838" s="59"/>
      <c r="E838" s="178"/>
      <c r="F838" s="59"/>
      <c r="G838" s="59"/>
      <c r="H838" s="59"/>
      <c r="I838" s="178"/>
      <c r="J838" s="59"/>
      <c r="K838" s="59"/>
      <c r="L838" s="59"/>
      <c r="M838" s="59"/>
      <c r="N838" s="59"/>
      <c r="O838" s="59"/>
      <c r="P838" s="59"/>
      <c r="Q838" s="59"/>
      <c r="R838" s="59"/>
      <c r="S838" s="59"/>
      <c r="T838" s="59"/>
      <c r="U838" s="59"/>
    </row>
    <row r="839" ht="35.25" customHeight="1">
      <c r="A839" s="59"/>
      <c r="B839" s="59"/>
      <c r="C839" s="59"/>
      <c r="D839" s="59"/>
      <c r="E839" s="178"/>
      <c r="F839" s="59"/>
      <c r="G839" s="59"/>
      <c r="H839" s="59"/>
      <c r="I839" s="178"/>
      <c r="J839" s="59"/>
      <c r="K839" s="59"/>
      <c r="L839" s="59"/>
      <c r="M839" s="59"/>
      <c r="N839" s="59"/>
      <c r="O839" s="59"/>
      <c r="P839" s="59"/>
      <c r="Q839" s="59"/>
      <c r="R839" s="59"/>
      <c r="S839" s="59"/>
      <c r="T839" s="59"/>
      <c r="U839" s="59"/>
    </row>
    <row r="840" ht="35.25" customHeight="1">
      <c r="A840" s="59"/>
      <c r="B840" s="59"/>
      <c r="C840" s="59"/>
      <c r="D840" s="59"/>
      <c r="E840" s="178"/>
      <c r="F840" s="59"/>
      <c r="G840" s="59"/>
      <c r="H840" s="59"/>
      <c r="I840" s="178"/>
      <c r="J840" s="59"/>
      <c r="K840" s="59"/>
      <c r="L840" s="59"/>
      <c r="M840" s="59"/>
      <c r="N840" s="59"/>
      <c r="O840" s="59"/>
      <c r="P840" s="59"/>
      <c r="Q840" s="59"/>
      <c r="R840" s="59"/>
      <c r="S840" s="59"/>
      <c r="T840" s="59"/>
      <c r="U840" s="59"/>
    </row>
    <row r="841" ht="35.25" customHeight="1">
      <c r="A841" s="59"/>
      <c r="B841" s="59"/>
      <c r="C841" s="59"/>
      <c r="D841" s="59"/>
      <c r="E841" s="178"/>
      <c r="F841" s="59"/>
      <c r="G841" s="59"/>
      <c r="H841" s="59"/>
      <c r="I841" s="178"/>
      <c r="J841" s="59"/>
      <c r="K841" s="59"/>
      <c r="L841" s="59"/>
      <c r="M841" s="59"/>
      <c r="N841" s="59"/>
      <c r="O841" s="59"/>
      <c r="P841" s="59"/>
      <c r="Q841" s="59"/>
      <c r="R841" s="59"/>
      <c r="S841" s="59"/>
      <c r="T841" s="59"/>
      <c r="U841" s="59"/>
    </row>
    <row r="842" ht="35.25" customHeight="1">
      <c r="A842" s="59"/>
      <c r="B842" s="59"/>
      <c r="C842" s="59"/>
      <c r="D842" s="59"/>
      <c r="E842" s="178"/>
      <c r="F842" s="59"/>
      <c r="G842" s="59"/>
      <c r="H842" s="59"/>
      <c r="I842" s="178"/>
      <c r="J842" s="59"/>
      <c r="K842" s="59"/>
      <c r="L842" s="59"/>
      <c r="M842" s="59"/>
      <c r="N842" s="59"/>
      <c r="O842" s="59"/>
      <c r="P842" s="59"/>
      <c r="Q842" s="59"/>
      <c r="R842" s="59"/>
      <c r="S842" s="59"/>
      <c r="T842" s="59"/>
      <c r="U842" s="59"/>
    </row>
    <row r="843" ht="35.25" customHeight="1">
      <c r="A843" s="59"/>
      <c r="B843" s="59"/>
      <c r="C843" s="59"/>
      <c r="D843" s="59"/>
      <c r="E843" s="178"/>
      <c r="F843" s="59"/>
      <c r="G843" s="59"/>
      <c r="H843" s="59"/>
      <c r="I843" s="178"/>
      <c r="J843" s="59"/>
      <c r="K843" s="59"/>
      <c r="L843" s="59"/>
      <c r="M843" s="59"/>
      <c r="N843" s="59"/>
      <c r="O843" s="59"/>
      <c r="P843" s="59"/>
      <c r="Q843" s="59"/>
      <c r="R843" s="59"/>
      <c r="S843" s="59"/>
      <c r="T843" s="59"/>
      <c r="U843" s="59"/>
    </row>
    <row r="844" ht="35.25" customHeight="1">
      <c r="A844" s="59"/>
      <c r="B844" s="59"/>
      <c r="C844" s="59"/>
      <c r="D844" s="59"/>
      <c r="E844" s="178"/>
      <c r="F844" s="59"/>
      <c r="G844" s="59"/>
      <c r="H844" s="59"/>
      <c r="I844" s="178"/>
      <c r="J844" s="59"/>
      <c r="K844" s="59"/>
      <c r="L844" s="59"/>
      <c r="M844" s="59"/>
      <c r="N844" s="59"/>
      <c r="O844" s="59"/>
      <c r="P844" s="59"/>
      <c r="Q844" s="59"/>
      <c r="R844" s="59"/>
      <c r="S844" s="59"/>
      <c r="T844" s="59"/>
      <c r="U844" s="59"/>
    </row>
    <row r="845" ht="35.25" customHeight="1">
      <c r="A845" s="59"/>
      <c r="B845" s="59"/>
      <c r="C845" s="59"/>
      <c r="D845" s="59"/>
      <c r="E845" s="178"/>
      <c r="F845" s="59"/>
      <c r="G845" s="59"/>
      <c r="H845" s="59"/>
      <c r="I845" s="178"/>
      <c r="J845" s="59"/>
      <c r="K845" s="59"/>
      <c r="L845" s="59"/>
      <c r="M845" s="59"/>
      <c r="N845" s="59"/>
      <c r="O845" s="59"/>
      <c r="P845" s="59"/>
      <c r="Q845" s="59"/>
      <c r="R845" s="59"/>
      <c r="S845" s="59"/>
      <c r="T845" s="59"/>
      <c r="U845" s="59"/>
    </row>
    <row r="846" ht="35.25" customHeight="1">
      <c r="A846" s="59"/>
      <c r="B846" s="59"/>
      <c r="C846" s="59"/>
      <c r="D846" s="59"/>
      <c r="E846" s="178"/>
      <c r="F846" s="59"/>
      <c r="G846" s="59"/>
      <c r="H846" s="59"/>
      <c r="I846" s="178"/>
      <c r="J846" s="59"/>
      <c r="K846" s="59"/>
      <c r="L846" s="59"/>
      <c r="M846" s="59"/>
      <c r="N846" s="59"/>
      <c r="O846" s="59"/>
      <c r="P846" s="59"/>
      <c r="Q846" s="59"/>
      <c r="R846" s="59"/>
      <c r="S846" s="59"/>
      <c r="T846" s="59"/>
      <c r="U846" s="59"/>
    </row>
    <row r="847" ht="35.25" customHeight="1">
      <c r="A847" s="59"/>
      <c r="B847" s="59"/>
      <c r="C847" s="59"/>
      <c r="D847" s="59"/>
      <c r="E847" s="178"/>
      <c r="F847" s="59"/>
      <c r="G847" s="59"/>
      <c r="H847" s="59"/>
      <c r="I847" s="178"/>
      <c r="J847" s="59"/>
      <c r="K847" s="59"/>
      <c r="L847" s="59"/>
      <c r="M847" s="59"/>
      <c r="N847" s="59"/>
      <c r="O847" s="59"/>
      <c r="P847" s="59"/>
      <c r="Q847" s="59"/>
      <c r="R847" s="59"/>
      <c r="S847" s="59"/>
      <c r="T847" s="59"/>
      <c r="U847" s="59"/>
    </row>
    <row r="848" ht="35.25" customHeight="1">
      <c r="A848" s="59"/>
      <c r="B848" s="59"/>
      <c r="C848" s="59"/>
      <c r="D848" s="59"/>
      <c r="E848" s="178"/>
      <c r="F848" s="59"/>
      <c r="G848" s="59"/>
      <c r="H848" s="59"/>
      <c r="I848" s="178"/>
      <c r="J848" s="59"/>
      <c r="K848" s="59"/>
      <c r="L848" s="59"/>
      <c r="M848" s="59"/>
      <c r="N848" s="59"/>
      <c r="O848" s="59"/>
      <c r="P848" s="59"/>
      <c r="Q848" s="59"/>
      <c r="R848" s="59"/>
      <c r="S848" s="59"/>
      <c r="T848" s="59"/>
      <c r="U848" s="59"/>
    </row>
    <row r="849" ht="35.25" customHeight="1">
      <c r="A849" s="59"/>
      <c r="B849" s="59"/>
      <c r="C849" s="59"/>
      <c r="D849" s="59"/>
      <c r="E849" s="178"/>
      <c r="F849" s="59"/>
      <c r="G849" s="59"/>
      <c r="H849" s="59"/>
      <c r="I849" s="178"/>
      <c r="J849" s="59"/>
      <c r="K849" s="59"/>
      <c r="L849" s="59"/>
      <c r="M849" s="59"/>
      <c r="N849" s="59"/>
      <c r="O849" s="59"/>
      <c r="P849" s="59"/>
      <c r="Q849" s="59"/>
      <c r="R849" s="59"/>
      <c r="S849" s="59"/>
      <c r="T849" s="59"/>
      <c r="U849" s="59"/>
    </row>
    <row r="850" ht="35.25" customHeight="1">
      <c r="A850" s="59"/>
      <c r="B850" s="59"/>
      <c r="C850" s="59"/>
      <c r="D850" s="59"/>
      <c r="E850" s="178"/>
      <c r="F850" s="59"/>
      <c r="G850" s="59"/>
      <c r="H850" s="59"/>
      <c r="I850" s="178"/>
      <c r="J850" s="59"/>
      <c r="K850" s="59"/>
      <c r="L850" s="59"/>
      <c r="M850" s="59"/>
      <c r="N850" s="59"/>
      <c r="O850" s="59"/>
      <c r="P850" s="59"/>
      <c r="Q850" s="59"/>
      <c r="R850" s="59"/>
      <c r="S850" s="59"/>
      <c r="T850" s="59"/>
      <c r="U850" s="59"/>
    </row>
    <row r="851" ht="35.25" customHeight="1">
      <c r="A851" s="59"/>
      <c r="B851" s="59"/>
      <c r="C851" s="59"/>
      <c r="D851" s="59"/>
      <c r="E851" s="178"/>
      <c r="F851" s="59"/>
      <c r="G851" s="59"/>
      <c r="H851" s="59"/>
      <c r="I851" s="178"/>
      <c r="J851" s="59"/>
      <c r="K851" s="59"/>
      <c r="L851" s="59"/>
      <c r="M851" s="59"/>
      <c r="N851" s="59"/>
      <c r="O851" s="59"/>
      <c r="P851" s="59"/>
      <c r="Q851" s="59"/>
      <c r="R851" s="59"/>
      <c r="S851" s="59"/>
      <c r="T851" s="59"/>
      <c r="U851" s="59"/>
    </row>
    <row r="852" ht="35.25" customHeight="1">
      <c r="A852" s="59"/>
      <c r="B852" s="59"/>
      <c r="C852" s="59"/>
      <c r="D852" s="59"/>
      <c r="E852" s="178"/>
      <c r="F852" s="59"/>
      <c r="G852" s="59"/>
      <c r="H852" s="59"/>
      <c r="I852" s="178"/>
      <c r="J852" s="59"/>
      <c r="K852" s="59"/>
      <c r="L852" s="59"/>
      <c r="M852" s="59"/>
      <c r="N852" s="59"/>
      <c r="O852" s="59"/>
      <c r="P852" s="59"/>
      <c r="Q852" s="59"/>
      <c r="R852" s="59"/>
      <c r="S852" s="59"/>
      <c r="T852" s="59"/>
      <c r="U852" s="59"/>
    </row>
    <row r="853" ht="35.25" customHeight="1">
      <c r="A853" s="59"/>
      <c r="B853" s="59"/>
      <c r="C853" s="59"/>
      <c r="D853" s="59"/>
      <c r="E853" s="178"/>
      <c r="F853" s="59"/>
      <c r="G853" s="59"/>
      <c r="H853" s="59"/>
      <c r="I853" s="178"/>
      <c r="J853" s="59"/>
      <c r="K853" s="59"/>
      <c r="L853" s="59"/>
      <c r="M853" s="59"/>
      <c r="N853" s="59"/>
      <c r="O853" s="59"/>
      <c r="P853" s="59"/>
      <c r="Q853" s="59"/>
      <c r="R853" s="59"/>
      <c r="S853" s="59"/>
      <c r="T853" s="59"/>
      <c r="U853" s="59"/>
    </row>
    <row r="854" ht="35.25" customHeight="1">
      <c r="A854" s="59"/>
      <c r="B854" s="59"/>
      <c r="C854" s="59"/>
      <c r="D854" s="59"/>
      <c r="E854" s="178"/>
      <c r="F854" s="59"/>
      <c r="G854" s="59"/>
      <c r="H854" s="59"/>
      <c r="I854" s="178"/>
      <c r="J854" s="59"/>
      <c r="K854" s="59"/>
      <c r="L854" s="59"/>
      <c r="M854" s="59"/>
      <c r="N854" s="59"/>
      <c r="O854" s="59"/>
      <c r="P854" s="59"/>
      <c r="Q854" s="59"/>
      <c r="R854" s="59"/>
      <c r="S854" s="59"/>
      <c r="T854" s="59"/>
      <c r="U854" s="59"/>
    </row>
    <row r="855" ht="35.25" customHeight="1">
      <c r="A855" s="59"/>
      <c r="B855" s="59"/>
      <c r="C855" s="59"/>
      <c r="D855" s="59"/>
      <c r="E855" s="178"/>
      <c r="F855" s="59"/>
      <c r="G855" s="59"/>
      <c r="H855" s="59"/>
      <c r="I855" s="178"/>
      <c r="J855" s="59"/>
      <c r="K855" s="59"/>
      <c r="L855" s="59"/>
      <c r="M855" s="59"/>
      <c r="N855" s="59"/>
      <c r="O855" s="59"/>
      <c r="P855" s="59"/>
      <c r="Q855" s="59"/>
      <c r="R855" s="59"/>
      <c r="S855" s="59"/>
      <c r="T855" s="59"/>
      <c r="U855" s="59"/>
    </row>
    <row r="856" ht="35.25" customHeight="1">
      <c r="A856" s="59"/>
      <c r="B856" s="59"/>
      <c r="C856" s="59"/>
      <c r="D856" s="59"/>
      <c r="E856" s="178"/>
      <c r="F856" s="59"/>
      <c r="G856" s="59"/>
      <c r="H856" s="59"/>
      <c r="I856" s="178"/>
      <c r="J856" s="59"/>
      <c r="K856" s="59"/>
      <c r="L856" s="59"/>
      <c r="M856" s="59"/>
      <c r="N856" s="59"/>
      <c r="O856" s="59"/>
      <c r="P856" s="59"/>
      <c r="Q856" s="59"/>
      <c r="R856" s="59"/>
      <c r="S856" s="59"/>
      <c r="T856" s="59"/>
      <c r="U856" s="59"/>
    </row>
    <row r="857" ht="35.25" customHeight="1">
      <c r="A857" s="59"/>
      <c r="B857" s="59"/>
      <c r="C857" s="59"/>
      <c r="D857" s="59"/>
      <c r="E857" s="178"/>
      <c r="F857" s="59"/>
      <c r="G857" s="59"/>
      <c r="H857" s="59"/>
      <c r="I857" s="178"/>
      <c r="J857" s="59"/>
      <c r="K857" s="59"/>
      <c r="L857" s="59"/>
      <c r="M857" s="59"/>
      <c r="N857" s="59"/>
      <c r="O857" s="59"/>
      <c r="P857" s="59"/>
      <c r="Q857" s="59"/>
      <c r="R857" s="59"/>
      <c r="S857" s="59"/>
      <c r="T857" s="59"/>
      <c r="U857" s="59"/>
    </row>
    <row r="858" ht="35.25" customHeight="1">
      <c r="A858" s="59"/>
      <c r="B858" s="59"/>
      <c r="C858" s="59"/>
      <c r="D858" s="59"/>
      <c r="E858" s="178"/>
      <c r="F858" s="59"/>
      <c r="G858" s="59"/>
      <c r="H858" s="59"/>
      <c r="I858" s="178"/>
      <c r="J858" s="59"/>
      <c r="K858" s="59"/>
      <c r="L858" s="59"/>
      <c r="M858" s="59"/>
      <c r="N858" s="59"/>
      <c r="O858" s="59"/>
      <c r="P858" s="59"/>
      <c r="Q858" s="59"/>
      <c r="R858" s="59"/>
      <c r="S858" s="59"/>
      <c r="T858" s="59"/>
      <c r="U858" s="59"/>
    </row>
    <row r="859" ht="35.25" customHeight="1">
      <c r="A859" s="59"/>
      <c r="B859" s="59"/>
      <c r="C859" s="59"/>
      <c r="D859" s="59"/>
      <c r="E859" s="178"/>
      <c r="F859" s="59"/>
      <c r="G859" s="59"/>
      <c r="H859" s="59"/>
      <c r="I859" s="178"/>
      <c r="J859" s="59"/>
      <c r="K859" s="59"/>
      <c r="L859" s="59"/>
      <c r="M859" s="59"/>
      <c r="N859" s="59"/>
      <c r="O859" s="59"/>
      <c r="P859" s="59"/>
      <c r="Q859" s="59"/>
      <c r="R859" s="59"/>
      <c r="S859" s="59"/>
      <c r="T859" s="59"/>
      <c r="U859" s="59"/>
    </row>
    <row r="860" ht="35.25" customHeight="1">
      <c r="A860" s="59"/>
      <c r="B860" s="59"/>
      <c r="C860" s="59"/>
      <c r="D860" s="59"/>
      <c r="E860" s="178"/>
      <c r="F860" s="59"/>
      <c r="G860" s="59"/>
      <c r="H860" s="59"/>
      <c r="I860" s="178"/>
      <c r="J860" s="59"/>
      <c r="K860" s="59"/>
      <c r="L860" s="59"/>
      <c r="M860" s="59"/>
      <c r="N860" s="59"/>
      <c r="O860" s="59"/>
      <c r="P860" s="59"/>
      <c r="Q860" s="59"/>
      <c r="R860" s="59"/>
      <c r="S860" s="59"/>
      <c r="T860" s="59"/>
      <c r="U860" s="59"/>
    </row>
    <row r="861" ht="35.25" customHeight="1">
      <c r="A861" s="59"/>
      <c r="B861" s="59"/>
      <c r="C861" s="59"/>
      <c r="D861" s="59"/>
      <c r="E861" s="178"/>
      <c r="F861" s="59"/>
      <c r="G861" s="59"/>
      <c r="H861" s="59"/>
      <c r="I861" s="178"/>
      <c r="J861" s="59"/>
      <c r="K861" s="59"/>
      <c r="L861" s="59"/>
      <c r="M861" s="59"/>
      <c r="N861" s="59"/>
      <c r="O861" s="59"/>
      <c r="P861" s="59"/>
      <c r="Q861" s="59"/>
      <c r="R861" s="59"/>
      <c r="S861" s="59"/>
      <c r="T861" s="59"/>
      <c r="U861" s="59"/>
    </row>
    <row r="862" ht="35.25" customHeight="1">
      <c r="A862" s="59"/>
      <c r="B862" s="59"/>
      <c r="C862" s="59"/>
      <c r="D862" s="59"/>
      <c r="E862" s="178"/>
      <c r="F862" s="59"/>
      <c r="G862" s="59"/>
      <c r="H862" s="59"/>
      <c r="I862" s="178"/>
      <c r="J862" s="59"/>
      <c r="K862" s="59"/>
      <c r="L862" s="59"/>
      <c r="M862" s="59"/>
      <c r="N862" s="59"/>
      <c r="O862" s="59"/>
      <c r="P862" s="59"/>
      <c r="Q862" s="59"/>
      <c r="R862" s="59"/>
      <c r="S862" s="59"/>
      <c r="T862" s="59"/>
      <c r="U862" s="59"/>
    </row>
    <row r="863" ht="35.25" customHeight="1">
      <c r="A863" s="59"/>
      <c r="B863" s="59"/>
      <c r="C863" s="59"/>
      <c r="D863" s="59"/>
      <c r="E863" s="178"/>
      <c r="F863" s="59"/>
      <c r="G863" s="59"/>
      <c r="H863" s="59"/>
      <c r="I863" s="178"/>
      <c r="J863" s="59"/>
      <c r="K863" s="59"/>
      <c r="L863" s="59"/>
      <c r="M863" s="59"/>
      <c r="N863" s="59"/>
      <c r="O863" s="59"/>
      <c r="P863" s="59"/>
      <c r="Q863" s="59"/>
      <c r="R863" s="59"/>
      <c r="S863" s="59"/>
      <c r="T863" s="59"/>
      <c r="U863" s="59"/>
    </row>
    <row r="864" ht="35.25" customHeight="1">
      <c r="A864" s="59"/>
      <c r="B864" s="59"/>
      <c r="C864" s="59"/>
      <c r="D864" s="59"/>
      <c r="E864" s="178"/>
      <c r="F864" s="59"/>
      <c r="G864" s="59"/>
      <c r="H864" s="59"/>
      <c r="I864" s="178"/>
      <c r="J864" s="59"/>
      <c r="K864" s="59"/>
      <c r="L864" s="59"/>
      <c r="M864" s="59"/>
      <c r="N864" s="59"/>
      <c r="O864" s="59"/>
      <c r="P864" s="59"/>
      <c r="Q864" s="59"/>
      <c r="R864" s="59"/>
      <c r="S864" s="59"/>
      <c r="T864" s="59"/>
      <c r="U864" s="59"/>
    </row>
    <row r="865" ht="35.25" customHeight="1">
      <c r="A865" s="59"/>
      <c r="B865" s="59"/>
      <c r="C865" s="59"/>
      <c r="D865" s="59"/>
      <c r="E865" s="178"/>
      <c r="F865" s="59"/>
      <c r="G865" s="59"/>
      <c r="H865" s="59"/>
      <c r="I865" s="178"/>
      <c r="J865" s="59"/>
      <c r="K865" s="59"/>
      <c r="L865" s="59"/>
      <c r="M865" s="59"/>
      <c r="N865" s="59"/>
      <c r="O865" s="59"/>
      <c r="P865" s="59"/>
      <c r="Q865" s="59"/>
      <c r="R865" s="59"/>
      <c r="S865" s="59"/>
      <c r="T865" s="59"/>
      <c r="U865" s="59"/>
    </row>
    <row r="866" ht="35.25" customHeight="1">
      <c r="A866" s="59"/>
      <c r="B866" s="59"/>
      <c r="C866" s="59"/>
      <c r="D866" s="59"/>
      <c r="E866" s="178"/>
      <c r="F866" s="59"/>
      <c r="G866" s="59"/>
      <c r="H866" s="59"/>
      <c r="I866" s="178"/>
      <c r="J866" s="59"/>
      <c r="K866" s="59"/>
      <c r="L866" s="59"/>
      <c r="M866" s="59"/>
      <c r="N866" s="59"/>
      <c r="O866" s="59"/>
      <c r="P866" s="59"/>
      <c r="Q866" s="59"/>
      <c r="R866" s="59"/>
      <c r="S866" s="59"/>
      <c r="T866" s="59"/>
      <c r="U866" s="59"/>
    </row>
    <row r="867" ht="35.25" customHeight="1">
      <c r="A867" s="59"/>
      <c r="B867" s="59"/>
      <c r="C867" s="59"/>
      <c r="D867" s="59"/>
      <c r="E867" s="178"/>
      <c r="F867" s="59"/>
      <c r="G867" s="59"/>
      <c r="H867" s="59"/>
      <c r="I867" s="178"/>
      <c r="J867" s="59"/>
      <c r="K867" s="59"/>
      <c r="L867" s="59"/>
      <c r="M867" s="59"/>
      <c r="N867" s="59"/>
      <c r="O867" s="59"/>
      <c r="P867" s="59"/>
      <c r="Q867" s="59"/>
      <c r="R867" s="59"/>
      <c r="S867" s="59"/>
      <c r="T867" s="59"/>
      <c r="U867" s="59"/>
    </row>
    <row r="868" ht="35.25" customHeight="1">
      <c r="A868" s="59"/>
      <c r="B868" s="59"/>
      <c r="C868" s="59"/>
      <c r="D868" s="59"/>
      <c r="E868" s="178"/>
      <c r="F868" s="59"/>
      <c r="G868" s="59"/>
      <c r="H868" s="59"/>
      <c r="I868" s="178"/>
      <c r="J868" s="59"/>
      <c r="K868" s="59"/>
      <c r="L868" s="59"/>
      <c r="M868" s="59"/>
      <c r="N868" s="59"/>
      <c r="O868" s="59"/>
      <c r="P868" s="59"/>
      <c r="Q868" s="59"/>
      <c r="R868" s="59"/>
      <c r="S868" s="59"/>
      <c r="T868" s="59"/>
      <c r="U868" s="59"/>
    </row>
    <row r="869" ht="35.25" customHeight="1">
      <c r="A869" s="59"/>
      <c r="B869" s="59"/>
      <c r="C869" s="59"/>
      <c r="D869" s="59"/>
      <c r="E869" s="178"/>
      <c r="F869" s="59"/>
      <c r="G869" s="59"/>
      <c r="H869" s="59"/>
      <c r="I869" s="178"/>
      <c r="J869" s="59"/>
      <c r="K869" s="59"/>
      <c r="L869" s="59"/>
      <c r="M869" s="59"/>
      <c r="N869" s="59"/>
      <c r="O869" s="59"/>
      <c r="P869" s="59"/>
      <c r="Q869" s="59"/>
      <c r="R869" s="59"/>
      <c r="S869" s="59"/>
      <c r="T869" s="59"/>
      <c r="U869" s="59"/>
    </row>
    <row r="870" ht="35.25" customHeight="1">
      <c r="A870" s="59"/>
      <c r="B870" s="59"/>
      <c r="C870" s="59"/>
      <c r="D870" s="59"/>
      <c r="E870" s="178"/>
      <c r="F870" s="59"/>
      <c r="G870" s="59"/>
      <c r="H870" s="59"/>
      <c r="I870" s="178"/>
      <c r="J870" s="59"/>
      <c r="K870" s="59"/>
      <c r="L870" s="59"/>
      <c r="M870" s="59"/>
      <c r="N870" s="59"/>
      <c r="O870" s="59"/>
      <c r="P870" s="59"/>
      <c r="Q870" s="59"/>
      <c r="R870" s="59"/>
      <c r="S870" s="59"/>
      <c r="T870" s="59"/>
      <c r="U870" s="59"/>
    </row>
    <row r="871" ht="35.25" customHeight="1">
      <c r="A871" s="59"/>
      <c r="B871" s="59"/>
      <c r="C871" s="59"/>
      <c r="D871" s="59"/>
      <c r="E871" s="178"/>
      <c r="F871" s="59"/>
      <c r="G871" s="59"/>
      <c r="H871" s="59"/>
      <c r="I871" s="178"/>
      <c r="J871" s="59"/>
      <c r="K871" s="59"/>
      <c r="L871" s="59"/>
      <c r="M871" s="59"/>
      <c r="N871" s="59"/>
      <c r="O871" s="59"/>
      <c r="P871" s="59"/>
      <c r="Q871" s="59"/>
      <c r="R871" s="59"/>
      <c r="S871" s="59"/>
      <c r="T871" s="59"/>
      <c r="U871" s="59"/>
    </row>
    <row r="872" ht="35.25" customHeight="1">
      <c r="A872" s="59"/>
      <c r="B872" s="59"/>
      <c r="C872" s="59"/>
      <c r="D872" s="59"/>
      <c r="E872" s="178"/>
      <c r="F872" s="59"/>
      <c r="G872" s="59"/>
      <c r="H872" s="59"/>
      <c r="I872" s="178"/>
      <c r="J872" s="59"/>
      <c r="K872" s="59"/>
      <c r="L872" s="59"/>
      <c r="M872" s="59"/>
      <c r="N872" s="59"/>
      <c r="O872" s="59"/>
      <c r="P872" s="59"/>
      <c r="Q872" s="59"/>
      <c r="R872" s="59"/>
      <c r="S872" s="59"/>
      <c r="T872" s="59"/>
      <c r="U872" s="59"/>
    </row>
    <row r="873" ht="35.25" customHeight="1">
      <c r="A873" s="59"/>
      <c r="B873" s="59"/>
      <c r="C873" s="59"/>
      <c r="D873" s="59"/>
      <c r="E873" s="178"/>
      <c r="F873" s="59"/>
      <c r="G873" s="59"/>
      <c r="H873" s="59"/>
      <c r="I873" s="178"/>
      <c r="J873" s="59"/>
      <c r="K873" s="59"/>
      <c r="L873" s="59"/>
      <c r="M873" s="59"/>
      <c r="N873" s="59"/>
      <c r="O873" s="59"/>
      <c r="P873" s="59"/>
      <c r="Q873" s="59"/>
      <c r="R873" s="59"/>
      <c r="S873" s="59"/>
      <c r="T873" s="59"/>
      <c r="U873" s="59"/>
    </row>
    <row r="874" ht="35.25" customHeight="1">
      <c r="A874" s="59"/>
      <c r="B874" s="59"/>
      <c r="C874" s="59"/>
      <c r="D874" s="59"/>
      <c r="E874" s="178"/>
      <c r="F874" s="59"/>
      <c r="G874" s="59"/>
      <c r="H874" s="59"/>
      <c r="I874" s="178"/>
      <c r="J874" s="59"/>
      <c r="K874" s="59"/>
      <c r="L874" s="59"/>
      <c r="M874" s="59"/>
      <c r="N874" s="59"/>
      <c r="O874" s="59"/>
      <c r="P874" s="59"/>
      <c r="Q874" s="59"/>
      <c r="R874" s="59"/>
      <c r="S874" s="59"/>
      <c r="T874" s="59"/>
      <c r="U874" s="59"/>
    </row>
    <row r="875" ht="35.25" customHeight="1">
      <c r="A875" s="59"/>
      <c r="B875" s="59"/>
      <c r="C875" s="59"/>
      <c r="D875" s="59"/>
      <c r="E875" s="178"/>
      <c r="F875" s="59"/>
      <c r="G875" s="59"/>
      <c r="H875" s="59"/>
      <c r="I875" s="178"/>
      <c r="J875" s="59"/>
      <c r="K875" s="59"/>
      <c r="L875" s="59"/>
      <c r="M875" s="59"/>
      <c r="N875" s="59"/>
      <c r="O875" s="59"/>
      <c r="P875" s="59"/>
      <c r="Q875" s="59"/>
      <c r="R875" s="59"/>
      <c r="S875" s="59"/>
      <c r="T875" s="59"/>
      <c r="U875" s="59"/>
    </row>
    <row r="876" ht="35.25" customHeight="1">
      <c r="A876" s="59"/>
      <c r="B876" s="59"/>
      <c r="C876" s="59"/>
      <c r="D876" s="59"/>
      <c r="E876" s="178"/>
      <c r="F876" s="59"/>
      <c r="G876" s="59"/>
      <c r="H876" s="59"/>
      <c r="I876" s="178"/>
      <c r="J876" s="59"/>
      <c r="K876" s="59"/>
      <c r="L876" s="59"/>
      <c r="M876" s="59"/>
      <c r="N876" s="59"/>
      <c r="O876" s="59"/>
      <c r="P876" s="59"/>
      <c r="Q876" s="59"/>
      <c r="R876" s="59"/>
      <c r="S876" s="59"/>
      <c r="T876" s="59"/>
      <c r="U876" s="59"/>
    </row>
    <row r="877" ht="35.25" customHeight="1">
      <c r="A877" s="59"/>
      <c r="B877" s="59"/>
      <c r="C877" s="59"/>
      <c r="D877" s="59"/>
      <c r="E877" s="178"/>
      <c r="F877" s="59"/>
      <c r="G877" s="59"/>
      <c r="H877" s="59"/>
      <c r="I877" s="178"/>
      <c r="J877" s="59"/>
      <c r="K877" s="59"/>
      <c r="L877" s="59"/>
      <c r="M877" s="59"/>
      <c r="N877" s="59"/>
      <c r="O877" s="59"/>
      <c r="P877" s="59"/>
      <c r="Q877" s="59"/>
      <c r="R877" s="59"/>
      <c r="S877" s="59"/>
      <c r="T877" s="59"/>
      <c r="U877" s="59"/>
    </row>
    <row r="878" ht="35.25" customHeight="1">
      <c r="A878" s="59"/>
      <c r="B878" s="59"/>
      <c r="C878" s="59"/>
      <c r="D878" s="59"/>
      <c r="E878" s="178"/>
      <c r="F878" s="59"/>
      <c r="G878" s="59"/>
      <c r="H878" s="59"/>
      <c r="I878" s="178"/>
      <c r="J878" s="59"/>
      <c r="K878" s="59"/>
      <c r="L878" s="59"/>
      <c r="M878" s="59"/>
      <c r="N878" s="59"/>
      <c r="O878" s="59"/>
      <c r="P878" s="59"/>
      <c r="Q878" s="59"/>
      <c r="R878" s="59"/>
      <c r="S878" s="59"/>
      <c r="T878" s="59"/>
      <c r="U878" s="59"/>
    </row>
    <row r="879" ht="35.25" customHeight="1">
      <c r="A879" s="59"/>
      <c r="B879" s="59"/>
      <c r="C879" s="59"/>
      <c r="D879" s="59"/>
      <c r="E879" s="178"/>
      <c r="F879" s="59"/>
      <c r="G879" s="59"/>
      <c r="H879" s="59"/>
      <c r="I879" s="178"/>
      <c r="J879" s="59"/>
      <c r="K879" s="59"/>
      <c r="L879" s="59"/>
      <c r="M879" s="59"/>
      <c r="N879" s="59"/>
      <c r="O879" s="59"/>
      <c r="P879" s="59"/>
      <c r="Q879" s="59"/>
      <c r="R879" s="59"/>
      <c r="S879" s="59"/>
      <c r="T879" s="59"/>
      <c r="U879" s="59"/>
    </row>
    <row r="880" ht="35.25" customHeight="1">
      <c r="A880" s="59"/>
      <c r="B880" s="59"/>
      <c r="C880" s="59"/>
      <c r="D880" s="59"/>
      <c r="E880" s="178"/>
      <c r="F880" s="59"/>
      <c r="G880" s="59"/>
      <c r="H880" s="59"/>
      <c r="I880" s="178"/>
      <c r="J880" s="59"/>
      <c r="K880" s="59"/>
      <c r="L880" s="59"/>
      <c r="M880" s="59"/>
      <c r="N880" s="59"/>
      <c r="O880" s="59"/>
      <c r="P880" s="59"/>
      <c r="Q880" s="59"/>
      <c r="R880" s="59"/>
      <c r="S880" s="59"/>
      <c r="T880" s="59"/>
      <c r="U880" s="59"/>
    </row>
    <row r="881" ht="35.25" customHeight="1">
      <c r="A881" s="59"/>
      <c r="B881" s="59"/>
      <c r="C881" s="59"/>
      <c r="D881" s="59"/>
      <c r="E881" s="178"/>
      <c r="F881" s="59"/>
      <c r="G881" s="59"/>
      <c r="H881" s="59"/>
      <c r="I881" s="178"/>
      <c r="J881" s="59"/>
      <c r="K881" s="59"/>
      <c r="L881" s="59"/>
      <c r="M881" s="59"/>
      <c r="N881" s="59"/>
      <c r="O881" s="59"/>
      <c r="P881" s="59"/>
      <c r="Q881" s="59"/>
      <c r="R881" s="59"/>
      <c r="S881" s="59"/>
      <c r="T881" s="59"/>
      <c r="U881" s="59"/>
    </row>
    <row r="882" ht="35.25" customHeight="1">
      <c r="A882" s="59"/>
      <c r="B882" s="59"/>
      <c r="C882" s="59"/>
      <c r="D882" s="59"/>
      <c r="E882" s="178"/>
      <c r="F882" s="59"/>
      <c r="G882" s="59"/>
      <c r="H882" s="59"/>
      <c r="I882" s="178"/>
      <c r="J882" s="59"/>
      <c r="K882" s="59"/>
      <c r="L882" s="59"/>
      <c r="M882" s="59"/>
      <c r="N882" s="59"/>
      <c r="O882" s="59"/>
      <c r="P882" s="59"/>
      <c r="Q882" s="59"/>
      <c r="R882" s="59"/>
      <c r="S882" s="59"/>
      <c r="T882" s="59"/>
      <c r="U882" s="59"/>
    </row>
    <row r="883" ht="35.25" customHeight="1">
      <c r="A883" s="59"/>
      <c r="B883" s="59"/>
      <c r="C883" s="59"/>
      <c r="D883" s="59"/>
      <c r="E883" s="178"/>
      <c r="F883" s="59"/>
      <c r="G883" s="59"/>
      <c r="H883" s="59"/>
      <c r="I883" s="178"/>
      <c r="J883" s="59"/>
      <c r="K883" s="59"/>
      <c r="L883" s="59"/>
      <c r="M883" s="59"/>
      <c r="N883" s="59"/>
      <c r="O883" s="59"/>
      <c r="P883" s="59"/>
      <c r="Q883" s="59"/>
      <c r="R883" s="59"/>
      <c r="S883" s="59"/>
      <c r="T883" s="59"/>
      <c r="U883" s="59"/>
    </row>
    <row r="884" ht="35.25" customHeight="1">
      <c r="A884" s="59"/>
      <c r="B884" s="59"/>
      <c r="C884" s="59"/>
      <c r="D884" s="59"/>
      <c r="E884" s="178"/>
      <c r="F884" s="59"/>
      <c r="G884" s="59"/>
      <c r="H884" s="59"/>
      <c r="I884" s="178"/>
      <c r="J884" s="59"/>
      <c r="K884" s="59"/>
      <c r="L884" s="59"/>
      <c r="M884" s="59"/>
      <c r="N884" s="59"/>
      <c r="O884" s="59"/>
      <c r="P884" s="59"/>
      <c r="Q884" s="59"/>
      <c r="R884" s="59"/>
      <c r="S884" s="59"/>
      <c r="T884" s="59"/>
      <c r="U884" s="59"/>
    </row>
    <row r="885" ht="35.25" customHeight="1">
      <c r="A885" s="59"/>
      <c r="B885" s="59"/>
      <c r="C885" s="59"/>
      <c r="D885" s="59"/>
      <c r="E885" s="178"/>
      <c r="F885" s="59"/>
      <c r="G885" s="59"/>
      <c r="H885" s="59"/>
      <c r="I885" s="178"/>
      <c r="J885" s="59"/>
      <c r="K885" s="59"/>
      <c r="L885" s="59"/>
      <c r="M885" s="59"/>
      <c r="N885" s="59"/>
      <c r="O885" s="59"/>
      <c r="P885" s="59"/>
      <c r="Q885" s="59"/>
      <c r="R885" s="59"/>
      <c r="S885" s="59"/>
      <c r="T885" s="59"/>
      <c r="U885" s="59"/>
    </row>
    <row r="886" ht="35.25" customHeight="1">
      <c r="A886" s="59"/>
      <c r="B886" s="59"/>
      <c r="C886" s="59"/>
      <c r="D886" s="59"/>
      <c r="E886" s="178"/>
      <c r="F886" s="59"/>
      <c r="G886" s="59"/>
      <c r="H886" s="59"/>
      <c r="I886" s="178"/>
      <c r="J886" s="59"/>
      <c r="K886" s="59"/>
      <c r="L886" s="59"/>
      <c r="M886" s="59"/>
      <c r="N886" s="59"/>
      <c r="O886" s="59"/>
      <c r="P886" s="59"/>
      <c r="Q886" s="59"/>
      <c r="R886" s="59"/>
      <c r="S886" s="59"/>
      <c r="T886" s="59"/>
      <c r="U886" s="59"/>
    </row>
    <row r="887" ht="35.25" customHeight="1">
      <c r="A887" s="59"/>
      <c r="B887" s="59"/>
      <c r="C887" s="59"/>
      <c r="D887" s="59"/>
      <c r="E887" s="178"/>
      <c r="F887" s="59"/>
      <c r="G887" s="59"/>
      <c r="H887" s="59"/>
      <c r="I887" s="178"/>
      <c r="J887" s="59"/>
      <c r="K887" s="59"/>
      <c r="L887" s="59"/>
      <c r="M887" s="59"/>
      <c r="N887" s="59"/>
      <c r="O887" s="59"/>
      <c r="P887" s="59"/>
      <c r="Q887" s="59"/>
      <c r="R887" s="59"/>
      <c r="S887" s="59"/>
      <c r="T887" s="59"/>
      <c r="U887" s="59"/>
    </row>
    <row r="888" ht="35.25" customHeight="1">
      <c r="A888" s="59"/>
      <c r="B888" s="59"/>
      <c r="C888" s="59"/>
      <c r="D888" s="59"/>
      <c r="E888" s="178"/>
      <c r="F888" s="59"/>
      <c r="G888" s="59"/>
      <c r="H888" s="59"/>
      <c r="I888" s="178"/>
      <c r="J888" s="59"/>
      <c r="K888" s="59"/>
      <c r="L888" s="59"/>
      <c r="M888" s="59"/>
      <c r="N888" s="59"/>
      <c r="O888" s="59"/>
      <c r="P888" s="59"/>
      <c r="Q888" s="59"/>
      <c r="R888" s="59"/>
      <c r="S888" s="59"/>
      <c r="T888" s="59"/>
      <c r="U888" s="59"/>
    </row>
    <row r="889" ht="35.25" customHeight="1">
      <c r="A889" s="59"/>
      <c r="B889" s="59"/>
      <c r="C889" s="59"/>
      <c r="D889" s="59"/>
      <c r="E889" s="178"/>
      <c r="F889" s="59"/>
      <c r="G889" s="59"/>
      <c r="H889" s="59"/>
      <c r="I889" s="178"/>
      <c r="J889" s="59"/>
      <c r="K889" s="59"/>
      <c r="L889" s="59"/>
      <c r="M889" s="59"/>
      <c r="N889" s="59"/>
      <c r="O889" s="59"/>
      <c r="P889" s="59"/>
      <c r="Q889" s="59"/>
      <c r="R889" s="59"/>
      <c r="S889" s="59"/>
      <c r="T889" s="59"/>
      <c r="U889" s="59"/>
    </row>
    <row r="890" ht="35.25" customHeight="1">
      <c r="A890" s="59"/>
      <c r="B890" s="59"/>
      <c r="C890" s="59"/>
      <c r="D890" s="59"/>
      <c r="E890" s="178"/>
      <c r="F890" s="59"/>
      <c r="G890" s="59"/>
      <c r="H890" s="59"/>
      <c r="I890" s="178"/>
      <c r="J890" s="59"/>
      <c r="K890" s="59"/>
      <c r="L890" s="59"/>
      <c r="M890" s="59"/>
      <c r="N890" s="59"/>
      <c r="O890" s="59"/>
      <c r="P890" s="59"/>
      <c r="Q890" s="59"/>
      <c r="R890" s="59"/>
      <c r="S890" s="59"/>
      <c r="T890" s="59"/>
      <c r="U890" s="59"/>
    </row>
    <row r="891" ht="35.25" customHeight="1">
      <c r="A891" s="59"/>
      <c r="B891" s="59"/>
      <c r="C891" s="59"/>
      <c r="D891" s="59"/>
      <c r="E891" s="178"/>
      <c r="F891" s="59"/>
      <c r="G891" s="59"/>
      <c r="H891" s="59"/>
      <c r="I891" s="178"/>
      <c r="J891" s="59"/>
      <c r="K891" s="59"/>
      <c r="L891" s="59"/>
      <c r="M891" s="59"/>
      <c r="N891" s="59"/>
      <c r="O891" s="59"/>
      <c r="P891" s="59"/>
      <c r="Q891" s="59"/>
      <c r="R891" s="59"/>
      <c r="S891" s="59"/>
      <c r="T891" s="59"/>
      <c r="U891" s="59"/>
    </row>
    <row r="892" ht="35.25" customHeight="1">
      <c r="A892" s="59"/>
      <c r="B892" s="59"/>
      <c r="C892" s="59"/>
      <c r="D892" s="59"/>
      <c r="E892" s="178"/>
      <c r="F892" s="59"/>
      <c r="G892" s="59"/>
      <c r="H892" s="59"/>
      <c r="I892" s="178"/>
      <c r="J892" s="59"/>
      <c r="K892" s="59"/>
      <c r="L892" s="59"/>
      <c r="M892" s="59"/>
      <c r="N892" s="59"/>
      <c r="O892" s="59"/>
      <c r="P892" s="59"/>
      <c r="Q892" s="59"/>
      <c r="R892" s="59"/>
      <c r="S892" s="59"/>
      <c r="T892" s="59"/>
      <c r="U892" s="59"/>
    </row>
    <row r="893" ht="35.25" customHeight="1">
      <c r="A893" s="59"/>
      <c r="B893" s="59"/>
      <c r="C893" s="59"/>
      <c r="D893" s="59"/>
      <c r="E893" s="178"/>
      <c r="F893" s="59"/>
      <c r="G893" s="59"/>
      <c r="H893" s="59"/>
      <c r="I893" s="178"/>
      <c r="J893" s="59"/>
      <c r="K893" s="59"/>
      <c r="L893" s="59"/>
      <c r="M893" s="59"/>
      <c r="N893" s="59"/>
      <c r="O893" s="59"/>
      <c r="P893" s="59"/>
      <c r="Q893" s="59"/>
      <c r="R893" s="59"/>
      <c r="S893" s="59"/>
      <c r="T893" s="59"/>
      <c r="U893" s="59"/>
    </row>
    <row r="894" ht="35.25" customHeight="1">
      <c r="A894" s="59"/>
      <c r="B894" s="59"/>
      <c r="C894" s="59"/>
      <c r="D894" s="59"/>
      <c r="E894" s="178"/>
      <c r="F894" s="59"/>
      <c r="G894" s="59"/>
      <c r="H894" s="59"/>
      <c r="I894" s="178"/>
      <c r="J894" s="59"/>
      <c r="K894" s="59"/>
      <c r="L894" s="59"/>
      <c r="M894" s="59"/>
      <c r="N894" s="59"/>
      <c r="O894" s="59"/>
      <c r="P894" s="59"/>
      <c r="Q894" s="59"/>
      <c r="R894" s="59"/>
      <c r="S894" s="59"/>
      <c r="T894" s="59"/>
      <c r="U894" s="59"/>
    </row>
    <row r="895" ht="35.25" customHeight="1">
      <c r="A895" s="59"/>
      <c r="B895" s="59"/>
      <c r="C895" s="59"/>
      <c r="D895" s="59"/>
      <c r="E895" s="178"/>
      <c r="F895" s="59"/>
      <c r="G895" s="59"/>
      <c r="H895" s="59"/>
      <c r="I895" s="178"/>
      <c r="J895" s="59"/>
      <c r="K895" s="59"/>
      <c r="L895" s="59"/>
      <c r="M895" s="59"/>
      <c r="N895" s="59"/>
      <c r="O895" s="59"/>
      <c r="P895" s="59"/>
      <c r="Q895" s="59"/>
      <c r="R895" s="59"/>
      <c r="S895" s="59"/>
      <c r="T895" s="59"/>
      <c r="U895" s="59"/>
    </row>
    <row r="896" ht="35.25" customHeight="1">
      <c r="A896" s="59"/>
      <c r="B896" s="59"/>
      <c r="C896" s="59"/>
      <c r="D896" s="59"/>
      <c r="E896" s="178"/>
      <c r="F896" s="59"/>
      <c r="G896" s="59"/>
      <c r="H896" s="59"/>
      <c r="I896" s="178"/>
      <c r="J896" s="59"/>
      <c r="K896" s="59"/>
      <c r="L896" s="59"/>
      <c r="M896" s="59"/>
      <c r="N896" s="59"/>
      <c r="O896" s="59"/>
      <c r="P896" s="59"/>
      <c r="Q896" s="59"/>
      <c r="R896" s="59"/>
      <c r="S896" s="59"/>
      <c r="T896" s="59"/>
      <c r="U896" s="59"/>
    </row>
    <row r="897" ht="35.25" customHeight="1">
      <c r="A897" s="59"/>
      <c r="B897" s="59"/>
      <c r="C897" s="59"/>
      <c r="D897" s="59"/>
      <c r="E897" s="178"/>
      <c r="F897" s="59"/>
      <c r="G897" s="59"/>
      <c r="H897" s="59"/>
      <c r="I897" s="178"/>
      <c r="J897" s="59"/>
      <c r="K897" s="59"/>
      <c r="L897" s="59"/>
      <c r="M897" s="59"/>
      <c r="N897" s="59"/>
      <c r="O897" s="59"/>
      <c r="P897" s="59"/>
      <c r="Q897" s="59"/>
      <c r="R897" s="59"/>
      <c r="S897" s="59"/>
      <c r="T897" s="59"/>
      <c r="U897" s="59"/>
    </row>
    <row r="898" ht="35.25" customHeight="1">
      <c r="A898" s="59"/>
      <c r="B898" s="59"/>
      <c r="C898" s="59"/>
      <c r="D898" s="59"/>
      <c r="E898" s="178"/>
      <c r="F898" s="59"/>
      <c r="G898" s="59"/>
      <c r="H898" s="59"/>
      <c r="I898" s="178"/>
      <c r="J898" s="59"/>
      <c r="K898" s="59"/>
      <c r="L898" s="59"/>
      <c r="M898" s="59"/>
      <c r="N898" s="59"/>
      <c r="O898" s="59"/>
      <c r="P898" s="59"/>
      <c r="Q898" s="59"/>
      <c r="R898" s="59"/>
      <c r="S898" s="59"/>
      <c r="T898" s="59"/>
      <c r="U898" s="59"/>
    </row>
    <row r="899" ht="35.25" customHeight="1">
      <c r="A899" s="59"/>
      <c r="B899" s="59"/>
      <c r="C899" s="59"/>
      <c r="D899" s="59"/>
      <c r="E899" s="178"/>
      <c r="F899" s="59"/>
      <c r="G899" s="59"/>
      <c r="H899" s="59"/>
      <c r="I899" s="178"/>
      <c r="J899" s="59"/>
      <c r="K899" s="59"/>
      <c r="L899" s="59"/>
      <c r="M899" s="59"/>
      <c r="N899" s="59"/>
      <c r="O899" s="59"/>
      <c r="P899" s="59"/>
      <c r="Q899" s="59"/>
      <c r="R899" s="59"/>
      <c r="S899" s="59"/>
      <c r="T899" s="59"/>
      <c r="U899" s="59"/>
    </row>
    <row r="900" ht="35.25" customHeight="1">
      <c r="A900" s="59"/>
      <c r="B900" s="59"/>
      <c r="C900" s="59"/>
      <c r="D900" s="59"/>
      <c r="E900" s="178"/>
      <c r="F900" s="59"/>
      <c r="G900" s="59"/>
      <c r="H900" s="59"/>
      <c r="I900" s="178"/>
      <c r="J900" s="59"/>
      <c r="K900" s="59"/>
      <c r="L900" s="59"/>
      <c r="M900" s="59"/>
      <c r="N900" s="59"/>
      <c r="O900" s="59"/>
      <c r="P900" s="59"/>
      <c r="Q900" s="59"/>
      <c r="R900" s="59"/>
      <c r="S900" s="59"/>
      <c r="T900" s="59"/>
      <c r="U900" s="59"/>
    </row>
    <row r="901" ht="35.25" customHeight="1">
      <c r="A901" s="59"/>
      <c r="B901" s="59"/>
      <c r="C901" s="59"/>
      <c r="D901" s="59"/>
      <c r="E901" s="178"/>
      <c r="F901" s="59"/>
      <c r="G901" s="59"/>
      <c r="H901" s="59"/>
      <c r="I901" s="178"/>
      <c r="J901" s="59"/>
      <c r="K901" s="59"/>
      <c r="L901" s="59"/>
      <c r="M901" s="59"/>
      <c r="N901" s="59"/>
      <c r="O901" s="59"/>
      <c r="P901" s="59"/>
      <c r="Q901" s="59"/>
      <c r="R901" s="59"/>
      <c r="S901" s="59"/>
      <c r="T901" s="59"/>
      <c r="U901" s="59"/>
    </row>
    <row r="902" ht="35.25" customHeight="1">
      <c r="A902" s="59"/>
      <c r="B902" s="59"/>
      <c r="C902" s="59"/>
      <c r="D902" s="59"/>
      <c r="E902" s="178"/>
      <c r="F902" s="59"/>
      <c r="G902" s="59"/>
      <c r="H902" s="59"/>
      <c r="I902" s="178"/>
      <c r="J902" s="59"/>
      <c r="K902" s="59"/>
      <c r="L902" s="59"/>
      <c r="M902" s="59"/>
      <c r="N902" s="59"/>
      <c r="O902" s="59"/>
      <c r="P902" s="59"/>
      <c r="Q902" s="59"/>
      <c r="R902" s="59"/>
      <c r="S902" s="59"/>
      <c r="T902" s="59"/>
      <c r="U902" s="59"/>
    </row>
    <row r="903" ht="35.25" customHeight="1">
      <c r="A903" s="59"/>
      <c r="B903" s="59"/>
      <c r="C903" s="59"/>
      <c r="D903" s="59"/>
      <c r="E903" s="178"/>
      <c r="F903" s="59"/>
      <c r="G903" s="59"/>
      <c r="H903" s="59"/>
      <c r="I903" s="178"/>
      <c r="J903" s="59"/>
      <c r="K903" s="59"/>
      <c r="L903" s="59"/>
      <c r="M903" s="59"/>
      <c r="N903" s="59"/>
      <c r="O903" s="59"/>
      <c r="P903" s="59"/>
      <c r="Q903" s="59"/>
      <c r="R903" s="59"/>
      <c r="S903" s="59"/>
      <c r="T903" s="59"/>
      <c r="U903" s="59"/>
    </row>
    <row r="904" ht="35.25" customHeight="1">
      <c r="A904" s="59"/>
      <c r="B904" s="59"/>
      <c r="C904" s="59"/>
      <c r="D904" s="59"/>
      <c r="E904" s="178"/>
      <c r="F904" s="59"/>
      <c r="G904" s="59"/>
      <c r="H904" s="59"/>
      <c r="I904" s="178"/>
      <c r="J904" s="59"/>
      <c r="K904" s="59"/>
      <c r="L904" s="59"/>
      <c r="M904" s="59"/>
      <c r="N904" s="59"/>
      <c r="O904" s="59"/>
      <c r="P904" s="59"/>
      <c r="Q904" s="59"/>
      <c r="R904" s="59"/>
      <c r="S904" s="59"/>
      <c r="T904" s="59"/>
      <c r="U904" s="59"/>
    </row>
    <row r="905" ht="35.25" customHeight="1">
      <c r="A905" s="59"/>
      <c r="B905" s="59"/>
      <c r="C905" s="59"/>
      <c r="D905" s="59"/>
      <c r="E905" s="178"/>
      <c r="F905" s="59"/>
      <c r="G905" s="59"/>
      <c r="H905" s="59"/>
      <c r="I905" s="178"/>
      <c r="J905" s="59"/>
      <c r="K905" s="59"/>
      <c r="L905" s="59"/>
      <c r="M905" s="59"/>
      <c r="N905" s="59"/>
      <c r="O905" s="59"/>
      <c r="P905" s="59"/>
      <c r="Q905" s="59"/>
      <c r="R905" s="59"/>
      <c r="S905" s="59"/>
      <c r="T905" s="59"/>
      <c r="U905" s="59"/>
    </row>
    <row r="906" ht="35.25" customHeight="1">
      <c r="A906" s="59"/>
      <c r="B906" s="59"/>
      <c r="C906" s="59"/>
      <c r="D906" s="59"/>
      <c r="E906" s="178"/>
      <c r="F906" s="59"/>
      <c r="G906" s="59"/>
      <c r="H906" s="59"/>
      <c r="I906" s="178"/>
      <c r="J906" s="59"/>
      <c r="K906" s="59"/>
      <c r="L906" s="59"/>
      <c r="M906" s="59"/>
      <c r="N906" s="59"/>
      <c r="O906" s="59"/>
      <c r="P906" s="59"/>
      <c r="Q906" s="59"/>
      <c r="R906" s="59"/>
      <c r="S906" s="59"/>
      <c r="T906" s="59"/>
      <c r="U906" s="59"/>
    </row>
    <row r="907" ht="35.25" customHeight="1">
      <c r="A907" s="59"/>
      <c r="B907" s="59"/>
      <c r="C907" s="59"/>
      <c r="D907" s="59"/>
      <c r="E907" s="178"/>
      <c r="F907" s="59"/>
      <c r="G907" s="59"/>
      <c r="H907" s="59"/>
      <c r="I907" s="178"/>
      <c r="J907" s="59"/>
      <c r="K907" s="59"/>
      <c r="L907" s="59"/>
      <c r="M907" s="59"/>
      <c r="N907" s="59"/>
      <c r="O907" s="59"/>
      <c r="P907" s="59"/>
      <c r="Q907" s="59"/>
      <c r="R907" s="59"/>
      <c r="S907" s="59"/>
      <c r="T907" s="59"/>
      <c r="U907" s="59"/>
    </row>
    <row r="908" ht="35.25" customHeight="1">
      <c r="A908" s="59"/>
      <c r="B908" s="59"/>
      <c r="C908" s="59"/>
      <c r="D908" s="59"/>
      <c r="E908" s="178"/>
      <c r="F908" s="59"/>
      <c r="G908" s="59"/>
      <c r="H908" s="59"/>
      <c r="I908" s="178"/>
      <c r="J908" s="59"/>
      <c r="K908" s="59"/>
      <c r="L908" s="59"/>
      <c r="M908" s="59"/>
      <c r="N908" s="59"/>
      <c r="O908" s="59"/>
      <c r="P908" s="59"/>
      <c r="Q908" s="59"/>
      <c r="R908" s="59"/>
      <c r="S908" s="59"/>
      <c r="T908" s="59"/>
      <c r="U908" s="59"/>
    </row>
    <row r="909" ht="35.25" customHeight="1">
      <c r="A909" s="59"/>
      <c r="B909" s="59"/>
      <c r="C909" s="59"/>
      <c r="D909" s="59"/>
      <c r="E909" s="178"/>
      <c r="F909" s="59"/>
      <c r="G909" s="59"/>
      <c r="H909" s="59"/>
      <c r="I909" s="178"/>
      <c r="J909" s="59"/>
      <c r="K909" s="59"/>
      <c r="L909" s="59"/>
      <c r="M909" s="59"/>
      <c r="N909" s="59"/>
      <c r="O909" s="59"/>
      <c r="P909" s="59"/>
      <c r="Q909" s="59"/>
      <c r="R909" s="59"/>
      <c r="S909" s="59"/>
      <c r="T909" s="59"/>
      <c r="U909" s="59"/>
    </row>
    <row r="910" ht="35.25" customHeight="1">
      <c r="A910" s="59"/>
      <c r="B910" s="59"/>
      <c r="C910" s="59"/>
      <c r="D910" s="59"/>
      <c r="E910" s="178"/>
      <c r="F910" s="59"/>
      <c r="G910" s="59"/>
      <c r="H910" s="59"/>
      <c r="I910" s="178"/>
      <c r="J910" s="59"/>
      <c r="K910" s="59"/>
      <c r="L910" s="59"/>
      <c r="M910" s="59"/>
      <c r="N910" s="59"/>
      <c r="O910" s="59"/>
      <c r="P910" s="59"/>
      <c r="Q910" s="59"/>
      <c r="R910" s="59"/>
      <c r="S910" s="59"/>
      <c r="T910" s="59"/>
      <c r="U910" s="59"/>
    </row>
    <row r="911" ht="35.25" customHeight="1">
      <c r="A911" s="59"/>
      <c r="B911" s="59"/>
      <c r="C911" s="59"/>
      <c r="D911" s="59"/>
      <c r="E911" s="178"/>
      <c r="F911" s="59"/>
      <c r="G911" s="59"/>
      <c r="H911" s="59"/>
      <c r="I911" s="178"/>
      <c r="J911" s="59"/>
      <c r="K911" s="59"/>
      <c r="L911" s="59"/>
      <c r="M911" s="59"/>
      <c r="N911" s="59"/>
      <c r="O911" s="59"/>
      <c r="P911" s="59"/>
      <c r="Q911" s="59"/>
      <c r="R911" s="59"/>
      <c r="S911" s="59"/>
      <c r="T911" s="59"/>
      <c r="U911" s="59"/>
    </row>
    <row r="912" ht="35.25" customHeight="1">
      <c r="A912" s="59"/>
      <c r="B912" s="59"/>
      <c r="C912" s="59"/>
      <c r="D912" s="59"/>
      <c r="E912" s="178"/>
      <c r="F912" s="59"/>
      <c r="G912" s="59"/>
      <c r="H912" s="59"/>
      <c r="I912" s="178"/>
      <c r="J912" s="59"/>
      <c r="K912" s="59"/>
      <c r="L912" s="59"/>
      <c r="M912" s="59"/>
      <c r="N912" s="59"/>
      <c r="O912" s="59"/>
      <c r="P912" s="59"/>
      <c r="Q912" s="59"/>
      <c r="R912" s="59"/>
      <c r="S912" s="59"/>
      <c r="T912" s="59"/>
      <c r="U912" s="59"/>
    </row>
    <row r="913" ht="35.25" customHeight="1">
      <c r="A913" s="59"/>
      <c r="B913" s="59"/>
      <c r="C913" s="59"/>
      <c r="D913" s="59"/>
      <c r="E913" s="178"/>
      <c r="F913" s="59"/>
      <c r="G913" s="59"/>
      <c r="H913" s="59"/>
      <c r="I913" s="178"/>
      <c r="J913" s="59"/>
      <c r="K913" s="59"/>
      <c r="L913" s="59"/>
      <c r="M913" s="59"/>
      <c r="N913" s="59"/>
      <c r="O913" s="59"/>
      <c r="P913" s="59"/>
      <c r="Q913" s="59"/>
      <c r="R913" s="59"/>
      <c r="S913" s="59"/>
      <c r="T913" s="59"/>
      <c r="U913" s="59"/>
    </row>
    <row r="914" ht="35.25" customHeight="1">
      <c r="A914" s="59"/>
      <c r="B914" s="59"/>
      <c r="C914" s="59"/>
      <c r="D914" s="59"/>
      <c r="E914" s="178"/>
      <c r="F914" s="59"/>
      <c r="G914" s="59"/>
      <c r="H914" s="59"/>
      <c r="I914" s="178"/>
      <c r="J914" s="59"/>
      <c r="K914" s="59"/>
      <c r="L914" s="59"/>
      <c r="M914" s="59"/>
      <c r="N914" s="59"/>
      <c r="O914" s="59"/>
      <c r="P914" s="59"/>
      <c r="Q914" s="59"/>
      <c r="R914" s="59"/>
      <c r="S914" s="59"/>
      <c r="T914" s="59"/>
      <c r="U914" s="59"/>
    </row>
    <row r="915" ht="35.25" customHeight="1">
      <c r="A915" s="59"/>
      <c r="B915" s="59"/>
      <c r="C915" s="59"/>
      <c r="D915" s="59"/>
      <c r="E915" s="178"/>
      <c r="F915" s="59"/>
      <c r="G915" s="59"/>
      <c r="H915" s="59"/>
      <c r="I915" s="178"/>
      <c r="J915" s="59"/>
      <c r="K915" s="59"/>
      <c r="L915" s="59"/>
      <c r="M915" s="59"/>
      <c r="N915" s="59"/>
      <c r="O915" s="59"/>
      <c r="P915" s="59"/>
      <c r="Q915" s="59"/>
      <c r="R915" s="59"/>
      <c r="S915" s="59"/>
      <c r="T915" s="59"/>
      <c r="U915" s="59"/>
    </row>
    <row r="916" ht="35.25" customHeight="1">
      <c r="A916" s="59"/>
      <c r="B916" s="59"/>
      <c r="C916" s="59"/>
      <c r="D916" s="59"/>
      <c r="E916" s="178"/>
      <c r="F916" s="59"/>
      <c r="G916" s="59"/>
      <c r="H916" s="59"/>
      <c r="I916" s="178"/>
      <c r="J916" s="59"/>
      <c r="K916" s="59"/>
      <c r="L916" s="59"/>
      <c r="M916" s="59"/>
      <c r="N916" s="59"/>
      <c r="O916" s="59"/>
      <c r="P916" s="59"/>
      <c r="Q916" s="59"/>
      <c r="R916" s="59"/>
      <c r="S916" s="59"/>
      <c r="T916" s="59"/>
      <c r="U916" s="59"/>
    </row>
    <row r="917" ht="35.25" customHeight="1">
      <c r="A917" s="59"/>
      <c r="B917" s="59"/>
      <c r="C917" s="59"/>
      <c r="D917" s="59"/>
      <c r="E917" s="178"/>
      <c r="F917" s="59"/>
      <c r="G917" s="59"/>
      <c r="H917" s="59"/>
      <c r="I917" s="178"/>
      <c r="J917" s="59"/>
      <c r="K917" s="59"/>
      <c r="L917" s="59"/>
      <c r="M917" s="59"/>
      <c r="N917" s="59"/>
      <c r="O917" s="59"/>
      <c r="P917" s="59"/>
      <c r="Q917" s="59"/>
      <c r="R917" s="59"/>
      <c r="S917" s="59"/>
      <c r="T917" s="59"/>
      <c r="U917" s="59"/>
    </row>
    <row r="918" ht="35.25" customHeight="1">
      <c r="A918" s="59"/>
      <c r="B918" s="59"/>
      <c r="C918" s="59"/>
      <c r="D918" s="59"/>
      <c r="E918" s="178"/>
      <c r="F918" s="59"/>
      <c r="G918" s="59"/>
      <c r="H918" s="59"/>
      <c r="I918" s="178"/>
      <c r="J918" s="59"/>
      <c r="K918" s="59"/>
      <c r="L918" s="59"/>
      <c r="M918" s="59"/>
      <c r="N918" s="59"/>
      <c r="O918" s="59"/>
      <c r="P918" s="59"/>
      <c r="Q918" s="59"/>
      <c r="R918" s="59"/>
      <c r="S918" s="59"/>
      <c r="T918" s="59"/>
      <c r="U918" s="59"/>
    </row>
    <row r="919" ht="35.25" customHeight="1">
      <c r="A919" s="59"/>
      <c r="B919" s="59"/>
      <c r="C919" s="59"/>
      <c r="D919" s="59"/>
      <c r="E919" s="178"/>
      <c r="F919" s="59"/>
      <c r="G919" s="59"/>
      <c r="H919" s="59"/>
      <c r="I919" s="178"/>
      <c r="J919" s="59"/>
      <c r="K919" s="59"/>
      <c r="L919" s="59"/>
      <c r="M919" s="59"/>
      <c r="N919" s="59"/>
      <c r="O919" s="59"/>
      <c r="P919" s="59"/>
      <c r="Q919" s="59"/>
      <c r="R919" s="59"/>
      <c r="S919" s="59"/>
      <c r="T919" s="59"/>
      <c r="U919" s="59"/>
    </row>
    <row r="920" ht="35.25" customHeight="1">
      <c r="A920" s="59"/>
      <c r="B920" s="59"/>
      <c r="C920" s="59"/>
      <c r="D920" s="59"/>
      <c r="E920" s="178"/>
      <c r="F920" s="59"/>
      <c r="G920" s="59"/>
      <c r="H920" s="59"/>
      <c r="I920" s="178"/>
      <c r="J920" s="59"/>
      <c r="K920" s="59"/>
      <c r="L920" s="59"/>
      <c r="M920" s="59"/>
      <c r="N920" s="59"/>
      <c r="O920" s="59"/>
      <c r="P920" s="59"/>
      <c r="Q920" s="59"/>
      <c r="R920" s="59"/>
      <c r="S920" s="59"/>
      <c r="T920" s="59"/>
      <c r="U920" s="59"/>
    </row>
    <row r="921" ht="35.25" customHeight="1">
      <c r="A921" s="59"/>
      <c r="B921" s="59"/>
      <c r="C921" s="59"/>
      <c r="D921" s="59"/>
      <c r="E921" s="178"/>
      <c r="F921" s="59"/>
      <c r="G921" s="59"/>
      <c r="H921" s="59"/>
      <c r="I921" s="178"/>
      <c r="J921" s="59"/>
      <c r="K921" s="59"/>
      <c r="L921" s="59"/>
      <c r="M921" s="59"/>
      <c r="N921" s="59"/>
      <c r="O921" s="59"/>
      <c r="P921" s="59"/>
      <c r="Q921" s="59"/>
      <c r="R921" s="59"/>
      <c r="S921" s="59"/>
      <c r="T921" s="59"/>
      <c r="U921" s="59"/>
    </row>
    <row r="922" ht="35.25" customHeight="1">
      <c r="A922" s="59"/>
      <c r="B922" s="59"/>
      <c r="C922" s="59"/>
      <c r="D922" s="59"/>
      <c r="E922" s="178"/>
      <c r="F922" s="59"/>
      <c r="G922" s="59"/>
      <c r="H922" s="59"/>
      <c r="I922" s="178"/>
      <c r="J922" s="59"/>
      <c r="K922" s="59"/>
      <c r="L922" s="59"/>
      <c r="M922" s="59"/>
      <c r="N922" s="59"/>
      <c r="O922" s="59"/>
      <c r="P922" s="59"/>
      <c r="Q922" s="59"/>
      <c r="R922" s="59"/>
      <c r="S922" s="59"/>
      <c r="T922" s="59"/>
      <c r="U922" s="59"/>
    </row>
    <row r="923" ht="35.25" customHeight="1">
      <c r="A923" s="59"/>
      <c r="B923" s="59"/>
      <c r="C923" s="59"/>
      <c r="D923" s="59"/>
      <c r="E923" s="178"/>
      <c r="F923" s="59"/>
      <c r="G923" s="59"/>
      <c r="H923" s="59"/>
      <c r="I923" s="178"/>
      <c r="J923" s="59"/>
      <c r="K923" s="59"/>
      <c r="L923" s="59"/>
      <c r="M923" s="59"/>
      <c r="N923" s="59"/>
      <c r="O923" s="59"/>
      <c r="P923" s="59"/>
      <c r="Q923" s="59"/>
      <c r="R923" s="59"/>
      <c r="S923" s="59"/>
      <c r="T923" s="59"/>
      <c r="U923" s="59"/>
    </row>
    <row r="924" ht="35.25" customHeight="1">
      <c r="A924" s="59"/>
      <c r="B924" s="59"/>
      <c r="C924" s="59"/>
      <c r="D924" s="59"/>
      <c r="E924" s="178"/>
      <c r="F924" s="59"/>
      <c r="G924" s="59"/>
      <c r="H924" s="59"/>
      <c r="I924" s="178"/>
      <c r="J924" s="59"/>
      <c r="K924" s="59"/>
      <c r="L924" s="59"/>
      <c r="M924" s="59"/>
      <c r="N924" s="59"/>
      <c r="O924" s="59"/>
      <c r="P924" s="59"/>
      <c r="Q924" s="59"/>
      <c r="R924" s="59"/>
      <c r="S924" s="59"/>
      <c r="T924" s="59"/>
      <c r="U924" s="59"/>
    </row>
    <row r="925" ht="35.25" customHeight="1">
      <c r="A925" s="59"/>
      <c r="B925" s="59"/>
      <c r="C925" s="59"/>
      <c r="D925" s="59"/>
      <c r="E925" s="178"/>
      <c r="F925" s="59"/>
      <c r="G925" s="59"/>
      <c r="H925" s="59"/>
      <c r="I925" s="178"/>
      <c r="J925" s="59"/>
      <c r="K925" s="59"/>
      <c r="L925" s="59"/>
      <c r="M925" s="59"/>
      <c r="N925" s="59"/>
      <c r="O925" s="59"/>
      <c r="P925" s="59"/>
      <c r="Q925" s="59"/>
      <c r="R925" s="59"/>
      <c r="S925" s="59"/>
      <c r="T925" s="59"/>
      <c r="U925" s="59"/>
    </row>
    <row r="926" ht="35.25" customHeight="1">
      <c r="A926" s="59"/>
      <c r="B926" s="59"/>
      <c r="C926" s="59"/>
      <c r="D926" s="59"/>
      <c r="E926" s="178"/>
      <c r="F926" s="59"/>
      <c r="G926" s="59"/>
      <c r="H926" s="59"/>
      <c r="I926" s="178"/>
      <c r="J926" s="59"/>
      <c r="K926" s="59"/>
      <c r="L926" s="59"/>
      <c r="M926" s="59"/>
      <c r="N926" s="59"/>
      <c r="O926" s="59"/>
      <c r="P926" s="59"/>
      <c r="Q926" s="59"/>
      <c r="R926" s="59"/>
      <c r="S926" s="59"/>
      <c r="T926" s="59"/>
      <c r="U926" s="59"/>
    </row>
    <row r="927" ht="35.25" customHeight="1">
      <c r="A927" s="59"/>
      <c r="B927" s="59"/>
      <c r="C927" s="59"/>
      <c r="D927" s="59"/>
      <c r="E927" s="178"/>
      <c r="F927" s="59"/>
      <c r="G927" s="59"/>
      <c r="H927" s="59"/>
      <c r="I927" s="178"/>
      <c r="J927" s="59"/>
      <c r="K927" s="59"/>
      <c r="L927" s="59"/>
      <c r="M927" s="59"/>
      <c r="N927" s="59"/>
      <c r="O927" s="59"/>
      <c r="P927" s="59"/>
      <c r="Q927" s="59"/>
      <c r="R927" s="59"/>
      <c r="S927" s="59"/>
      <c r="T927" s="59"/>
      <c r="U927" s="59"/>
    </row>
    <row r="928" ht="35.25" customHeight="1">
      <c r="A928" s="59"/>
      <c r="B928" s="59"/>
      <c r="C928" s="59"/>
      <c r="D928" s="59"/>
      <c r="E928" s="178"/>
      <c r="F928" s="59"/>
      <c r="G928" s="59"/>
      <c r="H928" s="59"/>
      <c r="I928" s="178"/>
      <c r="J928" s="59"/>
      <c r="K928" s="59"/>
      <c r="L928" s="59"/>
      <c r="M928" s="59"/>
      <c r="N928" s="59"/>
      <c r="O928" s="59"/>
      <c r="P928" s="59"/>
      <c r="Q928" s="59"/>
      <c r="R928" s="59"/>
      <c r="S928" s="59"/>
      <c r="T928" s="59"/>
      <c r="U928" s="59"/>
    </row>
    <row r="929" ht="35.25" customHeight="1">
      <c r="A929" s="59"/>
      <c r="B929" s="59"/>
      <c r="C929" s="59"/>
      <c r="D929" s="59"/>
      <c r="E929" s="178"/>
      <c r="F929" s="59"/>
      <c r="G929" s="59"/>
      <c r="H929" s="59"/>
      <c r="I929" s="178"/>
      <c r="J929" s="59"/>
      <c r="K929" s="59"/>
      <c r="L929" s="59"/>
      <c r="M929" s="59"/>
      <c r="N929" s="59"/>
      <c r="O929" s="59"/>
      <c r="P929" s="59"/>
      <c r="Q929" s="59"/>
      <c r="R929" s="59"/>
      <c r="S929" s="59"/>
      <c r="T929" s="59"/>
      <c r="U929" s="59"/>
    </row>
    <row r="930" ht="35.25" customHeight="1">
      <c r="A930" s="59"/>
      <c r="B930" s="59"/>
      <c r="C930" s="59"/>
      <c r="D930" s="59"/>
      <c r="E930" s="178"/>
      <c r="F930" s="59"/>
      <c r="G930" s="59"/>
      <c r="H930" s="59"/>
      <c r="I930" s="178"/>
      <c r="J930" s="59"/>
      <c r="K930" s="59"/>
      <c r="L930" s="59"/>
      <c r="M930" s="59"/>
      <c r="N930" s="59"/>
      <c r="O930" s="59"/>
      <c r="P930" s="59"/>
      <c r="Q930" s="59"/>
      <c r="R930" s="59"/>
      <c r="S930" s="59"/>
      <c r="T930" s="59"/>
      <c r="U930" s="59"/>
    </row>
    <row r="931" ht="35.25" customHeight="1">
      <c r="A931" s="59"/>
      <c r="B931" s="59"/>
      <c r="C931" s="59"/>
      <c r="D931" s="59"/>
      <c r="E931" s="178"/>
      <c r="F931" s="59"/>
      <c r="G931" s="59"/>
      <c r="H931" s="59"/>
      <c r="I931" s="178"/>
      <c r="J931" s="59"/>
      <c r="K931" s="59"/>
      <c r="L931" s="59"/>
      <c r="M931" s="59"/>
      <c r="N931" s="59"/>
      <c r="O931" s="59"/>
      <c r="P931" s="59"/>
      <c r="Q931" s="59"/>
      <c r="R931" s="59"/>
      <c r="S931" s="59"/>
      <c r="T931" s="59"/>
      <c r="U931" s="59"/>
    </row>
    <row r="932" ht="35.25" customHeight="1">
      <c r="A932" s="59"/>
      <c r="B932" s="59"/>
      <c r="C932" s="59"/>
      <c r="D932" s="59"/>
      <c r="E932" s="178"/>
      <c r="F932" s="59"/>
      <c r="G932" s="59"/>
      <c r="H932" s="59"/>
      <c r="I932" s="178"/>
      <c r="J932" s="59"/>
      <c r="K932" s="59"/>
      <c r="L932" s="59"/>
      <c r="M932" s="59"/>
      <c r="N932" s="59"/>
      <c r="O932" s="59"/>
      <c r="P932" s="59"/>
      <c r="Q932" s="59"/>
      <c r="R932" s="59"/>
      <c r="S932" s="59"/>
      <c r="T932" s="59"/>
      <c r="U932" s="59"/>
    </row>
    <row r="933" ht="35.25" customHeight="1">
      <c r="A933" s="59"/>
      <c r="B933" s="59"/>
      <c r="C933" s="59"/>
      <c r="D933" s="59"/>
      <c r="E933" s="178"/>
      <c r="F933" s="59"/>
      <c r="G933" s="59"/>
      <c r="H933" s="59"/>
      <c r="I933" s="178"/>
      <c r="J933" s="59"/>
      <c r="K933" s="59"/>
      <c r="L933" s="59"/>
      <c r="M933" s="59"/>
      <c r="N933" s="59"/>
      <c r="O933" s="59"/>
      <c r="P933" s="59"/>
      <c r="Q933" s="59"/>
      <c r="R933" s="59"/>
      <c r="S933" s="59"/>
      <c r="T933" s="59"/>
      <c r="U933" s="59"/>
    </row>
    <row r="934" ht="35.25" customHeight="1">
      <c r="A934" s="59"/>
      <c r="B934" s="59"/>
      <c r="C934" s="59"/>
      <c r="D934" s="59"/>
      <c r="E934" s="178"/>
      <c r="F934" s="59"/>
      <c r="G934" s="59"/>
      <c r="H934" s="59"/>
      <c r="I934" s="178"/>
      <c r="J934" s="59"/>
      <c r="K934" s="59"/>
      <c r="L934" s="59"/>
      <c r="M934" s="59"/>
      <c r="N934" s="59"/>
      <c r="O934" s="59"/>
      <c r="P934" s="59"/>
      <c r="Q934" s="59"/>
      <c r="R934" s="59"/>
      <c r="S934" s="59"/>
      <c r="T934" s="59"/>
      <c r="U934" s="59"/>
    </row>
    <row r="935" ht="35.25" customHeight="1">
      <c r="A935" s="59"/>
      <c r="B935" s="59"/>
      <c r="C935" s="59"/>
      <c r="D935" s="59"/>
      <c r="E935" s="178"/>
      <c r="F935" s="59"/>
      <c r="G935" s="59"/>
      <c r="H935" s="59"/>
      <c r="I935" s="178"/>
      <c r="J935" s="59"/>
      <c r="K935" s="59"/>
      <c r="L935" s="59"/>
      <c r="M935" s="59"/>
      <c r="N935" s="59"/>
      <c r="O935" s="59"/>
      <c r="P935" s="59"/>
      <c r="Q935" s="59"/>
      <c r="R935" s="59"/>
      <c r="S935" s="59"/>
      <c r="T935" s="59"/>
      <c r="U935" s="59"/>
    </row>
    <row r="936" ht="35.25" customHeight="1">
      <c r="A936" s="59"/>
      <c r="B936" s="59"/>
      <c r="C936" s="59"/>
      <c r="D936" s="59"/>
      <c r="E936" s="178"/>
      <c r="F936" s="59"/>
      <c r="G936" s="59"/>
      <c r="H936" s="59"/>
      <c r="I936" s="178"/>
      <c r="J936" s="59"/>
      <c r="K936" s="59"/>
      <c r="L936" s="59"/>
      <c r="M936" s="59"/>
      <c r="N936" s="59"/>
      <c r="O936" s="59"/>
      <c r="P936" s="59"/>
      <c r="Q936" s="59"/>
      <c r="R936" s="59"/>
      <c r="S936" s="59"/>
      <c r="T936" s="59"/>
      <c r="U936" s="59"/>
    </row>
    <row r="937" ht="35.25" customHeight="1">
      <c r="A937" s="59"/>
      <c r="B937" s="59"/>
      <c r="C937" s="59"/>
      <c r="D937" s="59"/>
      <c r="E937" s="178"/>
      <c r="F937" s="59"/>
      <c r="G937" s="59"/>
      <c r="H937" s="59"/>
      <c r="I937" s="178"/>
      <c r="J937" s="59"/>
      <c r="K937" s="59"/>
      <c r="L937" s="59"/>
      <c r="M937" s="59"/>
      <c r="N937" s="59"/>
      <c r="O937" s="59"/>
      <c r="P937" s="59"/>
      <c r="Q937" s="59"/>
      <c r="R937" s="59"/>
      <c r="S937" s="59"/>
      <c r="T937" s="59"/>
      <c r="U937" s="59"/>
    </row>
    <row r="938" ht="35.25" customHeight="1">
      <c r="A938" s="59"/>
      <c r="B938" s="59"/>
      <c r="C938" s="59"/>
      <c r="D938" s="59"/>
      <c r="E938" s="178"/>
      <c r="F938" s="59"/>
      <c r="G938" s="59"/>
      <c r="H938" s="59"/>
      <c r="I938" s="178"/>
      <c r="J938" s="59"/>
      <c r="K938" s="59"/>
      <c r="L938" s="59"/>
      <c r="M938" s="59"/>
      <c r="N938" s="59"/>
      <c r="O938" s="59"/>
      <c r="P938" s="59"/>
      <c r="Q938" s="59"/>
      <c r="R938" s="59"/>
      <c r="S938" s="59"/>
      <c r="T938" s="59"/>
      <c r="U938" s="59"/>
    </row>
    <row r="939" ht="35.25" customHeight="1">
      <c r="A939" s="59"/>
      <c r="B939" s="59"/>
      <c r="C939" s="59"/>
      <c r="D939" s="59"/>
      <c r="E939" s="178"/>
      <c r="F939" s="59"/>
      <c r="G939" s="59"/>
      <c r="H939" s="59"/>
      <c r="I939" s="178"/>
      <c r="J939" s="59"/>
      <c r="K939" s="59"/>
      <c r="L939" s="59"/>
      <c r="M939" s="59"/>
      <c r="N939" s="59"/>
      <c r="O939" s="59"/>
      <c r="P939" s="59"/>
      <c r="Q939" s="59"/>
      <c r="R939" s="59"/>
      <c r="S939" s="59"/>
      <c r="T939" s="59"/>
      <c r="U939" s="59"/>
    </row>
    <row r="940" ht="35.25" customHeight="1">
      <c r="A940" s="59"/>
      <c r="B940" s="59"/>
      <c r="C940" s="59"/>
      <c r="D940" s="59"/>
      <c r="E940" s="178"/>
      <c r="F940" s="59"/>
      <c r="G940" s="59"/>
      <c r="H940" s="59"/>
      <c r="I940" s="178"/>
      <c r="J940" s="59"/>
      <c r="K940" s="59"/>
      <c r="L940" s="59"/>
      <c r="M940" s="59"/>
      <c r="N940" s="59"/>
      <c r="O940" s="59"/>
      <c r="P940" s="59"/>
      <c r="Q940" s="59"/>
      <c r="R940" s="59"/>
      <c r="S940" s="59"/>
      <c r="T940" s="59"/>
      <c r="U940" s="59"/>
    </row>
    <row r="941" ht="35.25" customHeight="1">
      <c r="A941" s="59"/>
      <c r="B941" s="59"/>
      <c r="C941" s="59"/>
      <c r="D941" s="59"/>
      <c r="E941" s="178"/>
      <c r="F941" s="59"/>
      <c r="G941" s="59"/>
      <c r="H941" s="59"/>
      <c r="I941" s="178"/>
      <c r="J941" s="59"/>
      <c r="K941" s="59"/>
      <c r="L941" s="59"/>
      <c r="M941" s="59"/>
      <c r="N941" s="59"/>
      <c r="O941" s="59"/>
      <c r="P941" s="59"/>
      <c r="Q941" s="59"/>
      <c r="R941" s="59"/>
      <c r="S941" s="59"/>
      <c r="T941" s="59"/>
      <c r="U941" s="59"/>
    </row>
    <row r="942" ht="35.25" customHeight="1">
      <c r="A942" s="59"/>
      <c r="B942" s="59"/>
      <c r="C942" s="59"/>
      <c r="D942" s="59"/>
      <c r="E942" s="178"/>
      <c r="F942" s="59"/>
      <c r="G942" s="59"/>
      <c r="H942" s="59"/>
      <c r="I942" s="178"/>
      <c r="J942" s="59"/>
      <c r="K942" s="59"/>
      <c r="L942" s="59"/>
      <c r="M942" s="59"/>
      <c r="N942" s="59"/>
      <c r="O942" s="59"/>
      <c r="P942" s="59"/>
      <c r="Q942" s="59"/>
      <c r="R942" s="59"/>
      <c r="S942" s="59"/>
      <c r="T942" s="59"/>
      <c r="U942" s="59"/>
    </row>
    <row r="943" ht="35.25" customHeight="1">
      <c r="A943" s="59"/>
      <c r="B943" s="59"/>
      <c r="C943" s="59"/>
      <c r="D943" s="59"/>
      <c r="E943" s="178"/>
      <c r="F943" s="59"/>
      <c r="G943" s="59"/>
      <c r="H943" s="59"/>
      <c r="I943" s="178"/>
      <c r="J943" s="59"/>
      <c r="K943" s="59"/>
      <c r="L943" s="59"/>
      <c r="M943" s="59"/>
      <c r="N943" s="59"/>
      <c r="O943" s="59"/>
      <c r="P943" s="59"/>
      <c r="Q943" s="59"/>
      <c r="R943" s="59"/>
      <c r="S943" s="59"/>
      <c r="T943" s="59"/>
      <c r="U943" s="59"/>
    </row>
    <row r="944" ht="35.25" customHeight="1">
      <c r="A944" s="59"/>
      <c r="B944" s="59"/>
      <c r="C944" s="59"/>
      <c r="D944" s="59"/>
      <c r="E944" s="178"/>
      <c r="F944" s="59"/>
      <c r="G944" s="59"/>
      <c r="H944" s="59"/>
      <c r="I944" s="178"/>
      <c r="J944" s="59"/>
      <c r="K944" s="59"/>
      <c r="L944" s="59"/>
      <c r="M944" s="59"/>
      <c r="N944" s="59"/>
      <c r="O944" s="59"/>
      <c r="P944" s="59"/>
      <c r="Q944" s="59"/>
      <c r="R944" s="59"/>
      <c r="S944" s="59"/>
      <c r="T944" s="59"/>
      <c r="U944" s="59"/>
    </row>
    <row r="945" ht="35.25" customHeight="1">
      <c r="A945" s="59"/>
      <c r="B945" s="59"/>
      <c r="C945" s="59"/>
      <c r="D945" s="59"/>
      <c r="E945" s="178"/>
      <c r="F945" s="59"/>
      <c r="G945" s="59"/>
      <c r="H945" s="59"/>
      <c r="I945" s="178"/>
      <c r="J945" s="59"/>
      <c r="K945" s="59"/>
      <c r="L945" s="59"/>
      <c r="M945" s="59"/>
      <c r="N945" s="59"/>
      <c r="O945" s="59"/>
      <c r="P945" s="59"/>
      <c r="Q945" s="59"/>
      <c r="R945" s="59"/>
      <c r="S945" s="59"/>
      <c r="T945" s="59"/>
      <c r="U945" s="59"/>
    </row>
    <row r="946" ht="35.25" customHeight="1">
      <c r="A946" s="59"/>
      <c r="B946" s="59"/>
      <c r="C946" s="59"/>
      <c r="D946" s="59"/>
      <c r="E946" s="178"/>
      <c r="F946" s="59"/>
      <c r="G946" s="59"/>
      <c r="H946" s="59"/>
      <c r="I946" s="178"/>
      <c r="J946" s="59"/>
      <c r="K946" s="59"/>
      <c r="L946" s="59"/>
      <c r="M946" s="59"/>
      <c r="N946" s="59"/>
      <c r="O946" s="59"/>
      <c r="P946" s="59"/>
      <c r="Q946" s="59"/>
      <c r="R946" s="59"/>
      <c r="S946" s="59"/>
      <c r="T946" s="59"/>
      <c r="U946" s="59"/>
    </row>
    <row r="947" ht="35.25" customHeight="1">
      <c r="A947" s="59"/>
      <c r="B947" s="59"/>
      <c r="C947" s="59"/>
      <c r="D947" s="59"/>
      <c r="E947" s="178"/>
      <c r="F947" s="59"/>
      <c r="G947" s="59"/>
      <c r="H947" s="59"/>
      <c r="I947" s="178"/>
      <c r="J947" s="59"/>
      <c r="K947" s="59"/>
      <c r="L947" s="59"/>
      <c r="M947" s="59"/>
      <c r="N947" s="59"/>
      <c r="O947" s="59"/>
      <c r="P947" s="59"/>
      <c r="Q947" s="59"/>
      <c r="R947" s="59"/>
      <c r="S947" s="59"/>
      <c r="T947" s="59"/>
      <c r="U947" s="59"/>
    </row>
    <row r="948" ht="35.25" customHeight="1">
      <c r="A948" s="59"/>
      <c r="B948" s="59"/>
      <c r="C948" s="59"/>
      <c r="D948" s="59"/>
      <c r="E948" s="178"/>
      <c r="F948" s="59"/>
      <c r="G948" s="59"/>
      <c r="H948" s="59"/>
      <c r="I948" s="178"/>
      <c r="J948" s="59"/>
      <c r="K948" s="59"/>
      <c r="L948" s="59"/>
      <c r="M948" s="59"/>
      <c r="N948" s="59"/>
      <c r="O948" s="59"/>
      <c r="P948" s="59"/>
      <c r="Q948" s="59"/>
      <c r="R948" s="59"/>
      <c r="S948" s="59"/>
      <c r="T948" s="59"/>
      <c r="U948" s="59"/>
    </row>
    <row r="949" ht="35.25" customHeight="1">
      <c r="A949" s="59"/>
      <c r="B949" s="59"/>
      <c r="C949" s="59"/>
      <c r="D949" s="59"/>
      <c r="E949" s="178"/>
      <c r="F949" s="59"/>
      <c r="G949" s="59"/>
      <c r="H949" s="59"/>
      <c r="I949" s="178"/>
      <c r="J949" s="59"/>
      <c r="K949" s="59"/>
      <c r="L949" s="59"/>
      <c r="M949" s="59"/>
      <c r="N949" s="59"/>
      <c r="O949" s="59"/>
      <c r="P949" s="59"/>
      <c r="Q949" s="59"/>
      <c r="R949" s="59"/>
      <c r="S949" s="59"/>
      <c r="T949" s="59"/>
      <c r="U949" s="59"/>
    </row>
    <row r="950" ht="35.25" customHeight="1">
      <c r="A950" s="59"/>
      <c r="B950" s="59"/>
      <c r="C950" s="59"/>
      <c r="D950" s="59"/>
      <c r="E950" s="178"/>
      <c r="F950" s="59"/>
      <c r="G950" s="59"/>
      <c r="H950" s="59"/>
      <c r="I950" s="178"/>
      <c r="J950" s="59"/>
      <c r="K950" s="59"/>
      <c r="L950" s="59"/>
      <c r="M950" s="59"/>
      <c r="N950" s="59"/>
      <c r="O950" s="59"/>
      <c r="P950" s="59"/>
      <c r="Q950" s="59"/>
      <c r="R950" s="59"/>
      <c r="S950" s="59"/>
      <c r="T950" s="59"/>
      <c r="U950" s="59"/>
    </row>
    <row r="951" ht="35.25" customHeight="1">
      <c r="A951" s="59"/>
      <c r="B951" s="59"/>
      <c r="C951" s="59"/>
      <c r="D951" s="59"/>
      <c r="E951" s="178"/>
      <c r="F951" s="59"/>
      <c r="G951" s="59"/>
      <c r="H951" s="59"/>
      <c r="I951" s="178"/>
      <c r="J951" s="59"/>
      <c r="K951" s="59"/>
      <c r="L951" s="59"/>
      <c r="M951" s="59"/>
      <c r="N951" s="59"/>
      <c r="O951" s="59"/>
      <c r="P951" s="59"/>
      <c r="Q951" s="59"/>
      <c r="R951" s="59"/>
      <c r="S951" s="59"/>
      <c r="T951" s="59"/>
      <c r="U951" s="59"/>
    </row>
    <row r="952" ht="35.25" customHeight="1">
      <c r="A952" s="59"/>
      <c r="B952" s="59"/>
      <c r="C952" s="59"/>
      <c r="D952" s="59"/>
      <c r="E952" s="178"/>
      <c r="F952" s="59"/>
      <c r="G952" s="59"/>
      <c r="H952" s="59"/>
      <c r="I952" s="178"/>
      <c r="J952" s="59"/>
      <c r="K952" s="59"/>
      <c r="L952" s="59"/>
      <c r="M952" s="59"/>
      <c r="N952" s="59"/>
      <c r="O952" s="59"/>
      <c r="P952" s="59"/>
      <c r="Q952" s="59"/>
      <c r="R952" s="59"/>
      <c r="S952" s="59"/>
      <c r="T952" s="59"/>
      <c r="U952" s="59"/>
    </row>
    <row r="953" ht="35.25" customHeight="1">
      <c r="A953" s="59"/>
      <c r="B953" s="59"/>
      <c r="C953" s="59"/>
      <c r="D953" s="59"/>
      <c r="E953" s="178"/>
      <c r="F953" s="59"/>
      <c r="G953" s="59"/>
      <c r="H953" s="59"/>
      <c r="I953" s="178"/>
      <c r="J953" s="59"/>
      <c r="K953" s="59"/>
      <c r="L953" s="59"/>
      <c r="M953" s="59"/>
      <c r="N953" s="59"/>
      <c r="O953" s="59"/>
      <c r="P953" s="59"/>
      <c r="Q953" s="59"/>
      <c r="R953" s="59"/>
      <c r="S953" s="59"/>
      <c r="T953" s="59"/>
      <c r="U953" s="59"/>
    </row>
    <row r="954" ht="35.25" customHeight="1">
      <c r="A954" s="59"/>
      <c r="B954" s="59"/>
      <c r="C954" s="59"/>
      <c r="D954" s="59"/>
      <c r="E954" s="178"/>
      <c r="F954" s="59"/>
      <c r="G954" s="59"/>
      <c r="H954" s="59"/>
      <c r="I954" s="178"/>
      <c r="J954" s="59"/>
      <c r="K954" s="59"/>
      <c r="L954" s="59"/>
      <c r="M954" s="59"/>
      <c r="N954" s="59"/>
      <c r="O954" s="59"/>
      <c r="P954" s="59"/>
      <c r="Q954" s="59"/>
      <c r="R954" s="59"/>
      <c r="S954" s="59"/>
      <c r="T954" s="59"/>
      <c r="U954" s="59"/>
    </row>
    <row r="955" ht="35.25" customHeight="1">
      <c r="A955" s="59"/>
      <c r="B955" s="59"/>
      <c r="C955" s="59"/>
      <c r="D955" s="59"/>
      <c r="E955" s="178"/>
      <c r="F955" s="59"/>
      <c r="G955" s="59"/>
      <c r="H955" s="59"/>
      <c r="I955" s="178"/>
      <c r="J955" s="59"/>
      <c r="K955" s="59"/>
      <c r="L955" s="59"/>
      <c r="M955" s="59"/>
      <c r="N955" s="59"/>
      <c r="O955" s="59"/>
      <c r="P955" s="59"/>
      <c r="Q955" s="59"/>
      <c r="R955" s="59"/>
      <c r="S955" s="59"/>
      <c r="T955" s="59"/>
      <c r="U955" s="59"/>
    </row>
    <row r="956" ht="35.25" customHeight="1">
      <c r="A956" s="59"/>
      <c r="B956" s="59"/>
      <c r="C956" s="59"/>
      <c r="D956" s="59"/>
      <c r="E956" s="178"/>
      <c r="F956" s="59"/>
      <c r="G956" s="59"/>
      <c r="H956" s="59"/>
      <c r="I956" s="178"/>
      <c r="J956" s="59"/>
      <c r="K956" s="59"/>
      <c r="L956" s="59"/>
      <c r="M956" s="59"/>
      <c r="N956" s="59"/>
      <c r="O956" s="59"/>
      <c r="P956" s="59"/>
      <c r="Q956" s="59"/>
      <c r="R956" s="59"/>
      <c r="S956" s="59"/>
      <c r="T956" s="59"/>
      <c r="U956" s="59"/>
    </row>
    <row r="957" ht="35.25" customHeight="1">
      <c r="A957" s="59"/>
      <c r="B957" s="59"/>
      <c r="C957" s="59"/>
      <c r="D957" s="59"/>
      <c r="E957" s="178"/>
      <c r="F957" s="59"/>
      <c r="G957" s="59"/>
      <c r="H957" s="59"/>
      <c r="I957" s="178"/>
      <c r="J957" s="59"/>
      <c r="K957" s="59"/>
      <c r="L957" s="59"/>
      <c r="M957" s="59"/>
      <c r="N957" s="59"/>
      <c r="O957" s="59"/>
      <c r="P957" s="59"/>
      <c r="Q957" s="59"/>
      <c r="R957" s="59"/>
      <c r="S957" s="59"/>
      <c r="T957" s="59"/>
      <c r="U957" s="59"/>
    </row>
    <row r="958" ht="35.25" customHeight="1">
      <c r="A958" s="59"/>
      <c r="B958" s="59"/>
      <c r="C958" s="59"/>
      <c r="D958" s="59"/>
      <c r="E958" s="178"/>
      <c r="F958" s="59"/>
      <c r="G958" s="59"/>
      <c r="H958" s="59"/>
      <c r="I958" s="178"/>
      <c r="J958" s="59"/>
      <c r="K958" s="59"/>
      <c r="L958" s="59"/>
      <c r="M958" s="59"/>
      <c r="N958" s="59"/>
      <c r="O958" s="59"/>
      <c r="P958" s="59"/>
      <c r="Q958" s="59"/>
      <c r="R958" s="59"/>
      <c r="S958" s="59"/>
      <c r="T958" s="59"/>
      <c r="U958" s="59"/>
    </row>
    <row r="959" ht="35.25" customHeight="1">
      <c r="A959" s="59"/>
      <c r="B959" s="59"/>
      <c r="C959" s="59"/>
      <c r="D959" s="59"/>
      <c r="E959" s="178"/>
      <c r="F959" s="59"/>
      <c r="G959" s="59"/>
      <c r="H959" s="59"/>
      <c r="I959" s="178"/>
      <c r="J959" s="59"/>
      <c r="K959" s="59"/>
      <c r="L959" s="59"/>
      <c r="M959" s="59"/>
      <c r="N959" s="59"/>
      <c r="O959" s="59"/>
      <c r="P959" s="59"/>
      <c r="Q959" s="59"/>
      <c r="R959" s="59"/>
      <c r="S959" s="59"/>
      <c r="T959" s="59"/>
      <c r="U959" s="59"/>
    </row>
    <row r="960" ht="35.25" customHeight="1">
      <c r="A960" s="59"/>
      <c r="B960" s="59"/>
      <c r="C960" s="59"/>
      <c r="D960" s="59"/>
      <c r="E960" s="178"/>
      <c r="F960" s="59"/>
      <c r="G960" s="59"/>
      <c r="H960" s="59"/>
      <c r="I960" s="178"/>
      <c r="J960" s="59"/>
      <c r="K960" s="59"/>
      <c r="L960" s="59"/>
      <c r="M960" s="59"/>
      <c r="N960" s="59"/>
      <c r="O960" s="59"/>
      <c r="P960" s="59"/>
      <c r="Q960" s="59"/>
      <c r="R960" s="59"/>
      <c r="S960" s="59"/>
      <c r="T960" s="59"/>
      <c r="U960" s="59"/>
    </row>
    <row r="961" ht="35.25" customHeight="1">
      <c r="A961" s="59"/>
      <c r="B961" s="59"/>
      <c r="C961" s="59"/>
      <c r="D961" s="59"/>
      <c r="E961" s="178"/>
      <c r="F961" s="59"/>
      <c r="G961" s="59"/>
      <c r="H961" s="59"/>
      <c r="I961" s="178"/>
      <c r="J961" s="59"/>
      <c r="K961" s="59"/>
      <c r="L961" s="59"/>
      <c r="M961" s="59"/>
      <c r="N961" s="59"/>
      <c r="O961" s="59"/>
      <c r="P961" s="59"/>
      <c r="Q961" s="59"/>
      <c r="R961" s="59"/>
      <c r="S961" s="59"/>
      <c r="T961" s="59"/>
      <c r="U961" s="59"/>
    </row>
    <row r="962" ht="35.25" customHeight="1">
      <c r="A962" s="59"/>
      <c r="B962" s="59"/>
      <c r="C962" s="59"/>
      <c r="D962" s="59"/>
      <c r="E962" s="178"/>
      <c r="F962" s="59"/>
      <c r="G962" s="59"/>
      <c r="H962" s="59"/>
      <c r="I962" s="178"/>
      <c r="J962" s="59"/>
      <c r="K962" s="59"/>
      <c r="L962" s="59"/>
      <c r="M962" s="59"/>
      <c r="N962" s="59"/>
      <c r="O962" s="59"/>
      <c r="P962" s="59"/>
      <c r="Q962" s="59"/>
      <c r="R962" s="59"/>
      <c r="S962" s="59"/>
      <c r="T962" s="59"/>
      <c r="U962" s="59"/>
    </row>
    <row r="963" ht="35.25" customHeight="1">
      <c r="A963" s="59"/>
      <c r="B963" s="59"/>
      <c r="C963" s="59"/>
      <c r="D963" s="59"/>
      <c r="E963" s="178"/>
      <c r="F963" s="59"/>
      <c r="G963" s="59"/>
      <c r="H963" s="59"/>
      <c r="I963" s="178"/>
      <c r="J963" s="59"/>
      <c r="K963" s="59"/>
      <c r="L963" s="59"/>
      <c r="M963" s="59"/>
      <c r="N963" s="59"/>
      <c r="O963" s="59"/>
      <c r="P963" s="59"/>
      <c r="Q963" s="59"/>
      <c r="R963" s="59"/>
      <c r="S963" s="59"/>
      <c r="T963" s="59"/>
      <c r="U963" s="59"/>
    </row>
    <row r="964" ht="35.25" customHeight="1">
      <c r="A964" s="59"/>
      <c r="B964" s="59"/>
      <c r="C964" s="59"/>
      <c r="D964" s="59"/>
      <c r="E964" s="178"/>
      <c r="F964" s="59"/>
      <c r="G964" s="59"/>
      <c r="H964" s="59"/>
      <c r="I964" s="178"/>
      <c r="J964" s="59"/>
      <c r="K964" s="59"/>
      <c r="L964" s="59"/>
      <c r="M964" s="59"/>
      <c r="N964" s="59"/>
      <c r="O964" s="59"/>
      <c r="P964" s="59"/>
      <c r="Q964" s="59"/>
      <c r="R964" s="59"/>
      <c r="S964" s="59"/>
      <c r="T964" s="59"/>
      <c r="U964" s="59"/>
    </row>
    <row r="965" ht="35.25" customHeight="1">
      <c r="A965" s="59"/>
      <c r="B965" s="59"/>
      <c r="C965" s="59"/>
      <c r="D965" s="59"/>
      <c r="E965" s="178"/>
      <c r="F965" s="59"/>
      <c r="G965" s="59"/>
      <c r="H965" s="59"/>
      <c r="I965" s="178"/>
      <c r="J965" s="59"/>
      <c r="K965" s="59"/>
      <c r="L965" s="59"/>
      <c r="M965" s="59"/>
      <c r="N965" s="59"/>
      <c r="O965" s="59"/>
      <c r="P965" s="59"/>
      <c r="Q965" s="59"/>
      <c r="R965" s="59"/>
      <c r="S965" s="59"/>
      <c r="T965" s="59"/>
      <c r="U965" s="59"/>
    </row>
    <row r="966" ht="35.25" customHeight="1">
      <c r="A966" s="59"/>
      <c r="B966" s="59"/>
      <c r="C966" s="59"/>
      <c r="D966" s="59"/>
      <c r="E966" s="178"/>
      <c r="F966" s="59"/>
      <c r="G966" s="59"/>
      <c r="H966" s="59"/>
      <c r="I966" s="178"/>
      <c r="J966" s="59"/>
      <c r="K966" s="59"/>
      <c r="L966" s="59"/>
      <c r="M966" s="59"/>
      <c r="N966" s="59"/>
      <c r="O966" s="59"/>
      <c r="P966" s="59"/>
      <c r="Q966" s="59"/>
      <c r="R966" s="59"/>
      <c r="S966" s="59"/>
      <c r="T966" s="59"/>
      <c r="U966" s="59"/>
    </row>
    <row r="967" ht="35.25" customHeight="1">
      <c r="A967" s="59"/>
      <c r="B967" s="59"/>
      <c r="C967" s="59"/>
      <c r="D967" s="59"/>
      <c r="E967" s="178"/>
      <c r="F967" s="59"/>
      <c r="G967" s="59"/>
      <c r="H967" s="59"/>
      <c r="I967" s="178"/>
      <c r="J967" s="59"/>
      <c r="K967" s="59"/>
      <c r="L967" s="59"/>
      <c r="M967" s="59"/>
      <c r="N967" s="59"/>
      <c r="O967" s="59"/>
      <c r="P967" s="59"/>
      <c r="Q967" s="59"/>
      <c r="R967" s="59"/>
      <c r="S967" s="59"/>
      <c r="T967" s="59"/>
      <c r="U967" s="59"/>
    </row>
    <row r="968" ht="35.25" customHeight="1">
      <c r="A968" s="59"/>
      <c r="B968" s="59"/>
      <c r="C968" s="59"/>
      <c r="D968" s="59"/>
      <c r="E968" s="178"/>
      <c r="F968" s="59"/>
      <c r="G968" s="59"/>
      <c r="H968" s="59"/>
      <c r="I968" s="178"/>
      <c r="J968" s="59"/>
      <c r="K968" s="59"/>
      <c r="L968" s="59"/>
      <c r="M968" s="59"/>
      <c r="N968" s="59"/>
      <c r="O968" s="59"/>
      <c r="P968" s="59"/>
      <c r="Q968" s="59"/>
      <c r="R968" s="59"/>
      <c r="S968" s="59"/>
      <c r="T968" s="59"/>
      <c r="U968" s="59"/>
    </row>
    <row r="969" ht="35.25" customHeight="1">
      <c r="A969" s="59"/>
      <c r="B969" s="59"/>
      <c r="C969" s="59"/>
      <c r="D969" s="59"/>
      <c r="E969" s="178"/>
      <c r="F969" s="59"/>
      <c r="G969" s="59"/>
      <c r="H969" s="59"/>
      <c r="I969" s="178"/>
      <c r="J969" s="59"/>
      <c r="K969" s="59"/>
      <c r="L969" s="59"/>
      <c r="M969" s="59"/>
      <c r="N969" s="59"/>
      <c r="O969" s="59"/>
      <c r="P969" s="59"/>
      <c r="Q969" s="59"/>
      <c r="R969" s="59"/>
      <c r="S969" s="59"/>
      <c r="T969" s="59"/>
      <c r="U969" s="59"/>
    </row>
    <row r="970" ht="35.25" customHeight="1">
      <c r="A970" s="59"/>
      <c r="B970" s="59"/>
      <c r="C970" s="59"/>
      <c r="D970" s="59"/>
      <c r="E970" s="178"/>
      <c r="F970" s="59"/>
      <c r="G970" s="59"/>
      <c r="H970" s="59"/>
      <c r="I970" s="178"/>
      <c r="J970" s="59"/>
      <c r="K970" s="59"/>
      <c r="L970" s="59"/>
      <c r="M970" s="59"/>
      <c r="N970" s="59"/>
      <c r="O970" s="59"/>
      <c r="P970" s="59"/>
      <c r="Q970" s="59"/>
      <c r="R970" s="59"/>
      <c r="S970" s="59"/>
      <c r="T970" s="59"/>
      <c r="U970" s="59"/>
    </row>
    <row r="971" ht="35.25" customHeight="1">
      <c r="A971" s="59"/>
      <c r="B971" s="59"/>
      <c r="C971" s="59"/>
      <c r="D971" s="59"/>
      <c r="E971" s="178"/>
      <c r="F971" s="59"/>
      <c r="G971" s="59"/>
      <c r="H971" s="59"/>
      <c r="I971" s="178"/>
      <c r="J971" s="59"/>
      <c r="K971" s="59"/>
      <c r="L971" s="59"/>
      <c r="M971" s="59"/>
      <c r="N971" s="59"/>
      <c r="O971" s="59"/>
      <c r="P971" s="59"/>
      <c r="Q971" s="59"/>
      <c r="R971" s="59"/>
      <c r="S971" s="59"/>
      <c r="T971" s="59"/>
      <c r="U971" s="59"/>
    </row>
    <row r="972" ht="35.25" customHeight="1">
      <c r="A972" s="59"/>
      <c r="B972" s="59"/>
      <c r="C972" s="59"/>
      <c r="D972" s="59"/>
      <c r="E972" s="178"/>
      <c r="F972" s="59"/>
      <c r="G972" s="59"/>
      <c r="H972" s="59"/>
      <c r="I972" s="178"/>
      <c r="J972" s="59"/>
      <c r="K972" s="59"/>
      <c r="L972" s="59"/>
      <c r="M972" s="59"/>
      <c r="N972" s="59"/>
      <c r="O972" s="59"/>
      <c r="P972" s="59"/>
      <c r="Q972" s="59"/>
      <c r="R972" s="59"/>
      <c r="S972" s="59"/>
      <c r="T972" s="59"/>
      <c r="U972" s="59"/>
    </row>
    <row r="973" ht="35.25" customHeight="1">
      <c r="A973" s="59"/>
      <c r="B973" s="59"/>
      <c r="C973" s="59"/>
      <c r="D973" s="59"/>
      <c r="E973" s="178"/>
      <c r="F973" s="59"/>
      <c r="G973" s="59"/>
      <c r="H973" s="59"/>
      <c r="I973" s="178"/>
      <c r="J973" s="59"/>
      <c r="K973" s="59"/>
      <c r="L973" s="59"/>
      <c r="M973" s="59"/>
      <c r="N973" s="59"/>
      <c r="O973" s="59"/>
      <c r="P973" s="59"/>
      <c r="Q973" s="59"/>
      <c r="R973" s="59"/>
      <c r="S973" s="59"/>
      <c r="T973" s="59"/>
      <c r="U973" s="59"/>
    </row>
    <row r="974" ht="35.25" customHeight="1">
      <c r="A974" s="59"/>
      <c r="B974" s="59"/>
      <c r="C974" s="59"/>
      <c r="D974" s="59"/>
      <c r="E974" s="178"/>
      <c r="F974" s="59"/>
      <c r="G974" s="59"/>
      <c r="H974" s="59"/>
      <c r="I974" s="178"/>
      <c r="J974" s="59"/>
      <c r="K974" s="59"/>
      <c r="L974" s="59"/>
      <c r="M974" s="59"/>
      <c r="N974" s="59"/>
      <c r="O974" s="59"/>
      <c r="P974" s="59"/>
      <c r="Q974" s="59"/>
      <c r="R974" s="59"/>
      <c r="S974" s="59"/>
      <c r="T974" s="59"/>
      <c r="U974" s="59"/>
    </row>
    <row r="975" ht="35.25" customHeight="1">
      <c r="A975" s="59"/>
      <c r="B975" s="59"/>
      <c r="C975" s="59"/>
      <c r="D975" s="59"/>
      <c r="E975" s="178"/>
      <c r="F975" s="59"/>
      <c r="G975" s="59"/>
      <c r="H975" s="59"/>
      <c r="I975" s="178"/>
      <c r="J975" s="59"/>
      <c r="K975" s="59"/>
      <c r="L975" s="59"/>
      <c r="M975" s="59"/>
      <c r="N975" s="59"/>
      <c r="O975" s="59"/>
      <c r="P975" s="59"/>
      <c r="Q975" s="59"/>
      <c r="R975" s="59"/>
      <c r="S975" s="59"/>
      <c r="T975" s="59"/>
      <c r="U975" s="59"/>
    </row>
    <row r="976" ht="35.25" customHeight="1">
      <c r="A976" s="59"/>
      <c r="B976" s="59"/>
      <c r="C976" s="59"/>
      <c r="D976" s="59"/>
      <c r="E976" s="178"/>
      <c r="F976" s="59"/>
      <c r="G976" s="59"/>
      <c r="H976" s="59"/>
      <c r="I976" s="178"/>
      <c r="J976" s="59"/>
      <c r="K976" s="59"/>
      <c r="L976" s="59"/>
      <c r="M976" s="59"/>
      <c r="N976" s="59"/>
      <c r="O976" s="59"/>
      <c r="P976" s="59"/>
      <c r="Q976" s="59"/>
      <c r="R976" s="59"/>
      <c r="S976" s="59"/>
      <c r="T976" s="59"/>
      <c r="U976" s="59"/>
    </row>
    <row r="977" ht="35.25" customHeight="1">
      <c r="A977" s="59"/>
      <c r="B977" s="59"/>
      <c r="C977" s="59"/>
      <c r="D977" s="59"/>
      <c r="E977" s="178"/>
      <c r="F977" s="59"/>
      <c r="G977" s="59"/>
      <c r="H977" s="59"/>
      <c r="I977" s="178"/>
      <c r="J977" s="59"/>
      <c r="K977" s="59"/>
      <c r="L977" s="59"/>
      <c r="M977" s="59"/>
      <c r="N977" s="59"/>
      <c r="O977" s="59"/>
      <c r="P977" s="59"/>
      <c r="Q977" s="59"/>
      <c r="R977" s="59"/>
      <c r="S977" s="59"/>
      <c r="T977" s="59"/>
      <c r="U977" s="59"/>
    </row>
    <row r="978" ht="35.25" customHeight="1">
      <c r="A978" s="59"/>
      <c r="B978" s="59"/>
      <c r="C978" s="59"/>
      <c r="D978" s="59"/>
      <c r="E978" s="178"/>
      <c r="F978" s="59"/>
      <c r="G978" s="59"/>
      <c r="H978" s="59"/>
      <c r="I978" s="178"/>
      <c r="J978" s="59"/>
      <c r="K978" s="59"/>
      <c r="L978" s="59"/>
      <c r="M978" s="59"/>
      <c r="N978" s="59"/>
      <c r="O978" s="59"/>
      <c r="P978" s="59"/>
      <c r="Q978" s="59"/>
      <c r="R978" s="59"/>
      <c r="S978" s="59"/>
      <c r="T978" s="59"/>
      <c r="U978" s="59"/>
    </row>
    <row r="979" ht="35.25" customHeight="1">
      <c r="A979" s="59"/>
      <c r="B979" s="59"/>
      <c r="C979" s="59"/>
      <c r="D979" s="59"/>
      <c r="E979" s="178"/>
      <c r="F979" s="59"/>
      <c r="G979" s="59"/>
      <c r="H979" s="59"/>
      <c r="I979" s="178"/>
      <c r="J979" s="59"/>
      <c r="K979" s="59"/>
      <c r="L979" s="59"/>
      <c r="M979" s="59"/>
      <c r="N979" s="59"/>
      <c r="O979" s="59"/>
      <c r="P979" s="59"/>
      <c r="Q979" s="59"/>
      <c r="R979" s="59"/>
      <c r="S979" s="59"/>
      <c r="T979" s="59"/>
      <c r="U979" s="59"/>
    </row>
    <row r="980" ht="35.25" customHeight="1">
      <c r="A980" s="59"/>
      <c r="B980" s="59"/>
      <c r="C980" s="59"/>
      <c r="D980" s="59"/>
      <c r="E980" s="178"/>
      <c r="F980" s="59"/>
      <c r="G980" s="59"/>
      <c r="H980" s="59"/>
      <c r="I980" s="178"/>
      <c r="J980" s="59"/>
      <c r="K980" s="59"/>
      <c r="L980" s="59"/>
      <c r="M980" s="59"/>
      <c r="N980" s="59"/>
      <c r="O980" s="59"/>
      <c r="P980" s="59"/>
      <c r="Q980" s="59"/>
      <c r="R980" s="59"/>
      <c r="S980" s="59"/>
      <c r="T980" s="59"/>
      <c r="U980" s="59"/>
    </row>
    <row r="981" ht="35.25" customHeight="1">
      <c r="A981" s="59"/>
      <c r="B981" s="59"/>
      <c r="C981" s="59"/>
      <c r="D981" s="59"/>
      <c r="E981" s="178"/>
      <c r="F981" s="59"/>
      <c r="G981" s="59"/>
      <c r="H981" s="59"/>
      <c r="I981" s="178"/>
      <c r="J981" s="59"/>
      <c r="K981" s="59"/>
      <c r="L981" s="59"/>
      <c r="M981" s="59"/>
      <c r="N981" s="59"/>
      <c r="O981" s="59"/>
      <c r="P981" s="59"/>
      <c r="Q981" s="59"/>
      <c r="R981" s="59"/>
      <c r="S981" s="59"/>
      <c r="T981" s="59"/>
      <c r="U981" s="59"/>
    </row>
    <row r="982" ht="35.25" customHeight="1">
      <c r="A982" s="59"/>
      <c r="B982" s="59"/>
      <c r="C982" s="59"/>
      <c r="D982" s="59"/>
      <c r="E982" s="178"/>
      <c r="F982" s="59"/>
      <c r="G982" s="59"/>
      <c r="H982" s="59"/>
      <c r="I982" s="178"/>
      <c r="J982" s="59"/>
      <c r="K982" s="59"/>
      <c r="L982" s="59"/>
      <c r="M982" s="59"/>
      <c r="N982" s="59"/>
      <c r="O982" s="59"/>
      <c r="P982" s="59"/>
      <c r="Q982" s="59"/>
      <c r="R982" s="59"/>
      <c r="S982" s="59"/>
      <c r="T982" s="59"/>
      <c r="U982" s="59"/>
    </row>
    <row r="983" ht="35.25" customHeight="1">
      <c r="A983" s="59"/>
      <c r="B983" s="59"/>
      <c r="C983" s="59"/>
      <c r="D983" s="59"/>
      <c r="E983" s="178"/>
      <c r="F983" s="59"/>
      <c r="G983" s="59"/>
      <c r="H983" s="59"/>
      <c r="I983" s="178"/>
      <c r="J983" s="59"/>
      <c r="K983" s="59"/>
      <c r="L983" s="59"/>
      <c r="M983" s="59"/>
      <c r="N983" s="59"/>
      <c r="O983" s="59"/>
      <c r="P983" s="59"/>
      <c r="Q983" s="59"/>
      <c r="R983" s="59"/>
      <c r="S983" s="59"/>
      <c r="T983" s="59"/>
      <c r="U983" s="59"/>
    </row>
    <row r="984" ht="35.25" customHeight="1">
      <c r="A984" s="59"/>
      <c r="B984" s="59"/>
      <c r="C984" s="59"/>
      <c r="D984" s="59"/>
      <c r="E984" s="178"/>
      <c r="F984" s="59"/>
      <c r="G984" s="59"/>
      <c r="H984" s="59"/>
      <c r="I984" s="178"/>
      <c r="J984" s="59"/>
      <c r="K984" s="59"/>
      <c r="L984" s="59"/>
      <c r="M984" s="59"/>
      <c r="N984" s="59"/>
      <c r="O984" s="59"/>
      <c r="P984" s="59"/>
      <c r="Q984" s="59"/>
      <c r="R984" s="59"/>
      <c r="S984" s="59"/>
      <c r="T984" s="59"/>
      <c r="U984" s="59"/>
    </row>
    <row r="985" ht="35.25" customHeight="1">
      <c r="A985" s="59"/>
      <c r="B985" s="59"/>
      <c r="C985" s="59"/>
      <c r="D985" s="59"/>
      <c r="E985" s="178"/>
      <c r="F985" s="59"/>
      <c r="G985" s="59"/>
      <c r="H985" s="59"/>
      <c r="I985" s="178"/>
      <c r="J985" s="59"/>
      <c r="K985" s="59"/>
      <c r="L985" s="59"/>
      <c r="M985" s="59"/>
      <c r="N985" s="59"/>
      <c r="O985" s="59"/>
      <c r="P985" s="59"/>
      <c r="Q985" s="59"/>
      <c r="R985" s="59"/>
      <c r="S985" s="59"/>
      <c r="T985" s="59"/>
      <c r="U985" s="59"/>
    </row>
    <row r="986" ht="35.25" customHeight="1">
      <c r="A986" s="59"/>
      <c r="B986" s="59"/>
      <c r="C986" s="59"/>
      <c r="D986" s="59"/>
      <c r="E986" s="178"/>
      <c r="F986" s="59"/>
      <c r="G986" s="59"/>
      <c r="H986" s="59"/>
      <c r="I986" s="178"/>
      <c r="J986" s="59"/>
      <c r="K986" s="59"/>
      <c r="L986" s="59"/>
      <c r="M986" s="59"/>
      <c r="N986" s="59"/>
      <c r="O986" s="59"/>
      <c r="P986" s="59"/>
      <c r="Q986" s="59"/>
      <c r="R986" s="59"/>
      <c r="S986" s="59"/>
      <c r="T986" s="59"/>
      <c r="U986" s="59"/>
    </row>
    <row r="987" ht="35.25" customHeight="1">
      <c r="A987" s="59"/>
      <c r="B987" s="59"/>
      <c r="C987" s="59"/>
      <c r="D987" s="59"/>
      <c r="E987" s="178"/>
      <c r="F987" s="59"/>
      <c r="G987" s="59"/>
      <c r="H987" s="59"/>
      <c r="I987" s="178"/>
      <c r="J987" s="59"/>
      <c r="K987" s="59"/>
      <c r="L987" s="59"/>
      <c r="M987" s="59"/>
      <c r="N987" s="59"/>
      <c r="O987" s="59"/>
      <c r="P987" s="59"/>
      <c r="Q987" s="59"/>
      <c r="R987" s="59"/>
      <c r="S987" s="59"/>
      <c r="T987" s="59"/>
      <c r="U987" s="59"/>
    </row>
    <row r="988" ht="35.25" customHeight="1">
      <c r="A988" s="59"/>
      <c r="B988" s="59"/>
      <c r="C988" s="59"/>
      <c r="D988" s="59"/>
      <c r="E988" s="178"/>
      <c r="F988" s="59"/>
      <c r="G988" s="59"/>
      <c r="H988" s="59"/>
      <c r="I988" s="178"/>
      <c r="J988" s="59"/>
      <c r="K988" s="59"/>
      <c r="L988" s="59"/>
      <c r="M988" s="59"/>
      <c r="N988" s="59"/>
      <c r="O988" s="59"/>
      <c r="P988" s="59"/>
      <c r="Q988" s="59"/>
      <c r="R988" s="59"/>
      <c r="S988" s="59"/>
      <c r="T988" s="59"/>
      <c r="U988" s="59"/>
    </row>
    <row r="989" ht="35.25" customHeight="1">
      <c r="A989" s="59"/>
      <c r="B989" s="59"/>
      <c r="C989" s="59"/>
      <c r="D989" s="59"/>
      <c r="E989" s="178"/>
      <c r="F989" s="59"/>
      <c r="G989" s="59"/>
      <c r="H989" s="59"/>
      <c r="I989" s="178"/>
      <c r="J989" s="59"/>
      <c r="K989" s="59"/>
      <c r="L989" s="59"/>
      <c r="M989" s="59"/>
      <c r="N989" s="59"/>
      <c r="O989" s="59"/>
      <c r="P989" s="59"/>
      <c r="Q989" s="59"/>
      <c r="R989" s="59"/>
      <c r="S989" s="59"/>
      <c r="T989" s="59"/>
      <c r="U989" s="59"/>
    </row>
    <row r="990" ht="35.25" customHeight="1">
      <c r="A990" s="59"/>
      <c r="B990" s="59"/>
      <c r="C990" s="59"/>
      <c r="D990" s="59"/>
      <c r="E990" s="178"/>
      <c r="F990" s="59"/>
      <c r="G990" s="59"/>
      <c r="H990" s="59"/>
      <c r="I990" s="178"/>
      <c r="J990" s="59"/>
      <c r="K990" s="59"/>
      <c r="L990" s="59"/>
      <c r="M990" s="59"/>
      <c r="N990" s="59"/>
      <c r="O990" s="59"/>
      <c r="P990" s="59"/>
      <c r="Q990" s="59"/>
      <c r="R990" s="59"/>
      <c r="S990" s="59"/>
      <c r="T990" s="59"/>
      <c r="U990" s="59"/>
    </row>
    <row r="991" ht="35.25" customHeight="1">
      <c r="A991" s="59"/>
      <c r="B991" s="59"/>
      <c r="C991" s="59"/>
      <c r="D991" s="59"/>
      <c r="E991" s="178"/>
      <c r="F991" s="59"/>
      <c r="G991" s="59"/>
      <c r="H991" s="59"/>
      <c r="I991" s="178"/>
      <c r="J991" s="59"/>
      <c r="K991" s="59"/>
      <c r="L991" s="59"/>
      <c r="M991" s="59"/>
      <c r="N991" s="59"/>
      <c r="O991" s="59"/>
      <c r="P991" s="59"/>
      <c r="Q991" s="59"/>
      <c r="R991" s="59"/>
      <c r="S991" s="59"/>
      <c r="T991" s="59"/>
      <c r="U991" s="59"/>
    </row>
  </sheetData>
  <mergeCells count="2">
    <mergeCell ref="B2:C2"/>
    <mergeCell ref="B8:C8"/>
  </mergeCells>
  <printOptions/>
  <pageMargins bottom="0.75" footer="0.0" header="0.0" left="0.7" right="0.7" top="0.75"/>
  <pageSetup paperSize="3"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77E3E"/>
    <outlinePr summaryBelow="0" summaryRight="0"/>
    <pageSetUpPr/>
  </sheetPr>
  <sheetViews>
    <sheetView workbookViewId="0"/>
  </sheetViews>
  <sheetFormatPr customHeight="1" defaultColWidth="12.63" defaultRowHeight="15.0"/>
  <cols>
    <col customWidth="1" min="1" max="1" width="12.75"/>
    <col customWidth="1" min="2" max="2" width="13.75"/>
    <col customWidth="1" min="3" max="26" width="12.75"/>
  </cols>
  <sheetData>
    <row r="1">
      <c r="A1" s="59"/>
      <c r="B1" s="59"/>
      <c r="C1" s="59"/>
      <c r="D1" s="59"/>
      <c r="E1" s="59"/>
      <c r="F1" s="59"/>
      <c r="G1" s="59"/>
      <c r="H1" s="59"/>
      <c r="I1" s="59"/>
      <c r="J1" s="59"/>
      <c r="K1" s="59"/>
      <c r="L1" s="59"/>
      <c r="M1" s="59"/>
      <c r="N1" s="59"/>
      <c r="O1" s="59"/>
      <c r="P1" s="59"/>
      <c r="Q1" s="59"/>
      <c r="R1" s="59"/>
      <c r="S1" s="59"/>
      <c r="T1" s="59"/>
      <c r="U1" s="59"/>
      <c r="V1" s="59"/>
      <c r="W1" s="59"/>
      <c r="X1" s="59"/>
      <c r="Y1" s="59"/>
      <c r="Z1" s="59"/>
    </row>
    <row r="2" ht="83.25" customHeight="1">
      <c r="A2" s="59"/>
      <c r="B2" s="209" t="s">
        <v>497</v>
      </c>
      <c r="C2" s="47"/>
      <c r="D2" s="47"/>
      <c r="E2" s="47"/>
      <c r="F2" s="47"/>
      <c r="G2" s="47"/>
      <c r="H2" s="47"/>
      <c r="I2" s="47"/>
      <c r="J2" s="47"/>
      <c r="K2" s="47"/>
      <c r="L2" s="47"/>
      <c r="M2" s="47"/>
      <c r="N2" s="12"/>
      <c r="O2" s="59"/>
      <c r="P2" s="59"/>
      <c r="Q2" s="59"/>
      <c r="R2" s="59"/>
      <c r="S2" s="59"/>
      <c r="T2" s="59"/>
      <c r="U2" s="59"/>
      <c r="V2" s="59"/>
      <c r="W2" s="59"/>
      <c r="X2" s="59"/>
      <c r="Y2" s="59"/>
      <c r="Z2" s="59"/>
    </row>
    <row r="3">
      <c r="A3" s="59"/>
      <c r="B3" s="59"/>
      <c r="C3" s="59"/>
      <c r="D3" s="59"/>
      <c r="E3" s="59"/>
      <c r="F3" s="59"/>
      <c r="G3" s="59"/>
      <c r="H3" s="59"/>
      <c r="I3" s="59"/>
      <c r="J3" s="59"/>
      <c r="K3" s="59"/>
      <c r="L3" s="59"/>
      <c r="M3" s="59"/>
      <c r="N3" s="59"/>
      <c r="O3" s="59"/>
      <c r="P3" s="59"/>
      <c r="Q3" s="59"/>
      <c r="R3" s="59"/>
      <c r="S3" s="59"/>
      <c r="T3" s="59"/>
      <c r="U3" s="59"/>
      <c r="V3" s="59"/>
      <c r="W3" s="59"/>
      <c r="X3" s="59"/>
      <c r="Y3" s="59"/>
      <c r="Z3" s="59"/>
    </row>
    <row r="4">
      <c r="A4" s="59"/>
      <c r="B4" s="210"/>
      <c r="C4" s="211" t="s">
        <v>498</v>
      </c>
      <c r="D4" s="211" t="s">
        <v>499</v>
      </c>
      <c r="E4" s="211" t="s">
        <v>500</v>
      </c>
      <c r="F4" s="211" t="s">
        <v>501</v>
      </c>
      <c r="G4" s="211" t="s">
        <v>502</v>
      </c>
      <c r="H4" s="211" t="s">
        <v>503</v>
      </c>
      <c r="I4" s="211" t="s">
        <v>504</v>
      </c>
      <c r="J4" s="211" t="s">
        <v>505</v>
      </c>
      <c r="K4" s="211" t="s">
        <v>506</v>
      </c>
      <c r="L4" s="211" t="s">
        <v>507</v>
      </c>
      <c r="M4" s="211" t="s">
        <v>508</v>
      </c>
      <c r="N4" s="211" t="s">
        <v>509</v>
      </c>
      <c r="O4" s="59"/>
      <c r="P4" s="59"/>
      <c r="Q4" s="59"/>
      <c r="R4" s="59"/>
      <c r="S4" s="59"/>
      <c r="T4" s="59"/>
      <c r="U4" s="59"/>
      <c r="V4" s="59"/>
      <c r="W4" s="59"/>
      <c r="X4" s="59"/>
      <c r="Y4" s="59"/>
      <c r="Z4" s="59"/>
    </row>
    <row r="5">
      <c r="A5" s="59"/>
      <c r="B5" s="212" t="s">
        <v>510</v>
      </c>
      <c r="C5" s="213">
        <v>49.6</v>
      </c>
      <c r="D5" s="213">
        <v>57.8</v>
      </c>
      <c r="E5" s="213">
        <v>53.0</v>
      </c>
      <c r="F5" s="213">
        <v>51.8</v>
      </c>
      <c r="G5" s="213">
        <v>50.2</v>
      </c>
      <c r="H5" s="213">
        <v>47.0</v>
      </c>
      <c r="I5" s="213">
        <v>55.0</v>
      </c>
      <c r="J5" s="213">
        <v>50.2</v>
      </c>
      <c r="K5" s="213">
        <v>53.4</v>
      </c>
      <c r="L5" s="213">
        <v>51.7</v>
      </c>
      <c r="M5" s="213">
        <v>58.7</v>
      </c>
      <c r="N5" s="213">
        <v>48.7</v>
      </c>
      <c r="O5" s="59"/>
      <c r="P5" s="59"/>
      <c r="Q5" s="59"/>
      <c r="R5" s="59"/>
      <c r="S5" s="59"/>
      <c r="T5" s="59"/>
      <c r="U5" s="59"/>
      <c r="V5" s="59"/>
      <c r="W5" s="59"/>
      <c r="X5" s="59"/>
      <c r="Y5" s="59"/>
      <c r="Z5" s="59"/>
    </row>
    <row r="6">
      <c r="A6" s="59"/>
      <c r="B6" s="212" t="s">
        <v>511</v>
      </c>
      <c r="C6" s="213">
        <v>2.0</v>
      </c>
      <c r="D6" s="213">
        <v>3.0</v>
      </c>
      <c r="E6" s="213">
        <v>8.0</v>
      </c>
      <c r="F6" s="213">
        <v>19.1</v>
      </c>
      <c r="G6" s="213">
        <v>18.0</v>
      </c>
      <c r="H6" s="213">
        <v>16.9</v>
      </c>
      <c r="I6" s="213">
        <v>5.0</v>
      </c>
      <c r="J6" s="213">
        <v>24.0</v>
      </c>
      <c r="K6" s="213">
        <v>29.6</v>
      </c>
      <c r="L6" s="213">
        <v>32.0</v>
      </c>
      <c r="M6" s="213">
        <v>31.8</v>
      </c>
      <c r="N6" s="213">
        <v>16.0</v>
      </c>
      <c r="O6" s="59"/>
      <c r="P6" s="59"/>
      <c r="Q6" s="59"/>
      <c r="R6" s="59"/>
      <c r="S6" s="59"/>
      <c r="T6" s="59"/>
      <c r="U6" s="59"/>
      <c r="V6" s="59"/>
      <c r="W6" s="59"/>
      <c r="X6" s="59"/>
      <c r="Y6" s="59"/>
      <c r="Z6" s="59"/>
    </row>
    <row r="7">
      <c r="A7" s="59"/>
      <c r="B7" s="59"/>
      <c r="C7" s="59"/>
      <c r="D7" s="59"/>
      <c r="E7" s="59"/>
      <c r="F7" s="59"/>
      <c r="G7" s="59"/>
      <c r="H7" s="59"/>
      <c r="I7" s="59"/>
      <c r="J7" s="59"/>
      <c r="K7" s="59"/>
      <c r="L7" s="59"/>
      <c r="M7" s="59"/>
      <c r="N7" s="59"/>
      <c r="O7" s="59"/>
      <c r="P7" s="59"/>
      <c r="Q7" s="59"/>
      <c r="R7" s="59"/>
      <c r="S7" s="59"/>
      <c r="T7" s="59"/>
      <c r="U7" s="59"/>
      <c r="V7" s="59"/>
      <c r="W7" s="59"/>
      <c r="X7" s="59"/>
      <c r="Y7" s="59"/>
      <c r="Z7" s="59"/>
    </row>
    <row r="8">
      <c r="A8" s="59"/>
      <c r="B8" s="59"/>
      <c r="C8" s="59"/>
      <c r="D8" s="59"/>
      <c r="E8" s="59"/>
      <c r="F8" s="59"/>
      <c r="G8" s="59"/>
      <c r="H8" s="59"/>
      <c r="I8" s="59"/>
      <c r="J8" s="59"/>
      <c r="K8" s="59"/>
      <c r="L8" s="59"/>
      <c r="M8" s="59"/>
      <c r="N8" s="59"/>
      <c r="O8" s="59"/>
      <c r="P8" s="59"/>
      <c r="Q8" s="59"/>
      <c r="R8" s="59"/>
      <c r="S8" s="59"/>
      <c r="T8" s="59"/>
      <c r="U8" s="59"/>
      <c r="V8" s="59"/>
      <c r="W8" s="59"/>
      <c r="X8" s="59"/>
      <c r="Y8" s="59"/>
      <c r="Z8" s="59"/>
    </row>
    <row r="9">
      <c r="A9" s="59"/>
      <c r="B9" s="59"/>
      <c r="C9" s="59"/>
      <c r="D9" s="59"/>
      <c r="E9" s="59"/>
      <c r="F9" s="59"/>
      <c r="G9" s="59"/>
      <c r="H9" s="59"/>
      <c r="I9" s="59"/>
      <c r="J9" s="59"/>
      <c r="K9" s="59"/>
      <c r="L9" s="59"/>
      <c r="M9" s="59"/>
      <c r="N9" s="59"/>
      <c r="O9" s="59"/>
      <c r="P9" s="59"/>
      <c r="Q9" s="59"/>
      <c r="R9" s="59"/>
      <c r="S9" s="59"/>
      <c r="T9" s="59"/>
      <c r="U9" s="59"/>
      <c r="V9" s="59"/>
      <c r="W9" s="59"/>
      <c r="X9" s="59"/>
      <c r="Y9" s="59"/>
      <c r="Z9" s="59"/>
    </row>
    <row r="10">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row>
    <row r="11">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row>
    <row r="12">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row>
    <row r="13">
      <c r="A13" s="59"/>
      <c r="B13" s="59"/>
      <c r="C13" s="59"/>
      <c r="D13" s="59"/>
      <c r="E13" s="59"/>
      <c r="F13" s="59"/>
      <c r="G13" s="59"/>
      <c r="H13" s="59"/>
      <c r="I13" s="59"/>
      <c r="J13" s="59"/>
      <c r="K13" s="59"/>
      <c r="L13" s="59"/>
      <c r="M13" s="59"/>
      <c r="N13" s="59"/>
      <c r="O13" s="59"/>
      <c r="P13" s="59"/>
      <c r="Q13" s="59"/>
      <c r="R13" s="59"/>
      <c r="S13" s="59"/>
      <c r="T13" s="59"/>
      <c r="U13" s="59"/>
      <c r="V13" s="59"/>
      <c r="W13" s="59"/>
      <c r="X13" s="59"/>
      <c r="Y13" s="59"/>
      <c r="Z13" s="59"/>
    </row>
    <row r="14">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row>
    <row r="15">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row>
    <row r="16">
      <c r="A16" s="59"/>
      <c r="B16" s="59"/>
      <c r="C16" s="59"/>
      <c r="D16" s="59"/>
      <c r="E16" s="59"/>
      <c r="F16" s="59"/>
      <c r="G16" s="59"/>
      <c r="H16" s="59"/>
      <c r="I16" s="59"/>
      <c r="J16" s="59"/>
      <c r="K16" s="59"/>
      <c r="L16" s="59"/>
      <c r="M16" s="59"/>
      <c r="N16" s="59"/>
      <c r="O16" s="59"/>
      <c r="P16" s="59"/>
      <c r="Q16" s="59"/>
      <c r="R16" s="59"/>
      <c r="S16" s="59"/>
      <c r="T16" s="59"/>
      <c r="U16" s="59"/>
      <c r="V16" s="59"/>
      <c r="W16" s="59"/>
      <c r="X16" s="59"/>
      <c r="Y16" s="59"/>
      <c r="Z16" s="59"/>
    </row>
    <row r="17">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row>
    <row r="18">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row>
    <row r="19">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row>
    <row r="20">
      <c r="A20" s="59"/>
      <c r="B20" s="59"/>
      <c r="C20" s="59"/>
      <c r="D20" s="59"/>
      <c r="E20" s="59"/>
      <c r="F20" s="59"/>
      <c r="G20" s="59"/>
      <c r="H20" s="59"/>
      <c r="I20" s="59"/>
      <c r="J20" s="59"/>
      <c r="K20" s="59"/>
      <c r="L20" s="59"/>
      <c r="M20" s="59"/>
      <c r="N20" s="59"/>
      <c r="O20" s="59"/>
      <c r="P20" s="59"/>
      <c r="Q20" s="59"/>
      <c r="R20" s="59"/>
      <c r="S20" s="59"/>
      <c r="T20" s="59"/>
      <c r="U20" s="59"/>
      <c r="V20" s="59"/>
      <c r="W20" s="59"/>
      <c r="X20" s="59"/>
      <c r="Y20" s="59"/>
      <c r="Z20" s="59"/>
    </row>
    <row r="21">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row>
    <row r="22">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row>
    <row r="23">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row>
    <row r="24">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row>
    <row r="25">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row>
    <row r="26">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row>
    <row r="27">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ht="37.5" customHeight="1">
      <c r="A29" s="59"/>
      <c r="B29" s="214" t="s">
        <v>512</v>
      </c>
      <c r="C29" s="47"/>
      <c r="D29" s="47"/>
      <c r="E29" s="47"/>
      <c r="F29" s="12"/>
      <c r="G29" s="215" t="s">
        <v>513</v>
      </c>
      <c r="H29" s="47"/>
      <c r="I29" s="47"/>
      <c r="J29" s="47"/>
      <c r="K29" s="12"/>
      <c r="L29" s="59"/>
      <c r="M29" s="59"/>
      <c r="N29" s="59"/>
      <c r="O29" s="59"/>
      <c r="P29" s="59"/>
      <c r="Q29" s="59"/>
      <c r="R29" s="59"/>
      <c r="S29" s="59"/>
      <c r="T29" s="59"/>
      <c r="U29" s="59"/>
      <c r="V29" s="59"/>
      <c r="W29" s="59"/>
      <c r="X29" s="59"/>
      <c r="Y29" s="59"/>
      <c r="Z29" s="59"/>
    </row>
    <row r="30" ht="37.5" customHeight="1">
      <c r="A30" s="59"/>
      <c r="B30" s="214" t="s">
        <v>514</v>
      </c>
      <c r="C30" s="47"/>
      <c r="D30" s="47"/>
      <c r="E30" s="47"/>
      <c r="F30" s="12"/>
      <c r="G30" s="216" t="s">
        <v>515</v>
      </c>
      <c r="H30" s="47"/>
      <c r="I30" s="47"/>
      <c r="J30" s="47"/>
      <c r="K30" s="12"/>
      <c r="L30" s="59"/>
      <c r="M30" s="59"/>
      <c r="N30" s="59"/>
      <c r="O30" s="59"/>
      <c r="P30" s="59"/>
      <c r="Q30" s="59"/>
      <c r="R30" s="59"/>
      <c r="S30" s="59"/>
      <c r="T30" s="59"/>
      <c r="U30" s="59"/>
      <c r="V30" s="59"/>
      <c r="W30" s="59"/>
      <c r="X30" s="59"/>
      <c r="Y30" s="59"/>
      <c r="Z30" s="59"/>
    </row>
    <row r="31">
      <c r="A31" s="59"/>
      <c r="B31" s="214" t="s">
        <v>512</v>
      </c>
      <c r="C31" s="47"/>
      <c r="D31" s="47"/>
      <c r="E31" s="47"/>
      <c r="F31" s="12"/>
      <c r="G31" s="215" t="s">
        <v>516</v>
      </c>
      <c r="H31" s="47"/>
      <c r="I31" s="47"/>
      <c r="J31" s="47"/>
      <c r="K31" s="12"/>
      <c r="L31" s="59"/>
      <c r="M31" s="59"/>
      <c r="N31" s="59"/>
      <c r="O31" s="59"/>
      <c r="P31" s="59"/>
      <c r="Q31" s="59"/>
      <c r="R31" s="59"/>
      <c r="S31" s="59"/>
      <c r="T31" s="59"/>
      <c r="U31" s="59"/>
      <c r="V31" s="59"/>
      <c r="W31" s="59"/>
      <c r="X31" s="59"/>
      <c r="Y31" s="59"/>
      <c r="Z31" s="59"/>
    </row>
    <row r="32">
      <c r="A32" s="59"/>
      <c r="B32" s="214" t="s">
        <v>514</v>
      </c>
      <c r="C32" s="47"/>
      <c r="D32" s="47"/>
      <c r="E32" s="47"/>
      <c r="F32" s="12"/>
      <c r="G32" s="216" t="s">
        <v>517</v>
      </c>
      <c r="H32" s="47"/>
      <c r="I32" s="47"/>
      <c r="J32" s="47"/>
      <c r="K32" s="12"/>
      <c r="L32" s="59"/>
      <c r="M32" s="59"/>
      <c r="N32" s="59"/>
      <c r="O32" s="59"/>
      <c r="P32" s="59"/>
      <c r="Q32" s="59"/>
      <c r="R32" s="59"/>
      <c r="S32" s="59"/>
      <c r="T32" s="59"/>
      <c r="U32" s="59"/>
      <c r="V32" s="59"/>
      <c r="W32" s="59"/>
      <c r="X32" s="59"/>
      <c r="Y32" s="59"/>
      <c r="Z32" s="59"/>
    </row>
    <row r="33">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row>
    <row r="37">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row>
    <row r="38">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row>
    <row r="39">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row>
    <row r="40">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row>
    <row r="41">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row>
    <row r="42">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row>
    <row r="43">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row>
    <row r="44">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row>
    <row r="4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row>
    <row r="46">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row>
    <row r="47">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row>
    <row r="48">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row>
    <row r="49">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row>
    <row r="50">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row>
    <row r="51">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row>
    <row r="52">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row>
    <row r="53">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60">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row>
    <row r="61">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row>
    <row r="6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row>
    <row r="63">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row>
    <row r="64">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row>
    <row r="6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row>
    <row r="66">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row>
    <row r="67">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row>
    <row r="68">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row>
    <row r="69">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row>
    <row r="70">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row>
    <row r="7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row>
    <row r="72">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row>
    <row r="73">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row>
    <row r="74">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row>
    <row r="7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row>
    <row r="76">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row>
    <row r="77">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row>
    <row r="78">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row>
    <row r="79">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row>
    <row r="80">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row>
    <row r="8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row>
    <row r="82">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row>
    <row r="83">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row>
    <row r="84">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row>
    <row r="85">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row>
    <row r="86">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row>
    <row r="87">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row>
    <row r="88">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row>
    <row r="89">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row>
    <row r="90">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row>
    <row r="9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row>
    <row r="92">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row>
    <row r="93">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row>
    <row r="94">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row>
    <row r="95">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row>
    <row r="96">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row>
    <row r="97">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row>
    <row r="98">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row>
    <row r="99">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row>
    <row r="100">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row>
    <row r="10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row>
    <row r="102">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row>
    <row r="103">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row>
    <row r="104">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row>
    <row r="105">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row>
    <row r="106">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row>
    <row r="107">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row>
    <row r="108">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row>
    <row r="109">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row>
    <row r="110">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row>
    <row r="11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row>
    <row r="112">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row>
    <row r="113">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row>
    <row r="114">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row>
    <row r="11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row>
    <row r="116">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row>
    <row r="117">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row>
    <row r="118">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row>
    <row r="119">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row>
    <row r="120">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row>
    <row r="12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row>
    <row r="122">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row>
    <row r="123">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row>
    <row r="124">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row>
    <row r="1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row>
    <row r="126">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row>
    <row r="127">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row>
    <row r="128">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row>
    <row r="129">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row>
    <row r="13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row>
    <row r="132">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row>
    <row r="133">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row>
    <row r="134">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row>
    <row r="13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row>
    <row r="136">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row>
    <row r="137">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row>
    <row r="138">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row>
    <row r="139">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row>
    <row r="140">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row>
    <row r="14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row>
    <row r="142">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row>
    <row r="143">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row>
    <row r="144">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row>
    <row r="14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row>
    <row r="146">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row>
    <row r="147">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row>
    <row r="148">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row>
    <row r="149">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row>
    <row r="150">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row>
    <row r="15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row>
    <row r="152">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row>
    <row r="153">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row>
    <row r="154">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row>
    <row r="15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row>
    <row r="156">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row>
    <row r="157">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row>
    <row r="158">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row>
    <row r="159">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row>
    <row r="160">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row>
    <row r="16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row>
    <row r="162">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row>
    <row r="163">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row>
    <row r="164">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row>
    <row r="16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row>
    <row r="166">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row>
    <row r="167">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row>
    <row r="168">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row>
    <row r="169">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row>
    <row r="170">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row>
    <row r="17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row>
    <row r="172">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row>
    <row r="173">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row>
    <row r="174">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row>
    <row r="17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row>
    <row r="176">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row>
    <row r="177">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row>
    <row r="178">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row>
    <row r="179">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row>
    <row r="180">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row>
    <row r="18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row>
    <row r="182">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row>
    <row r="183">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row>
    <row r="184">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row>
    <row r="18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row>
    <row r="186">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row>
    <row r="187">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row>
    <row r="188">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row>
    <row r="189">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row>
    <row r="190">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row>
    <row r="19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row>
    <row r="192">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row>
    <row r="193">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row>
    <row r="194">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row>
    <row r="19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row>
    <row r="196">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row>
    <row r="197">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row>
    <row r="198">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row>
    <row r="199">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row>
    <row r="200">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row>
    <row r="20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row>
    <row r="202">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row>
    <row r="203">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row>
    <row r="204">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row>
    <row r="20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row>
    <row r="206">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row>
    <row r="207">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row>
    <row r="208">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row>
    <row r="209">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row>
    <row r="210">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row>
    <row r="21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row>
    <row r="212">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row>
    <row r="213">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row>
    <row r="214">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row>
    <row r="21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row>
    <row r="216">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row>
    <row r="217">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row>
    <row r="218">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row>
    <row r="219">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row>
    <row r="220">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row>
    <row r="22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row>
    <row r="222">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row>
    <row r="223">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row>
    <row r="224">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row>
    <row r="2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row>
    <row r="226">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row>
    <row r="227">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row>
    <row r="228">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row>
    <row r="229">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row>
    <row r="230">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row>
    <row r="23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row>
    <row r="232">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row>
    <row r="233">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row>
    <row r="234">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row>
    <row r="23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row>
    <row r="236">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row>
    <row r="237">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row>
    <row r="238">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row>
    <row r="239">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row>
    <row r="240">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row>
    <row r="24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row>
    <row r="242">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row>
    <row r="243">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row>
    <row r="244">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row>
    <row r="24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row>
    <row r="246">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row>
    <row r="247">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row>
    <row r="248">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row>
    <row r="249">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row>
    <row r="250">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row>
    <row r="25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row>
    <row r="252">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row>
    <row r="253">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row>
    <row r="254">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row>
    <row r="25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row>
    <row r="256">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row>
    <row r="257">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row>
    <row r="258">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row>
    <row r="259">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row>
    <row r="260">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row>
    <row r="26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row>
    <row r="262">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row>
    <row r="263">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row>
    <row r="264">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row>
    <row r="26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row>
    <row r="266">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row>
    <row r="267">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row>
    <row r="268">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row>
    <row r="269">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row>
    <row r="270">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row>
    <row r="27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row>
    <row r="272">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row>
    <row r="273">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row>
    <row r="274">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row>
    <row r="27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row>
    <row r="276">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row>
    <row r="277">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row>
    <row r="278">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row>
    <row r="279">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row>
    <row r="280">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row>
    <row r="28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row>
    <row r="282">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row>
    <row r="283">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row>
    <row r="284">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row>
    <row r="28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row>
    <row r="286">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row>
    <row r="287">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row>
    <row r="288">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row>
    <row r="289">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row>
    <row r="290">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row>
    <row r="291">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row>
    <row r="292">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row>
    <row r="293">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row>
    <row r="294">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row>
    <row r="29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row>
    <row r="296">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row>
    <row r="297">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row>
    <row r="298">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row>
    <row r="299">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row>
    <row r="300">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row>
    <row r="301">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row>
    <row r="302">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row>
    <row r="303">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row>
    <row r="304">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row>
    <row r="30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row>
    <row r="306">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row>
    <row r="307">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row>
    <row r="308">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row>
    <row r="309">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row>
    <row r="310">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row>
    <row r="311">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row>
    <row r="312">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row>
    <row r="313">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row>
    <row r="314">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row>
    <row r="31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row>
    <row r="316">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row>
    <row r="317">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row>
    <row r="318">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row>
    <row r="319">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row>
    <row r="320">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row>
    <row r="321">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row>
    <row r="322">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row>
    <row r="323">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row>
    <row r="324">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row>
    <row r="3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row>
    <row r="326">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row>
    <row r="327">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row>
    <row r="328">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row>
    <row r="329">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row>
    <row r="330">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row>
    <row r="331">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row>
    <row r="332">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row>
    <row r="333">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row>
    <row r="334">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row>
    <row r="33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row>
    <row r="336">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row>
    <row r="337">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row>
    <row r="338">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row>
    <row r="339">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row>
    <row r="340">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row>
    <row r="341">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row>
    <row r="342">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row>
    <row r="343">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row>
    <row r="344">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row>
    <row r="34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row>
    <row r="346">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row>
    <row r="347">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row>
    <row r="348">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row>
    <row r="349">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row>
    <row r="350">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row>
    <row r="351">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row>
    <row r="352">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row>
    <row r="353">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row>
    <row r="354">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row>
    <row r="35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row>
    <row r="356">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row>
    <row r="357">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row>
    <row r="358">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row>
    <row r="359">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row>
    <row r="360">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row>
    <row r="361">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row>
    <row r="362">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row>
    <row r="363">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row>
    <row r="364">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row>
    <row r="36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row>
    <row r="366">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row>
    <row r="367">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row>
    <row r="368">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row>
    <row r="369">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row>
    <row r="370">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row>
    <row r="371">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row>
    <row r="372">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row>
    <row r="373">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row>
    <row r="374">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row>
    <row r="37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row>
    <row r="376">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row>
    <row r="377">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row>
    <row r="378">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row>
    <row r="379">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row>
    <row r="380">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row>
    <row r="381">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row>
    <row r="382">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row>
    <row r="383">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row>
    <row r="384">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row>
    <row r="38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row>
    <row r="386">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row>
    <row r="387">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row>
    <row r="388">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row>
    <row r="389">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row>
    <row r="391">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row>
    <row r="392">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row>
    <row r="393">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row>
    <row r="394">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row>
    <row r="39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row>
    <row r="396">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row>
    <row r="397">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row>
    <row r="398">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row>
    <row r="399">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row>
    <row r="400">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row>
    <row r="401">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row>
    <row r="402">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row>
    <row r="507">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row>
    <row r="508">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row>
    <row r="509">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row>
    <row r="510">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row>
    <row r="511">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row>
    <row r="512">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row>
    <row r="513">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row>
    <row r="514">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row>
    <row r="51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row>
    <row r="516">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row>
    <row r="517">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row>
    <row r="518">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row>
    <row r="519">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row>
    <row r="520">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row>
    <row r="521">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row>
    <row r="522">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row>
    <row r="523">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row>
    <row r="524">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row>
    <row r="5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row>
    <row r="526">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row>
    <row r="527">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row>
    <row r="528">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row>
    <row r="529">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row>
    <row r="530">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row>
    <row r="531">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row>
    <row r="532">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row>
    <row r="533">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row>
    <row r="534">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row>
    <row r="53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row>
    <row r="536">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row>
    <row r="537">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row>
    <row r="538">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row>
    <row r="539">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row>
    <row r="540">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row>
    <row r="541">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row>
    <row r="542">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row>
    <row r="543">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row>
    <row r="544">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row>
    <row r="54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row>
    <row r="546">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row>
    <row r="547">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row>
    <row r="548">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row>
    <row r="549">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row>
    <row r="550">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row>
    <row r="551">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row>
    <row r="552">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row>
    <row r="553">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row>
    <row r="554">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row>
    <row r="55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row>
    <row r="556">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row>
    <row r="557">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row>
    <row r="558">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row>
    <row r="559">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row>
    <row r="560">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row>
    <row r="561">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row>
    <row r="562">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row>
    <row r="563">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row>
    <row r="564">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row>
    <row r="56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row>
    <row r="566">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row>
    <row r="567">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row>
    <row r="568">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row>
    <row r="569">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row>
    <row r="570">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row>
    <row r="571">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row>
    <row r="572">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row>
    <row r="573">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row>
    <row r="574">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row>
    <row r="57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row>
    <row r="576">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row>
    <row r="577">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row>
    <row r="578">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row>
    <row r="579">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row>
    <row r="580">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row>
    <row r="581">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row>
    <row r="582">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row>
    <row r="583">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row>
    <row r="584">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row>
    <row r="58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row>
    <row r="586">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row>
    <row r="587">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row>
    <row r="588">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row>
    <row r="589">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row>
    <row r="590">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row>
    <row r="591">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row>
    <row r="592">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row>
    <row r="593">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row>
    <row r="594">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row>
    <row r="59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row>
    <row r="596">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row>
    <row r="597">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row>
    <row r="598">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row>
    <row r="599">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row>
    <row r="600">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row>
    <row r="601">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row>
    <row r="602">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row>
    <row r="603">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row>
    <row r="604">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row>
    <row r="60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row>
    <row r="606">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row>
    <row r="607">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row>
    <row r="608">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row>
    <row r="609">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row>
    <row r="610">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row>
    <row r="611">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row>
    <row r="612">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row>
    <row r="613">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row>
    <row r="614">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row>
    <row r="61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row>
    <row r="616">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row>
    <row r="617">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row>
    <row r="618">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row>
    <row r="619">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row>
    <row r="620">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row>
    <row r="621">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row>
    <row r="622">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row>
    <row r="623">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row>
    <row r="624">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row>
    <row r="625">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row>
    <row r="626">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row>
    <row r="627">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row>
    <row r="628">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row>
    <row r="629">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row>
    <row r="630">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row>
    <row r="631">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row>
    <row r="632">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row>
    <row r="633">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row>
    <row r="634">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row>
    <row r="63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row>
    <row r="636">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row>
    <row r="637">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row>
    <row r="638">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row>
    <row r="639">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row>
    <row r="640">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row>
    <row r="641">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row>
    <row r="642">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row>
    <row r="643">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row>
    <row r="644">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row>
    <row r="645">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row>
    <row r="646">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row>
    <row r="647">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row>
    <row r="648">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row>
    <row r="649">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row>
    <row r="650">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row>
    <row r="651">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row>
    <row r="652">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row>
    <row r="653">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row>
    <row r="654">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row>
    <row r="65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row>
    <row r="656">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row>
    <row r="657">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row>
    <row r="658">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row>
    <row r="659">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row>
    <row r="660">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row>
    <row r="661">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row>
    <row r="662">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row>
    <row r="663">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row>
    <row r="664">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row>
    <row r="66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row>
    <row r="666">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row>
    <row r="667">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row>
    <row r="668">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row>
    <row r="669">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row>
    <row r="670">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row>
    <row r="671">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row>
    <row r="672">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row>
    <row r="673">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row>
    <row r="674">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row>
    <row r="67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row>
    <row r="676">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row>
    <row r="677">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row>
    <row r="678">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row>
    <row r="679">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row>
    <row r="680">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row>
    <row r="681">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row>
    <row r="682">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row>
    <row r="683">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row>
    <row r="684">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row>
    <row r="68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row>
    <row r="686">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row>
    <row r="687">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row>
    <row r="688">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row>
    <row r="689">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row>
    <row r="690">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row>
    <row r="691">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row>
    <row r="692">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row>
    <row r="693">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row>
    <row r="694">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row>
    <row r="69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row>
    <row r="696">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row>
    <row r="697">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row>
    <row r="698">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row>
    <row r="699">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row>
    <row r="700">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row>
    <row r="701">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row>
    <row r="702">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row>
    <row r="703">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row>
    <row r="704">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row>
    <row r="70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row>
    <row r="706">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row>
    <row r="707">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row>
    <row r="708">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row>
    <row r="709">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row>
    <row r="710">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row>
    <row r="711">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row>
    <row r="712">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row>
    <row r="713">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row>
    <row r="714">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row>
    <row r="71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row>
    <row r="716">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row>
    <row r="717">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row>
    <row r="718">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row>
    <row r="719">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row>
    <row r="720">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row>
    <row r="721">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row>
    <row r="722">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row>
    <row r="723">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row>
    <row r="724">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row>
    <row r="7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row>
    <row r="726">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row>
    <row r="727">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row>
    <row r="728">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row>
    <row r="729">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row>
    <row r="730">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row>
    <row r="731">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row>
    <row r="732">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row>
    <row r="733">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row>
    <row r="734">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row>
    <row r="73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row>
    <row r="736">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row>
    <row r="737">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row>
    <row r="738">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row>
    <row r="739">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row>
    <row r="740">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row>
    <row r="741">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row>
    <row r="742">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row>
    <row r="743">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row>
    <row r="744">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row>
    <row r="74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row>
    <row r="746">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row>
    <row r="747">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row>
    <row r="748">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row>
    <row r="749">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row>
    <row r="750">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row>
    <row r="751">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row>
    <row r="752">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row>
    <row r="753">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row>
    <row r="754">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row>
    <row r="75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row>
    <row r="756">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row>
    <row r="757">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row>
    <row r="758">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row>
    <row r="759">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row>
    <row r="760">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row>
    <row r="761">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row>
    <row r="762">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row>
    <row r="763">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row>
    <row r="764">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row>
    <row r="76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row>
    <row r="766">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row>
    <row r="767">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row>
    <row r="768">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row>
    <row r="769">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row>
    <row r="770">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row>
    <row r="771">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row>
    <row r="772">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row>
    <row r="773">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row>
    <row r="774">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row>
    <row r="77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row>
    <row r="776">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row>
    <row r="777">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row>
    <row r="778">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row>
    <row r="779">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row>
    <row r="780">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row>
    <row r="781">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row>
    <row r="782">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row>
    <row r="783">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row>
    <row r="784">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row>
    <row r="78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row>
    <row r="786">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row>
    <row r="787">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row>
    <row r="788">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row>
    <row r="789">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row>
    <row r="790">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row>
    <row r="791">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row>
    <row r="792">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row>
    <row r="793">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row>
    <row r="794">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row>
    <row r="79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row>
    <row r="796">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row>
    <row r="797">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row>
    <row r="798">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row>
    <row r="799">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row>
    <row r="800">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row>
    <row r="801">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row>
    <row r="802">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row>
    <row r="803">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row>
    <row r="804">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row>
    <row r="80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row>
    <row r="806">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row>
    <row r="807">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row>
    <row r="808">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row>
    <row r="809">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row>
    <row r="810">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row>
    <row r="811">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row>
    <row r="812">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row>
    <row r="813">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row>
    <row r="814">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row>
    <row r="81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row>
    <row r="816">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row>
    <row r="817">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row>
    <row r="818">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row>
    <row r="819">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row>
    <row r="820">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row>
    <row r="821">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row>
    <row r="822">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row>
    <row r="823">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row>
    <row r="824">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row>
    <row r="8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row>
    <row r="826">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row>
    <row r="827">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row>
    <row r="828">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row>
    <row r="829">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row>
    <row r="830">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row>
    <row r="831">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row>
    <row r="832">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row>
    <row r="833">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row>
    <row r="834">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row>
    <row r="83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row>
    <row r="836">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row>
    <row r="837">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row>
    <row r="838">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row>
    <row r="839">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row>
    <row r="840">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row>
    <row r="841">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row>
    <row r="842">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row>
    <row r="843">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row>
    <row r="844">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row>
    <row r="84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row>
    <row r="846">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row>
    <row r="847">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row>
    <row r="848">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row>
    <row r="849">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row>
    <row r="850">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row>
    <row r="851">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row>
    <row r="852">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row>
    <row r="853">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row>
    <row r="854">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row>
    <row r="85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row>
    <row r="856">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row>
    <row r="857">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row>
    <row r="858">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row>
    <row r="859">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row>
    <row r="860">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row>
    <row r="861">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row>
    <row r="862">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row>
    <row r="863">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row>
    <row r="864">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row>
    <row r="86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row>
    <row r="866">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row>
    <row r="867">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row>
    <row r="868">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row>
    <row r="869">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row>
    <row r="870">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row>
    <row r="871">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row>
    <row r="872">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row>
    <row r="873">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row>
    <row r="874">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row>
    <row r="87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row>
    <row r="876">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row>
    <row r="877">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row>
    <row r="878">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row>
    <row r="879">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row>
    <row r="880">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row>
    <row r="881">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row>
    <row r="882">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row>
    <row r="883">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row>
    <row r="884">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row>
    <row r="88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row>
    <row r="886">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row>
    <row r="887">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row>
    <row r="888">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row>
    <row r="889">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row>
    <row r="890">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row>
    <row r="891">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row>
    <row r="892">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row>
    <row r="893">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row>
    <row r="894">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row>
    <row r="89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row>
    <row r="896">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row>
    <row r="897">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row>
    <row r="898">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row>
    <row r="899">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row>
    <row r="900">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row>
    <row r="901">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row>
    <row r="902">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row>
    <row r="903">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row>
    <row r="904">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row>
    <row r="90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row>
    <row r="906">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row>
    <row r="907">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row>
    <row r="908">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row>
    <row r="909">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row>
    <row r="910">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row>
    <row r="911">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row>
    <row r="912">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row>
    <row r="913">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row>
    <row r="914">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row>
    <row r="91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row>
    <row r="916">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row>
    <row r="917">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row>
    <row r="918">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row>
    <row r="919">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row>
    <row r="920">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row>
    <row r="921">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row>
    <row r="922">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row>
    <row r="923">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row>
    <row r="924">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row>
    <row r="9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row>
    <row r="926">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row>
    <row r="927">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row>
    <row r="928">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row>
    <row r="929">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row>
    <row r="930">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row>
    <row r="931">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row>
    <row r="932">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row>
    <row r="933">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row>
    <row r="934">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row>
    <row r="93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row>
    <row r="936">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row>
    <row r="937">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row>
    <row r="938">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row>
    <row r="939">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row>
    <row r="940">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row>
    <row r="941">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row>
    <row r="942">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row>
    <row r="943">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row>
    <row r="944">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row>
    <row r="94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row>
    <row r="946">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row>
    <row r="947">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row>
    <row r="948">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row>
    <row r="949">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row>
    <row r="950">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row>
    <row r="951">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row>
    <row r="952">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row>
    <row r="953">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row>
    <row r="954">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row>
    <row r="95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row>
    <row r="956">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row>
    <row r="957">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row>
    <row r="958">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row>
    <row r="959">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row>
    <row r="960">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row>
    <row r="961">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row>
    <row r="962">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row>
    <row r="963">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row>
    <row r="964">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row>
    <row r="96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row>
    <row r="966">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row>
    <row r="967">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row>
    <row r="968">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row>
    <row r="969">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row>
    <row r="970">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row>
    <row r="971">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row>
    <row r="972">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row>
    <row r="973">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row>
    <row r="974">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row>
    <row r="97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row>
    <row r="976">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row>
    <row r="977">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row>
    <row r="978">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row>
    <row r="979">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row>
    <row r="980">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row>
    <row r="981">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row>
    <row r="982">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row>
    <row r="983">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row>
    <row r="984">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row>
    <row r="98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row>
    <row r="986">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row>
    <row r="987">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row>
    <row r="988">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row>
    <row r="989">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row>
    <row r="990">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row>
    <row r="991">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row>
    <row r="992">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row>
    <row r="993">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row>
    <row r="994">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row>
    <row r="99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row>
    <row r="996">
      <c r="A996" s="59"/>
      <c r="B996" s="59"/>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row>
    <row r="997">
      <c r="A997" s="59"/>
      <c r="B997" s="59"/>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row>
    <row r="998">
      <c r="A998" s="59"/>
      <c r="B998" s="59"/>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row>
  </sheetData>
  <mergeCells count="9">
    <mergeCell ref="B32:F32"/>
    <mergeCell ref="G32:K32"/>
    <mergeCell ref="B2:N2"/>
    <mergeCell ref="B29:F29"/>
    <mergeCell ref="G29:K29"/>
    <mergeCell ref="B30:F30"/>
    <mergeCell ref="G30:K30"/>
    <mergeCell ref="B31:F31"/>
    <mergeCell ref="G31:K31"/>
  </mergeCells>
  <hyperlinks>
    <hyperlink r:id="rId1" ref="G30"/>
    <hyperlink r:id="rId2" ref="G32"/>
  </hyperlinks>
  <printOptions/>
  <pageMargins bottom="0.75" footer="0.0" header="0.0" left="0.7" right="0.7" top="0.75"/>
  <pageSetup orientation="landscape"/>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DB5F8"/>
    <outlinePr summaryBelow="0" summaryRight="0"/>
    <pageSetUpPr/>
  </sheetPr>
  <sheetViews>
    <sheetView workbookViewId="0"/>
  </sheetViews>
  <sheetFormatPr customHeight="1" defaultColWidth="12.63" defaultRowHeight="15.0"/>
  <cols>
    <col customWidth="1" min="1" max="1" width="6.38"/>
    <col customWidth="1" min="2" max="2" width="21.75"/>
    <col customWidth="1" min="3" max="3" width="17.75"/>
    <col customWidth="1" min="4" max="5" width="14.75"/>
    <col customWidth="1" min="6" max="8" width="20.75"/>
    <col customWidth="1" min="9" max="16" width="24.13"/>
    <col customWidth="1" min="17" max="17" width="15.38"/>
    <col customWidth="1" min="18" max="20" width="19.88"/>
    <col customWidth="1" min="21" max="21" width="14.75"/>
    <col customWidth="1" min="22" max="23" width="19.88"/>
    <col customWidth="1" min="24" max="43" width="14.75"/>
    <col customWidth="1" min="44" max="52" width="12.75"/>
  </cols>
  <sheetData>
    <row r="1" ht="26.25" customHeight="1">
      <c r="A1" s="217"/>
      <c r="B1" s="177" t="s">
        <v>451</v>
      </c>
      <c r="C1" s="66">
        <v>1450.0</v>
      </c>
      <c r="D1" s="218"/>
      <c r="E1" s="218"/>
      <c r="F1" s="218"/>
      <c r="G1" s="218"/>
      <c r="H1" s="218"/>
      <c r="I1" s="218"/>
      <c r="J1" s="218"/>
      <c r="K1" s="219"/>
      <c r="L1" s="219"/>
      <c r="M1" s="219"/>
      <c r="N1" s="219"/>
      <c r="O1" s="219"/>
      <c r="P1" s="219"/>
      <c r="Q1" s="219"/>
      <c r="R1" s="219"/>
      <c r="S1" s="219"/>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20"/>
      <c r="AS1" s="220"/>
      <c r="AT1" s="220"/>
      <c r="AU1" s="220"/>
      <c r="AV1" s="220"/>
      <c r="AW1" s="220"/>
      <c r="AX1" s="220"/>
      <c r="AY1" s="220"/>
      <c r="AZ1" s="220"/>
    </row>
    <row r="2" ht="44.25" customHeight="1">
      <c r="A2" s="221"/>
      <c r="B2" s="222" t="s">
        <v>518</v>
      </c>
      <c r="C2" s="47"/>
      <c r="D2" s="47"/>
      <c r="E2" s="47"/>
      <c r="F2" s="47"/>
      <c r="G2" s="47"/>
      <c r="H2" s="47"/>
      <c r="I2" s="12"/>
      <c r="J2" s="218"/>
      <c r="K2" s="221"/>
      <c r="L2" s="221"/>
      <c r="M2" s="221"/>
      <c r="N2" s="221"/>
      <c r="O2" s="221"/>
      <c r="P2" s="221"/>
      <c r="Q2" s="221"/>
      <c r="R2" s="221"/>
      <c r="S2" s="219"/>
      <c r="T2" s="59"/>
      <c r="U2" s="59"/>
      <c r="V2" s="59"/>
      <c r="W2" s="59"/>
      <c r="X2" s="59"/>
      <c r="Y2" s="59"/>
      <c r="Z2" s="59"/>
      <c r="AA2" s="59"/>
      <c r="AB2" s="59"/>
      <c r="AC2" s="59"/>
      <c r="AD2" s="218"/>
      <c r="AE2" s="218"/>
      <c r="AF2" s="218"/>
      <c r="AG2" s="218"/>
      <c r="AH2" s="218"/>
      <c r="AI2" s="218"/>
      <c r="AJ2" s="218"/>
      <c r="AK2" s="218"/>
      <c r="AL2" s="218"/>
      <c r="AM2" s="218"/>
      <c r="AN2" s="218"/>
      <c r="AO2" s="218"/>
      <c r="AP2" s="218"/>
      <c r="AQ2" s="218"/>
      <c r="AR2" s="220"/>
      <c r="AS2" s="220"/>
      <c r="AT2" s="220"/>
      <c r="AU2" s="220"/>
      <c r="AV2" s="220"/>
      <c r="AW2" s="220"/>
      <c r="AX2" s="220"/>
      <c r="AY2" s="220"/>
      <c r="AZ2" s="220"/>
    </row>
    <row r="3" ht="26.25" customHeight="1">
      <c r="A3" s="223"/>
      <c r="B3" s="224" t="s">
        <v>519</v>
      </c>
      <c r="C3" s="47"/>
      <c r="D3" s="47"/>
      <c r="E3" s="47"/>
      <c r="F3" s="47"/>
      <c r="G3" s="47"/>
      <c r="H3" s="47"/>
      <c r="I3" s="12"/>
      <c r="J3" s="59"/>
      <c r="K3" s="223"/>
      <c r="L3" s="223"/>
      <c r="M3" s="223"/>
      <c r="N3" s="223"/>
      <c r="O3" s="223"/>
      <c r="P3" s="223"/>
      <c r="Q3" s="223"/>
      <c r="R3" s="223"/>
      <c r="S3" s="225"/>
      <c r="T3" s="218"/>
      <c r="U3" s="218"/>
      <c r="V3" s="218"/>
      <c r="W3" s="218"/>
      <c r="X3" s="218"/>
      <c r="Y3" s="218"/>
      <c r="Z3" s="218"/>
      <c r="AA3" s="218"/>
      <c r="AB3" s="218"/>
      <c r="AC3" s="218"/>
      <c r="AD3" s="218"/>
      <c r="AE3" s="218"/>
      <c r="AF3" s="218"/>
      <c r="AG3" s="218"/>
      <c r="AH3" s="218"/>
      <c r="AI3" s="218"/>
      <c r="AJ3" s="218"/>
      <c r="AK3" s="218"/>
      <c r="AL3" s="218"/>
      <c r="AM3" s="218"/>
      <c r="AN3" s="218"/>
      <c r="AO3" s="220"/>
      <c r="AP3" s="220"/>
      <c r="AQ3" s="220"/>
      <c r="AR3" s="220"/>
      <c r="AS3" s="220"/>
      <c r="AT3" s="220"/>
      <c r="AU3" s="220"/>
      <c r="AV3" s="220"/>
      <c r="AW3" s="220"/>
      <c r="AX3" s="220"/>
      <c r="AY3" s="220"/>
      <c r="AZ3" s="220"/>
    </row>
    <row r="4" ht="59.25" customHeight="1">
      <c r="A4" s="226"/>
      <c r="B4" s="227" t="s">
        <v>520</v>
      </c>
      <c r="C4" s="227" t="s">
        <v>521</v>
      </c>
      <c r="D4" s="227" t="s">
        <v>522</v>
      </c>
      <c r="E4" s="227" t="s">
        <v>523</v>
      </c>
      <c r="F4" s="227" t="s">
        <v>524</v>
      </c>
      <c r="G4" s="228" t="s">
        <v>525</v>
      </c>
      <c r="H4" s="227" t="s">
        <v>526</v>
      </c>
      <c r="I4" s="227" t="s">
        <v>527</v>
      </c>
      <c r="J4" s="98" t="s">
        <v>5</v>
      </c>
      <c r="K4" s="226"/>
      <c r="L4" s="226"/>
      <c r="M4" s="226"/>
      <c r="N4" s="226"/>
      <c r="O4" s="226"/>
      <c r="P4" s="226"/>
      <c r="Q4" s="226"/>
      <c r="R4" s="226"/>
      <c r="S4" s="229"/>
      <c r="T4" s="59"/>
      <c r="U4" s="59"/>
      <c r="V4" s="59"/>
      <c r="W4" s="59"/>
      <c r="X4" s="59"/>
      <c r="Y4" s="59"/>
      <c r="Z4" s="59"/>
      <c r="AA4" s="59"/>
      <c r="AB4" s="59"/>
      <c r="AC4" s="59"/>
      <c r="AD4" s="218"/>
      <c r="AE4" s="218"/>
      <c r="AF4" s="218"/>
      <c r="AG4" s="218"/>
      <c r="AH4" s="218"/>
      <c r="AI4" s="218"/>
      <c r="AJ4" s="218"/>
      <c r="AK4" s="218"/>
      <c r="AL4" s="218"/>
      <c r="AM4" s="218"/>
      <c r="AN4" s="218"/>
      <c r="AO4" s="218"/>
      <c r="AP4" s="218"/>
      <c r="AQ4" s="218"/>
      <c r="AR4" s="220"/>
      <c r="AS4" s="220"/>
      <c r="AT4" s="220"/>
      <c r="AU4" s="220"/>
      <c r="AV4" s="220"/>
      <c r="AW4" s="220"/>
      <c r="AX4" s="220"/>
      <c r="AY4" s="220"/>
      <c r="AZ4" s="220"/>
    </row>
    <row r="5" ht="26.25" customHeight="1">
      <c r="A5" s="226"/>
      <c r="B5" s="230" t="s">
        <v>528</v>
      </c>
      <c r="C5" s="180">
        <v>31.0</v>
      </c>
      <c r="D5" s="189">
        <v>6.0</v>
      </c>
      <c r="E5" s="180">
        <v>6.0</v>
      </c>
      <c r="F5" s="231">
        <f>C20</f>
        <v>435000</v>
      </c>
      <c r="G5" s="189">
        <v>0.3</v>
      </c>
      <c r="H5" s="232">
        <f t="shared" ref="H5:H16" si="1">(E5*F5*G5)</f>
        <v>783000</v>
      </c>
      <c r="I5" s="232">
        <f t="shared" ref="I5:I16" si="2">H5*C5</f>
        <v>24273000</v>
      </c>
      <c r="J5" s="218"/>
      <c r="K5" s="221"/>
      <c r="L5" s="221"/>
      <c r="M5" s="221"/>
      <c r="N5" s="221"/>
      <c r="O5" s="221"/>
      <c r="P5" s="233"/>
      <c r="Q5" s="234"/>
      <c r="R5" s="234"/>
      <c r="S5" s="219"/>
      <c r="T5" s="59"/>
      <c r="U5" s="59"/>
      <c r="V5" s="59"/>
      <c r="W5" s="59"/>
      <c r="X5" s="59"/>
      <c r="Y5" s="59"/>
      <c r="Z5" s="59"/>
      <c r="AA5" s="59"/>
      <c r="AB5" s="59"/>
      <c r="AC5" s="59"/>
      <c r="AD5" s="218"/>
      <c r="AE5" s="218"/>
      <c r="AF5" s="218"/>
      <c r="AG5" s="218"/>
      <c r="AH5" s="218"/>
      <c r="AI5" s="218"/>
      <c r="AJ5" s="218"/>
      <c r="AK5" s="218"/>
      <c r="AL5" s="218"/>
      <c r="AM5" s="218"/>
      <c r="AN5" s="218"/>
      <c r="AO5" s="218"/>
      <c r="AP5" s="218"/>
      <c r="AQ5" s="218"/>
      <c r="AR5" s="220"/>
      <c r="AS5" s="220"/>
      <c r="AT5" s="220"/>
      <c r="AU5" s="220"/>
      <c r="AV5" s="220"/>
      <c r="AW5" s="220"/>
      <c r="AX5" s="220"/>
      <c r="AY5" s="220"/>
      <c r="AZ5" s="220"/>
    </row>
    <row r="6" ht="26.25" customHeight="1">
      <c r="A6" s="235"/>
      <c r="B6" s="236" t="s">
        <v>529</v>
      </c>
      <c r="C6" s="180">
        <v>28.0</v>
      </c>
      <c r="D6" s="189">
        <v>6.0</v>
      </c>
      <c r="E6" s="180">
        <v>6.0</v>
      </c>
      <c r="F6" s="231">
        <f>C20</f>
        <v>435000</v>
      </c>
      <c r="G6" s="189">
        <v>0.3</v>
      </c>
      <c r="H6" s="232">
        <f t="shared" si="1"/>
        <v>783000</v>
      </c>
      <c r="I6" s="232">
        <f t="shared" si="2"/>
        <v>21924000</v>
      </c>
      <c r="J6" s="218"/>
      <c r="K6" s="221"/>
      <c r="L6" s="221"/>
      <c r="M6" s="221"/>
      <c r="N6" s="221"/>
      <c r="O6" s="221"/>
      <c r="P6" s="233"/>
      <c r="Q6" s="234"/>
      <c r="R6" s="234"/>
      <c r="S6" s="219"/>
      <c r="T6" s="237"/>
      <c r="U6" s="237"/>
      <c r="V6" s="237"/>
      <c r="W6" s="237"/>
      <c r="X6" s="237"/>
      <c r="Y6" s="237"/>
      <c r="Z6" s="237"/>
      <c r="AA6" s="237"/>
      <c r="AB6" s="237"/>
      <c r="AC6" s="237"/>
      <c r="AD6" s="218"/>
      <c r="AE6" s="218"/>
      <c r="AF6" s="218"/>
      <c r="AG6" s="218"/>
      <c r="AH6" s="218"/>
      <c r="AI6" s="218"/>
      <c r="AJ6" s="218"/>
      <c r="AK6" s="218"/>
      <c r="AL6" s="218"/>
      <c r="AM6" s="218"/>
      <c r="AN6" s="218"/>
      <c r="AO6" s="218"/>
      <c r="AP6" s="218"/>
      <c r="AQ6" s="218"/>
      <c r="AR6" s="220"/>
      <c r="AS6" s="220"/>
      <c r="AT6" s="220"/>
      <c r="AU6" s="220"/>
      <c r="AV6" s="220"/>
      <c r="AW6" s="220"/>
      <c r="AX6" s="220"/>
      <c r="AY6" s="220"/>
      <c r="AZ6" s="220"/>
    </row>
    <row r="7" ht="34.5" customHeight="1">
      <c r="A7" s="235"/>
      <c r="B7" s="236" t="s">
        <v>530</v>
      </c>
      <c r="C7" s="180">
        <v>31.0</v>
      </c>
      <c r="D7" s="189">
        <v>6.0</v>
      </c>
      <c r="E7" s="180">
        <v>6.0</v>
      </c>
      <c r="F7" s="231">
        <f>D20</f>
        <v>413250</v>
      </c>
      <c r="G7" s="189">
        <v>0.25</v>
      </c>
      <c r="H7" s="232">
        <f t="shared" si="1"/>
        <v>619875</v>
      </c>
      <c r="I7" s="232">
        <f t="shared" si="2"/>
        <v>19216125</v>
      </c>
      <c r="J7" s="238"/>
      <c r="K7" s="233"/>
      <c r="L7" s="233"/>
      <c r="M7" s="233"/>
      <c r="N7" s="233"/>
      <c r="O7" s="233"/>
      <c r="P7" s="233"/>
      <c r="Q7" s="234"/>
      <c r="R7" s="234"/>
      <c r="S7" s="239"/>
      <c r="T7" s="240"/>
      <c r="U7" s="240"/>
      <c r="V7" s="240"/>
      <c r="W7" s="240"/>
      <c r="X7" s="240"/>
      <c r="Y7" s="240"/>
      <c r="Z7" s="240"/>
      <c r="AA7" s="240"/>
      <c r="AB7" s="237"/>
      <c r="AC7" s="237"/>
      <c r="AD7" s="218"/>
      <c r="AE7" s="218"/>
      <c r="AF7" s="218"/>
      <c r="AG7" s="218"/>
      <c r="AH7" s="218"/>
      <c r="AI7" s="218"/>
      <c r="AJ7" s="218"/>
      <c r="AK7" s="218"/>
      <c r="AL7" s="218"/>
      <c r="AM7" s="218"/>
      <c r="AN7" s="218"/>
      <c r="AO7" s="218"/>
      <c r="AP7" s="218"/>
      <c r="AQ7" s="218"/>
      <c r="AR7" s="220"/>
      <c r="AS7" s="220"/>
      <c r="AT7" s="220"/>
      <c r="AU7" s="220"/>
      <c r="AV7" s="220"/>
      <c r="AW7" s="220"/>
      <c r="AX7" s="220"/>
      <c r="AY7" s="220"/>
      <c r="AZ7" s="220"/>
    </row>
    <row r="8" ht="26.25" customHeight="1">
      <c r="A8" s="235"/>
      <c r="B8" s="236" t="s">
        <v>531</v>
      </c>
      <c r="C8" s="189">
        <v>30.0</v>
      </c>
      <c r="D8" s="189">
        <v>6.0</v>
      </c>
      <c r="E8" s="180">
        <v>6.0</v>
      </c>
      <c r="F8" s="231">
        <f>D20</f>
        <v>413250</v>
      </c>
      <c r="G8" s="189">
        <v>0.3</v>
      </c>
      <c r="H8" s="232">
        <f t="shared" si="1"/>
        <v>743850</v>
      </c>
      <c r="I8" s="232">
        <f t="shared" si="2"/>
        <v>22315500</v>
      </c>
      <c r="J8" s="237"/>
      <c r="K8" s="233"/>
      <c r="L8" s="233"/>
      <c r="M8" s="233"/>
      <c r="N8" s="233"/>
      <c r="O8" s="233"/>
      <c r="P8" s="233"/>
      <c r="Q8" s="234"/>
      <c r="R8" s="234"/>
      <c r="S8" s="241"/>
      <c r="T8" s="240"/>
      <c r="U8" s="237"/>
      <c r="V8" s="237"/>
      <c r="W8" s="237"/>
      <c r="X8" s="237"/>
      <c r="Y8" s="237"/>
      <c r="Z8" s="237"/>
      <c r="AA8" s="237"/>
      <c r="AB8" s="237"/>
      <c r="AC8" s="237"/>
      <c r="AD8" s="218"/>
      <c r="AE8" s="218"/>
      <c r="AF8" s="218"/>
      <c r="AG8" s="218"/>
      <c r="AH8" s="218"/>
      <c r="AI8" s="218"/>
      <c r="AJ8" s="218"/>
      <c r="AK8" s="218"/>
      <c r="AL8" s="218"/>
      <c r="AM8" s="218"/>
      <c r="AN8" s="218"/>
      <c r="AO8" s="218"/>
      <c r="AP8" s="218"/>
      <c r="AQ8" s="218"/>
      <c r="AR8" s="220"/>
      <c r="AS8" s="220"/>
      <c r="AT8" s="220"/>
      <c r="AU8" s="220"/>
      <c r="AV8" s="220"/>
      <c r="AW8" s="220"/>
      <c r="AX8" s="220"/>
      <c r="AY8" s="220"/>
      <c r="AZ8" s="220"/>
    </row>
    <row r="9" ht="26.25" customHeight="1">
      <c r="A9" s="235"/>
      <c r="B9" s="236" t="s">
        <v>532</v>
      </c>
      <c r="C9" s="189">
        <v>31.0</v>
      </c>
      <c r="D9" s="189">
        <v>6.0</v>
      </c>
      <c r="E9" s="180">
        <v>6.0</v>
      </c>
      <c r="F9" s="231">
        <f>E20</f>
        <v>391500</v>
      </c>
      <c r="G9" s="189">
        <v>0.3</v>
      </c>
      <c r="H9" s="232">
        <f t="shared" si="1"/>
        <v>704700</v>
      </c>
      <c r="I9" s="232">
        <f t="shared" si="2"/>
        <v>21845700</v>
      </c>
      <c r="J9" s="218"/>
      <c r="K9" s="233"/>
      <c r="L9" s="233"/>
      <c r="M9" s="233"/>
      <c r="N9" s="233"/>
      <c r="O9" s="233"/>
      <c r="P9" s="233"/>
      <c r="Q9" s="234"/>
      <c r="R9" s="234"/>
      <c r="S9" s="219"/>
      <c r="T9" s="240"/>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20"/>
      <c r="AS9" s="220"/>
      <c r="AT9" s="220"/>
      <c r="AU9" s="220"/>
      <c r="AV9" s="220"/>
      <c r="AW9" s="220"/>
      <c r="AX9" s="220"/>
      <c r="AY9" s="220"/>
      <c r="AZ9" s="220"/>
    </row>
    <row r="10" ht="26.25" customHeight="1">
      <c r="A10" s="235"/>
      <c r="B10" s="236" t="s">
        <v>533</v>
      </c>
      <c r="C10" s="189">
        <v>30.0</v>
      </c>
      <c r="D10" s="189">
        <v>6.0</v>
      </c>
      <c r="E10" s="180">
        <v>6.0</v>
      </c>
      <c r="F10" s="231">
        <f>E20</f>
        <v>391500</v>
      </c>
      <c r="G10" s="189">
        <v>0.2</v>
      </c>
      <c r="H10" s="232">
        <f t="shared" si="1"/>
        <v>469800</v>
      </c>
      <c r="I10" s="232">
        <f t="shared" si="2"/>
        <v>14094000</v>
      </c>
      <c r="J10" s="218"/>
      <c r="K10" s="233"/>
      <c r="L10" s="233"/>
      <c r="M10" s="233"/>
      <c r="N10" s="233"/>
      <c r="O10" s="233"/>
      <c r="P10" s="233"/>
      <c r="Q10" s="234"/>
      <c r="R10" s="234"/>
      <c r="S10" s="219"/>
      <c r="T10" s="240"/>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20"/>
      <c r="AS10" s="220"/>
      <c r="AT10" s="220"/>
      <c r="AU10" s="220"/>
      <c r="AV10" s="220"/>
      <c r="AW10" s="220"/>
      <c r="AX10" s="220"/>
      <c r="AY10" s="220"/>
      <c r="AZ10" s="220"/>
    </row>
    <row r="11" ht="26.25" customHeight="1">
      <c r="A11" s="235"/>
      <c r="B11" s="236" t="s">
        <v>534</v>
      </c>
      <c r="C11" s="189">
        <v>31.0</v>
      </c>
      <c r="D11" s="189">
        <v>6.0</v>
      </c>
      <c r="E11" s="180">
        <v>6.0</v>
      </c>
      <c r="F11" s="231">
        <f>C20</f>
        <v>435000</v>
      </c>
      <c r="G11" s="189">
        <v>0.6</v>
      </c>
      <c r="H11" s="232">
        <f t="shared" si="1"/>
        <v>1566000</v>
      </c>
      <c r="I11" s="232">
        <f t="shared" si="2"/>
        <v>48546000</v>
      </c>
      <c r="J11" s="218"/>
      <c r="K11" s="233"/>
      <c r="L11" s="233"/>
      <c r="M11" s="233"/>
      <c r="N11" s="233"/>
      <c r="O11" s="233"/>
      <c r="P11" s="233"/>
      <c r="Q11" s="234"/>
      <c r="R11" s="234"/>
      <c r="S11" s="219"/>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20"/>
      <c r="AS11" s="220"/>
      <c r="AT11" s="220"/>
      <c r="AU11" s="220"/>
      <c r="AV11" s="220"/>
      <c r="AW11" s="220"/>
      <c r="AX11" s="220"/>
      <c r="AY11" s="220"/>
      <c r="AZ11" s="220"/>
    </row>
    <row r="12" ht="26.25" customHeight="1">
      <c r="A12" s="235"/>
      <c r="B12" s="236" t="s">
        <v>535</v>
      </c>
      <c r="C12" s="189">
        <v>31.0</v>
      </c>
      <c r="D12" s="189">
        <v>6.0</v>
      </c>
      <c r="E12" s="180">
        <v>6.0</v>
      </c>
      <c r="F12" s="231">
        <f>C20</f>
        <v>435000</v>
      </c>
      <c r="G12" s="189">
        <v>0.6</v>
      </c>
      <c r="H12" s="232">
        <f t="shared" si="1"/>
        <v>1566000</v>
      </c>
      <c r="I12" s="232">
        <f t="shared" si="2"/>
        <v>48546000</v>
      </c>
      <c r="J12" s="218"/>
      <c r="K12" s="233"/>
      <c r="L12" s="233"/>
      <c r="M12" s="233"/>
      <c r="N12" s="233"/>
      <c r="O12" s="233"/>
      <c r="P12" s="233"/>
      <c r="Q12" s="234"/>
      <c r="R12" s="234"/>
      <c r="S12" s="219"/>
      <c r="T12" s="218"/>
      <c r="U12" s="218"/>
      <c r="V12" s="220"/>
      <c r="W12" s="220"/>
      <c r="X12" s="220"/>
      <c r="Y12" s="220"/>
      <c r="Z12" s="220"/>
      <c r="AA12" s="220"/>
      <c r="AB12" s="220"/>
      <c r="AC12" s="220"/>
      <c r="AD12" s="218"/>
      <c r="AE12" s="218"/>
      <c r="AF12" s="218"/>
      <c r="AG12" s="218"/>
      <c r="AH12" s="218"/>
      <c r="AI12" s="218"/>
      <c r="AJ12" s="218"/>
      <c r="AK12" s="218"/>
      <c r="AL12" s="218"/>
      <c r="AM12" s="218"/>
      <c r="AN12" s="218"/>
      <c r="AO12" s="218"/>
      <c r="AP12" s="218"/>
      <c r="AQ12" s="218"/>
      <c r="AR12" s="218"/>
      <c r="AS12" s="218"/>
      <c r="AT12" s="218"/>
      <c r="AU12" s="220"/>
      <c r="AV12" s="220"/>
      <c r="AW12" s="220"/>
      <c r="AX12" s="220"/>
      <c r="AY12" s="220"/>
      <c r="AZ12" s="220"/>
    </row>
    <row r="13" ht="26.25" customHeight="1">
      <c r="A13" s="235"/>
      <c r="B13" s="236" t="s">
        <v>536</v>
      </c>
      <c r="C13" s="189">
        <v>30.0</v>
      </c>
      <c r="D13" s="189">
        <v>6.0</v>
      </c>
      <c r="E13" s="180">
        <v>6.0</v>
      </c>
      <c r="F13" s="231">
        <f>E20</f>
        <v>391500</v>
      </c>
      <c r="G13" s="189">
        <v>0.3</v>
      </c>
      <c r="H13" s="232">
        <f t="shared" si="1"/>
        <v>704700</v>
      </c>
      <c r="I13" s="232">
        <f t="shared" si="2"/>
        <v>21141000</v>
      </c>
      <c r="J13" s="218"/>
      <c r="K13" s="233"/>
      <c r="L13" s="233"/>
      <c r="M13" s="233"/>
      <c r="N13" s="233"/>
      <c r="O13" s="233"/>
      <c r="P13" s="233"/>
      <c r="Q13" s="234"/>
      <c r="R13" s="234"/>
      <c r="S13" s="219"/>
      <c r="T13" s="218"/>
      <c r="U13" s="218"/>
      <c r="V13" s="220"/>
      <c r="W13" s="220"/>
      <c r="X13" s="220"/>
      <c r="Y13" s="220"/>
      <c r="Z13" s="220"/>
      <c r="AA13" s="220"/>
      <c r="AB13" s="220"/>
      <c r="AC13" s="220"/>
      <c r="AD13" s="218"/>
      <c r="AE13" s="218"/>
      <c r="AF13" s="218"/>
      <c r="AG13" s="218"/>
      <c r="AH13" s="218"/>
      <c r="AI13" s="218"/>
      <c r="AJ13" s="218"/>
      <c r="AK13" s="218"/>
      <c r="AL13" s="218"/>
      <c r="AM13" s="218"/>
      <c r="AN13" s="218"/>
      <c r="AO13" s="218"/>
      <c r="AP13" s="218"/>
      <c r="AQ13" s="218"/>
      <c r="AR13" s="218"/>
      <c r="AS13" s="218"/>
      <c r="AT13" s="218"/>
      <c r="AU13" s="220"/>
      <c r="AV13" s="220"/>
      <c r="AW13" s="220"/>
      <c r="AX13" s="220"/>
      <c r="AY13" s="220"/>
      <c r="AZ13" s="220"/>
    </row>
    <row r="14" ht="26.25" customHeight="1">
      <c r="A14" s="235"/>
      <c r="B14" s="236" t="s">
        <v>537</v>
      </c>
      <c r="C14" s="189">
        <v>31.0</v>
      </c>
      <c r="D14" s="189">
        <v>6.0</v>
      </c>
      <c r="E14" s="180">
        <v>6.0</v>
      </c>
      <c r="F14" s="231">
        <f>D20</f>
        <v>413250</v>
      </c>
      <c r="G14" s="189">
        <v>0.4</v>
      </c>
      <c r="H14" s="232">
        <f t="shared" si="1"/>
        <v>991800</v>
      </c>
      <c r="I14" s="232">
        <f t="shared" si="2"/>
        <v>30745800</v>
      </c>
      <c r="J14" s="218"/>
      <c r="K14" s="233"/>
      <c r="L14" s="233"/>
      <c r="M14" s="233"/>
      <c r="N14" s="233"/>
      <c r="O14" s="233"/>
      <c r="P14" s="233"/>
      <c r="Q14" s="234"/>
      <c r="R14" s="234"/>
      <c r="S14" s="219"/>
      <c r="T14" s="218"/>
      <c r="U14" s="218"/>
      <c r="V14" s="220"/>
      <c r="W14" s="220"/>
      <c r="X14" s="220"/>
      <c r="Y14" s="220"/>
      <c r="Z14" s="220"/>
      <c r="AA14" s="220"/>
      <c r="AB14" s="220"/>
      <c r="AC14" s="220"/>
      <c r="AD14" s="218"/>
      <c r="AE14" s="218"/>
      <c r="AF14" s="218"/>
      <c r="AG14" s="218"/>
      <c r="AH14" s="218"/>
      <c r="AI14" s="218"/>
      <c r="AJ14" s="218"/>
      <c r="AK14" s="218"/>
      <c r="AL14" s="218"/>
      <c r="AM14" s="218"/>
      <c r="AN14" s="218"/>
      <c r="AO14" s="218"/>
      <c r="AP14" s="218"/>
      <c r="AQ14" s="218"/>
      <c r="AR14" s="218"/>
      <c r="AS14" s="218"/>
      <c r="AT14" s="218"/>
      <c r="AU14" s="220"/>
      <c r="AV14" s="220"/>
      <c r="AW14" s="220"/>
      <c r="AX14" s="220"/>
      <c r="AY14" s="220"/>
      <c r="AZ14" s="220"/>
    </row>
    <row r="15" ht="26.25" customHeight="1">
      <c r="A15" s="235"/>
      <c r="B15" s="236" t="s">
        <v>538</v>
      </c>
      <c r="C15" s="189">
        <v>30.0</v>
      </c>
      <c r="D15" s="189">
        <v>6.0</v>
      </c>
      <c r="E15" s="180">
        <v>6.0</v>
      </c>
      <c r="F15" s="231">
        <f>D20</f>
        <v>413250</v>
      </c>
      <c r="G15" s="189">
        <v>0.4</v>
      </c>
      <c r="H15" s="232">
        <f t="shared" si="1"/>
        <v>991800</v>
      </c>
      <c r="I15" s="232">
        <f t="shared" si="2"/>
        <v>29754000</v>
      </c>
      <c r="J15" s="218"/>
      <c r="K15" s="233"/>
      <c r="L15" s="233"/>
      <c r="M15" s="233"/>
      <c r="N15" s="233"/>
      <c r="O15" s="233"/>
      <c r="P15" s="233"/>
      <c r="Q15" s="234"/>
      <c r="R15" s="234"/>
      <c r="S15" s="219"/>
      <c r="T15" s="218"/>
      <c r="U15" s="218"/>
      <c r="V15" s="220"/>
      <c r="W15" s="220"/>
      <c r="X15" s="220"/>
      <c r="Y15" s="220"/>
      <c r="Z15" s="220"/>
      <c r="AA15" s="220"/>
      <c r="AB15" s="220"/>
      <c r="AC15" s="220"/>
      <c r="AD15" s="218"/>
      <c r="AE15" s="218"/>
      <c r="AF15" s="218"/>
      <c r="AG15" s="218"/>
      <c r="AH15" s="218"/>
      <c r="AI15" s="218"/>
      <c r="AJ15" s="218"/>
      <c r="AK15" s="218"/>
      <c r="AL15" s="218"/>
      <c r="AM15" s="218"/>
      <c r="AN15" s="218"/>
      <c r="AO15" s="218"/>
      <c r="AP15" s="218"/>
      <c r="AQ15" s="218"/>
      <c r="AR15" s="218"/>
      <c r="AS15" s="218"/>
      <c r="AT15" s="218"/>
      <c r="AU15" s="220"/>
      <c r="AV15" s="220"/>
      <c r="AW15" s="220"/>
      <c r="AX15" s="220"/>
      <c r="AY15" s="220"/>
      <c r="AZ15" s="220"/>
    </row>
    <row r="16" ht="26.25" customHeight="1">
      <c r="A16" s="235"/>
      <c r="B16" s="236" t="s">
        <v>539</v>
      </c>
      <c r="C16" s="189">
        <v>31.0</v>
      </c>
      <c r="D16" s="189">
        <v>6.0</v>
      </c>
      <c r="E16" s="180">
        <v>6.0</v>
      </c>
      <c r="F16" s="231">
        <f>D20</f>
        <v>413250</v>
      </c>
      <c r="G16" s="189">
        <v>0.5</v>
      </c>
      <c r="H16" s="232">
        <f t="shared" si="1"/>
        <v>1239750</v>
      </c>
      <c r="I16" s="232">
        <f t="shared" si="2"/>
        <v>38432250</v>
      </c>
      <c r="J16" s="218"/>
      <c r="K16" s="233"/>
      <c r="L16" s="233"/>
      <c r="M16" s="233"/>
      <c r="N16" s="233"/>
      <c r="O16" s="233"/>
      <c r="P16" s="233"/>
      <c r="Q16" s="234"/>
      <c r="R16" s="234"/>
      <c r="S16" s="219"/>
      <c r="T16" s="218"/>
      <c r="U16" s="218"/>
      <c r="V16" s="220"/>
      <c r="W16" s="220"/>
      <c r="X16" s="220"/>
      <c r="Y16" s="220"/>
      <c r="Z16" s="220"/>
      <c r="AA16" s="220"/>
      <c r="AB16" s="220"/>
      <c r="AC16" s="220"/>
      <c r="AD16" s="218"/>
      <c r="AE16" s="218"/>
      <c r="AF16" s="218"/>
      <c r="AG16" s="218"/>
      <c r="AH16" s="218"/>
      <c r="AI16" s="218"/>
      <c r="AJ16" s="218"/>
      <c r="AK16" s="218"/>
      <c r="AL16" s="218"/>
      <c r="AM16" s="218"/>
      <c r="AN16" s="218"/>
      <c r="AO16" s="218"/>
      <c r="AP16" s="218"/>
      <c r="AQ16" s="218"/>
      <c r="AR16" s="218"/>
      <c r="AS16" s="218"/>
      <c r="AT16" s="218"/>
      <c r="AU16" s="220"/>
      <c r="AV16" s="220"/>
      <c r="AW16" s="220"/>
      <c r="AX16" s="220"/>
      <c r="AY16" s="220"/>
      <c r="AZ16" s="220"/>
    </row>
    <row r="17" ht="26.25" customHeight="1">
      <c r="A17" s="219"/>
      <c r="B17" s="218"/>
      <c r="C17" s="218"/>
      <c r="D17" s="218"/>
      <c r="E17" s="218"/>
      <c r="F17" s="218"/>
      <c r="G17" s="218"/>
      <c r="H17" s="240"/>
      <c r="I17" s="218"/>
      <c r="J17" s="218"/>
      <c r="K17" s="219"/>
      <c r="L17" s="219"/>
      <c r="M17" s="219"/>
      <c r="N17" s="219"/>
      <c r="O17" s="219"/>
      <c r="P17" s="219"/>
      <c r="Q17" s="242"/>
      <c r="R17" s="219"/>
      <c r="S17" s="219"/>
      <c r="T17" s="218"/>
      <c r="U17" s="218"/>
      <c r="V17" s="218"/>
      <c r="W17" s="218"/>
      <c r="X17" s="218"/>
      <c r="Y17" s="218"/>
      <c r="Z17" s="218"/>
      <c r="AA17" s="218"/>
      <c r="AB17" s="218"/>
      <c r="AC17" s="218"/>
      <c r="AD17" s="218"/>
      <c r="AE17" s="218"/>
      <c r="AF17" s="218"/>
      <c r="AG17" s="218"/>
      <c r="AH17" s="218"/>
      <c r="AI17" s="218"/>
      <c r="AJ17" s="218"/>
      <c r="AK17" s="218"/>
      <c r="AL17" s="218"/>
      <c r="AM17" s="218"/>
      <c r="AN17" s="218"/>
      <c r="AO17" s="220"/>
      <c r="AP17" s="220"/>
      <c r="AQ17" s="220"/>
      <c r="AR17" s="220"/>
      <c r="AS17" s="220"/>
      <c r="AT17" s="220"/>
      <c r="AU17" s="220"/>
      <c r="AV17" s="220"/>
      <c r="AW17" s="220"/>
      <c r="AX17" s="220"/>
      <c r="AY17" s="220"/>
      <c r="AZ17" s="220"/>
    </row>
    <row r="18" ht="26.25" customHeight="1">
      <c r="A18" s="243"/>
      <c r="B18" s="244" t="s">
        <v>540</v>
      </c>
      <c r="C18" s="245" t="s">
        <v>541</v>
      </c>
      <c r="D18" s="47"/>
      <c r="E18" s="12"/>
      <c r="F18" s="218"/>
      <c r="G18" s="218"/>
      <c r="H18" s="218"/>
      <c r="I18" s="218"/>
      <c r="J18" s="218"/>
      <c r="K18" s="219"/>
      <c r="L18" s="219"/>
      <c r="M18" s="219"/>
      <c r="N18" s="219"/>
      <c r="O18" s="219"/>
      <c r="P18" s="219"/>
      <c r="Q18" s="219"/>
      <c r="R18" s="219"/>
      <c r="S18" s="219"/>
      <c r="T18" s="218"/>
      <c r="U18" s="218"/>
      <c r="V18" s="218"/>
      <c r="W18" s="218"/>
      <c r="X18" s="218"/>
      <c r="Y18" s="218"/>
      <c r="Z18" s="218"/>
      <c r="AA18" s="218"/>
      <c r="AB18" s="218"/>
      <c r="AC18" s="218"/>
      <c r="AD18" s="218"/>
      <c r="AE18" s="218"/>
      <c r="AF18" s="218"/>
      <c r="AG18" s="218"/>
      <c r="AH18" s="218"/>
      <c r="AI18" s="218"/>
      <c r="AJ18" s="218"/>
      <c r="AK18" s="218"/>
      <c r="AL18" s="218"/>
      <c r="AM18" s="218"/>
      <c r="AN18" s="218"/>
      <c r="AO18" s="220"/>
      <c r="AP18" s="220"/>
      <c r="AQ18" s="220"/>
      <c r="AR18" s="220"/>
      <c r="AS18" s="220"/>
      <c r="AT18" s="220"/>
      <c r="AU18" s="220"/>
      <c r="AV18" s="220"/>
      <c r="AW18" s="220"/>
      <c r="AX18" s="220"/>
      <c r="AY18" s="220"/>
      <c r="AZ18" s="220"/>
    </row>
    <row r="19" ht="26.25" customHeight="1">
      <c r="A19" s="243"/>
      <c r="B19" s="33"/>
      <c r="C19" s="246" t="s">
        <v>542</v>
      </c>
      <c r="D19" s="247" t="s">
        <v>543</v>
      </c>
      <c r="E19" s="246" t="s">
        <v>544</v>
      </c>
      <c r="F19" s="218"/>
      <c r="G19" s="218"/>
      <c r="H19" s="218"/>
      <c r="I19" s="218"/>
      <c r="J19" s="218"/>
      <c r="K19" s="219"/>
      <c r="L19" s="219"/>
      <c r="M19" s="219"/>
      <c r="N19" s="219"/>
      <c r="O19" s="219"/>
      <c r="P19" s="219"/>
      <c r="Q19" s="219"/>
      <c r="R19" s="219"/>
      <c r="S19" s="219"/>
      <c r="T19" s="218"/>
      <c r="U19" s="218"/>
      <c r="V19" s="218"/>
      <c r="W19" s="218"/>
      <c r="X19" s="218"/>
      <c r="Y19" s="218"/>
      <c r="Z19" s="218"/>
      <c r="AA19" s="218"/>
      <c r="AB19" s="218"/>
      <c r="AC19" s="218"/>
      <c r="AD19" s="218"/>
      <c r="AE19" s="218"/>
      <c r="AF19" s="218"/>
      <c r="AG19" s="218"/>
      <c r="AH19" s="218"/>
      <c r="AI19" s="218"/>
      <c r="AJ19" s="218"/>
      <c r="AK19" s="218"/>
      <c r="AL19" s="218"/>
      <c r="AM19" s="218"/>
      <c r="AN19" s="218"/>
      <c r="AO19" s="220"/>
      <c r="AP19" s="220"/>
      <c r="AQ19" s="220"/>
      <c r="AR19" s="220"/>
      <c r="AS19" s="220"/>
      <c r="AT19" s="220"/>
      <c r="AU19" s="220"/>
      <c r="AV19" s="220"/>
      <c r="AW19" s="220"/>
      <c r="AX19" s="220"/>
      <c r="AY19" s="220"/>
      <c r="AZ19" s="220"/>
    </row>
    <row r="20" ht="26.25" customHeight="1">
      <c r="A20" s="248"/>
      <c r="B20" s="249" t="s">
        <v>545</v>
      </c>
      <c r="C20" s="231">
        <f>300*C1</f>
        <v>435000</v>
      </c>
      <c r="D20" s="231">
        <f>285*C1</f>
        <v>413250</v>
      </c>
      <c r="E20" s="231">
        <f>270*C1</f>
        <v>391500</v>
      </c>
      <c r="F20" s="218"/>
      <c r="G20" s="218"/>
      <c r="H20" s="218"/>
      <c r="I20" s="218"/>
      <c r="J20" s="218"/>
      <c r="K20" s="219"/>
      <c r="L20" s="219"/>
      <c r="M20" s="219"/>
      <c r="N20" s="219"/>
      <c r="O20" s="219"/>
      <c r="P20" s="219"/>
      <c r="Q20" s="219"/>
      <c r="R20" s="219"/>
      <c r="S20" s="219"/>
      <c r="T20" s="218"/>
      <c r="U20" s="218"/>
      <c r="V20" s="218"/>
      <c r="W20" s="218"/>
      <c r="X20" s="218"/>
      <c r="Y20" s="218"/>
      <c r="Z20" s="218"/>
      <c r="AA20" s="218"/>
      <c r="AB20" s="218"/>
      <c r="AC20" s="218"/>
      <c r="AD20" s="218"/>
      <c r="AE20" s="218"/>
      <c r="AF20" s="218"/>
      <c r="AG20" s="218"/>
      <c r="AH20" s="218"/>
      <c r="AI20" s="218"/>
      <c r="AJ20" s="218"/>
      <c r="AK20" s="218"/>
      <c r="AL20" s="218"/>
      <c r="AM20" s="218"/>
      <c r="AN20" s="218"/>
      <c r="AO20" s="220"/>
      <c r="AP20" s="220"/>
      <c r="AQ20" s="220"/>
      <c r="AR20" s="220"/>
      <c r="AS20" s="220"/>
      <c r="AT20" s="220"/>
      <c r="AU20" s="220"/>
      <c r="AV20" s="220"/>
      <c r="AW20" s="220"/>
      <c r="AX20" s="220"/>
      <c r="AY20" s="220"/>
      <c r="AZ20" s="220"/>
    </row>
    <row r="21" ht="26.25" customHeight="1">
      <c r="A21" s="219"/>
      <c r="B21" s="218"/>
      <c r="C21" s="218"/>
      <c r="D21" s="218"/>
      <c r="E21" s="218"/>
      <c r="F21" s="218"/>
      <c r="G21" s="218"/>
      <c r="H21" s="240"/>
      <c r="I21" s="218"/>
      <c r="J21" s="218"/>
      <c r="K21" s="219"/>
      <c r="L21" s="219"/>
      <c r="M21" s="219"/>
      <c r="N21" s="219"/>
      <c r="O21" s="219"/>
      <c r="P21" s="219"/>
      <c r="Q21" s="242"/>
      <c r="R21" s="219"/>
      <c r="S21" s="219"/>
      <c r="T21" s="218"/>
      <c r="U21" s="218"/>
      <c r="V21" s="218"/>
      <c r="W21" s="218"/>
      <c r="X21" s="218"/>
      <c r="Y21" s="218"/>
      <c r="Z21" s="218"/>
      <c r="AA21" s="218"/>
      <c r="AB21" s="218"/>
      <c r="AC21" s="218"/>
      <c r="AD21" s="218"/>
      <c r="AE21" s="218"/>
      <c r="AF21" s="218"/>
      <c r="AG21" s="218"/>
      <c r="AH21" s="218"/>
      <c r="AI21" s="218"/>
      <c r="AJ21" s="218"/>
      <c r="AK21" s="218"/>
      <c r="AL21" s="218"/>
      <c r="AM21" s="218"/>
      <c r="AN21" s="218"/>
      <c r="AO21" s="220"/>
      <c r="AP21" s="220"/>
      <c r="AQ21" s="220"/>
      <c r="AR21" s="220"/>
      <c r="AS21" s="220"/>
      <c r="AT21" s="220"/>
      <c r="AU21" s="220"/>
      <c r="AV21" s="220"/>
      <c r="AW21" s="220"/>
      <c r="AX21" s="220"/>
      <c r="AY21" s="220"/>
      <c r="AZ21" s="220"/>
    </row>
    <row r="22" ht="26.25" customHeight="1">
      <c r="A22" s="223"/>
      <c r="B22" s="224" t="s">
        <v>546</v>
      </c>
      <c r="C22" s="47"/>
      <c r="D22" s="47"/>
      <c r="E22" s="47"/>
      <c r="F22" s="47"/>
      <c r="G22" s="47"/>
      <c r="H22" s="47"/>
      <c r="I22" s="12"/>
      <c r="J22" s="59"/>
      <c r="K22" s="223"/>
      <c r="L22" s="223"/>
      <c r="M22" s="223"/>
      <c r="N22" s="223"/>
      <c r="O22" s="223"/>
      <c r="P22" s="223"/>
      <c r="Q22" s="223"/>
      <c r="R22" s="223"/>
      <c r="S22" s="225"/>
      <c r="T22" s="218"/>
      <c r="U22" s="218"/>
      <c r="V22" s="218"/>
      <c r="W22" s="218"/>
      <c r="X22" s="218"/>
      <c r="Y22" s="218"/>
      <c r="Z22" s="218"/>
      <c r="AA22" s="218"/>
      <c r="AB22" s="218"/>
      <c r="AC22" s="218"/>
      <c r="AD22" s="218"/>
      <c r="AE22" s="218"/>
      <c r="AF22" s="218"/>
      <c r="AG22" s="218"/>
      <c r="AH22" s="218"/>
      <c r="AI22" s="218"/>
      <c r="AJ22" s="218"/>
      <c r="AK22" s="218"/>
      <c r="AL22" s="218"/>
      <c r="AM22" s="218"/>
      <c r="AN22" s="218"/>
      <c r="AO22" s="220"/>
      <c r="AP22" s="220"/>
      <c r="AQ22" s="220"/>
      <c r="AR22" s="220"/>
      <c r="AS22" s="220"/>
      <c r="AT22" s="220"/>
      <c r="AU22" s="220"/>
      <c r="AV22" s="220"/>
      <c r="AW22" s="220"/>
      <c r="AX22" s="220"/>
      <c r="AY22" s="220"/>
      <c r="AZ22" s="220"/>
    </row>
    <row r="23" ht="26.25" customHeight="1">
      <c r="A23" s="226"/>
      <c r="B23" s="227" t="s">
        <v>520</v>
      </c>
      <c r="C23" s="227" t="s">
        <v>521</v>
      </c>
      <c r="D23" s="227" t="s">
        <v>522</v>
      </c>
      <c r="E23" s="227" t="s">
        <v>523</v>
      </c>
      <c r="F23" s="227" t="s">
        <v>547</v>
      </c>
      <c r="G23" s="228" t="s">
        <v>525</v>
      </c>
      <c r="H23" s="227" t="s">
        <v>526</v>
      </c>
      <c r="I23" s="227" t="s">
        <v>527</v>
      </c>
      <c r="J23" s="98" t="s">
        <v>5</v>
      </c>
      <c r="K23" s="226"/>
      <c r="L23" s="226"/>
      <c r="M23" s="226"/>
      <c r="N23" s="226"/>
      <c r="O23" s="226"/>
      <c r="P23" s="226"/>
      <c r="Q23" s="226"/>
      <c r="R23" s="226"/>
      <c r="S23" s="229"/>
      <c r="T23" s="218"/>
      <c r="U23" s="218"/>
      <c r="V23" s="218"/>
      <c r="W23" s="218"/>
      <c r="X23" s="218"/>
      <c r="Y23" s="218"/>
      <c r="Z23" s="218"/>
      <c r="AA23" s="218"/>
      <c r="AB23" s="218"/>
      <c r="AC23" s="218"/>
      <c r="AD23" s="218"/>
      <c r="AE23" s="218"/>
      <c r="AF23" s="218"/>
      <c r="AG23" s="218"/>
      <c r="AH23" s="218"/>
      <c r="AI23" s="218"/>
      <c r="AJ23" s="218"/>
      <c r="AK23" s="218"/>
      <c r="AL23" s="218"/>
      <c r="AM23" s="218"/>
      <c r="AN23" s="218"/>
      <c r="AO23" s="220"/>
      <c r="AP23" s="220"/>
      <c r="AQ23" s="220"/>
      <c r="AR23" s="220"/>
      <c r="AS23" s="220"/>
      <c r="AT23" s="220"/>
      <c r="AU23" s="220"/>
      <c r="AV23" s="220"/>
      <c r="AW23" s="220"/>
      <c r="AX23" s="220"/>
      <c r="AY23" s="220"/>
      <c r="AZ23" s="220"/>
    </row>
    <row r="24" ht="26.25" customHeight="1">
      <c r="A24" s="226"/>
      <c r="B24" s="230" t="s">
        <v>528</v>
      </c>
      <c r="C24" s="180">
        <v>31.0</v>
      </c>
      <c r="D24" s="189">
        <v>6.0</v>
      </c>
      <c r="E24" s="189">
        <v>6.0</v>
      </c>
      <c r="F24" s="231">
        <f>C39</f>
        <v>582750</v>
      </c>
      <c r="G24" s="189">
        <v>0.7</v>
      </c>
      <c r="H24" s="232">
        <f t="shared" ref="H24:H35" si="3">(E24*F24*G24)</f>
        <v>2447550</v>
      </c>
      <c r="I24" s="232">
        <f t="shared" ref="I24:I35" si="4">H24*C24</f>
        <v>75874050</v>
      </c>
      <c r="J24" s="218"/>
      <c r="K24" s="221"/>
      <c r="L24" s="221"/>
      <c r="M24" s="221"/>
      <c r="N24" s="221"/>
      <c r="O24" s="221"/>
      <c r="P24" s="221"/>
      <c r="Q24" s="234"/>
      <c r="R24" s="234"/>
      <c r="S24" s="219"/>
      <c r="T24" s="218"/>
      <c r="U24" s="218"/>
      <c r="V24" s="218"/>
      <c r="W24" s="218"/>
      <c r="X24" s="218"/>
      <c r="Y24" s="218"/>
      <c r="Z24" s="218"/>
      <c r="AA24" s="218"/>
      <c r="AB24" s="218"/>
      <c r="AC24" s="218"/>
      <c r="AD24" s="218"/>
      <c r="AE24" s="218"/>
      <c r="AF24" s="218"/>
      <c r="AG24" s="218"/>
      <c r="AH24" s="218"/>
      <c r="AI24" s="218"/>
      <c r="AJ24" s="218"/>
      <c r="AK24" s="218"/>
      <c r="AL24" s="218"/>
      <c r="AM24" s="218"/>
      <c r="AN24" s="218"/>
      <c r="AO24" s="220"/>
      <c r="AP24" s="220"/>
      <c r="AQ24" s="220"/>
      <c r="AR24" s="220"/>
      <c r="AS24" s="220"/>
      <c r="AT24" s="220"/>
      <c r="AU24" s="220"/>
      <c r="AV24" s="220"/>
      <c r="AW24" s="220"/>
      <c r="AX24" s="220"/>
      <c r="AY24" s="220"/>
      <c r="AZ24" s="220"/>
    </row>
    <row r="25" ht="26.25" customHeight="1">
      <c r="A25" s="235"/>
      <c r="B25" s="236" t="s">
        <v>529</v>
      </c>
      <c r="C25" s="180">
        <v>28.0</v>
      </c>
      <c r="D25" s="189">
        <v>6.0</v>
      </c>
      <c r="E25" s="189">
        <v>6.0</v>
      </c>
      <c r="F25" s="231">
        <f>C39</f>
        <v>582750</v>
      </c>
      <c r="G25" s="189">
        <v>0.7</v>
      </c>
      <c r="H25" s="232">
        <f t="shared" si="3"/>
        <v>2447550</v>
      </c>
      <c r="I25" s="232">
        <f t="shared" si="4"/>
        <v>68531400</v>
      </c>
      <c r="J25" s="218"/>
      <c r="K25" s="221"/>
      <c r="L25" s="221"/>
      <c r="M25" s="221"/>
      <c r="N25" s="221"/>
      <c r="O25" s="221"/>
      <c r="P25" s="221"/>
      <c r="Q25" s="234"/>
      <c r="R25" s="234"/>
      <c r="S25" s="219"/>
      <c r="T25" s="218"/>
      <c r="U25" s="218"/>
      <c r="V25" s="218"/>
      <c r="W25" s="218"/>
      <c r="X25" s="218"/>
      <c r="Y25" s="218"/>
      <c r="Z25" s="218"/>
      <c r="AA25" s="218"/>
      <c r="AB25" s="218"/>
      <c r="AC25" s="218"/>
      <c r="AD25" s="218"/>
      <c r="AE25" s="218"/>
      <c r="AF25" s="218"/>
      <c r="AG25" s="218"/>
      <c r="AH25" s="218"/>
      <c r="AI25" s="218"/>
      <c r="AJ25" s="218"/>
      <c r="AK25" s="218"/>
      <c r="AL25" s="218"/>
      <c r="AM25" s="218"/>
      <c r="AN25" s="218"/>
      <c r="AO25" s="220"/>
      <c r="AP25" s="220"/>
      <c r="AQ25" s="220"/>
      <c r="AR25" s="220"/>
      <c r="AS25" s="220"/>
      <c r="AT25" s="220"/>
      <c r="AU25" s="220"/>
      <c r="AV25" s="220"/>
      <c r="AW25" s="220"/>
      <c r="AX25" s="220"/>
      <c r="AY25" s="220"/>
      <c r="AZ25" s="220"/>
    </row>
    <row r="26" ht="26.25" customHeight="1">
      <c r="A26" s="235"/>
      <c r="B26" s="236" t="s">
        <v>530</v>
      </c>
      <c r="C26" s="180">
        <v>31.0</v>
      </c>
      <c r="D26" s="189">
        <v>6.0</v>
      </c>
      <c r="E26" s="189">
        <v>6.0</v>
      </c>
      <c r="F26" s="231">
        <f>D39</f>
        <v>553612.5</v>
      </c>
      <c r="G26" s="189">
        <v>0.5</v>
      </c>
      <c r="H26" s="232">
        <f t="shared" si="3"/>
        <v>1660837.5</v>
      </c>
      <c r="I26" s="232">
        <f t="shared" si="4"/>
        <v>51485962.5</v>
      </c>
      <c r="J26" s="238"/>
      <c r="K26" s="233"/>
      <c r="L26" s="233"/>
      <c r="M26" s="233"/>
      <c r="N26" s="233"/>
      <c r="O26" s="233"/>
      <c r="P26" s="233"/>
      <c r="Q26" s="234"/>
      <c r="R26" s="234"/>
      <c r="S26" s="239"/>
      <c r="T26" s="218"/>
      <c r="U26" s="218"/>
      <c r="V26" s="218"/>
      <c r="W26" s="218"/>
      <c r="X26" s="218"/>
      <c r="Y26" s="218"/>
      <c r="Z26" s="218"/>
      <c r="AA26" s="218"/>
      <c r="AB26" s="218"/>
      <c r="AC26" s="218"/>
      <c r="AD26" s="218"/>
      <c r="AE26" s="218"/>
      <c r="AF26" s="218"/>
      <c r="AG26" s="218"/>
      <c r="AH26" s="218"/>
      <c r="AI26" s="218"/>
      <c r="AJ26" s="218"/>
      <c r="AK26" s="218"/>
      <c r="AL26" s="218"/>
      <c r="AM26" s="218"/>
      <c r="AN26" s="218"/>
      <c r="AO26" s="220"/>
      <c r="AP26" s="220"/>
      <c r="AQ26" s="220"/>
      <c r="AR26" s="220"/>
      <c r="AS26" s="220"/>
      <c r="AT26" s="220"/>
      <c r="AU26" s="220"/>
      <c r="AV26" s="220"/>
      <c r="AW26" s="220"/>
      <c r="AX26" s="220"/>
      <c r="AY26" s="220"/>
      <c r="AZ26" s="220"/>
    </row>
    <row r="27" ht="26.25" customHeight="1">
      <c r="A27" s="235"/>
      <c r="B27" s="236" t="s">
        <v>531</v>
      </c>
      <c r="C27" s="189">
        <v>30.0</v>
      </c>
      <c r="D27" s="189">
        <v>6.0</v>
      </c>
      <c r="E27" s="189">
        <v>6.0</v>
      </c>
      <c r="F27" s="231">
        <f>D39</f>
        <v>553612.5</v>
      </c>
      <c r="G27" s="189">
        <v>0.5</v>
      </c>
      <c r="H27" s="232">
        <f t="shared" si="3"/>
        <v>1660837.5</v>
      </c>
      <c r="I27" s="232">
        <f t="shared" si="4"/>
        <v>49825125</v>
      </c>
      <c r="J27" s="237"/>
      <c r="K27" s="233"/>
      <c r="L27" s="233"/>
      <c r="M27" s="233"/>
      <c r="N27" s="233"/>
      <c r="O27" s="233"/>
      <c r="P27" s="233"/>
      <c r="Q27" s="234"/>
      <c r="R27" s="234"/>
      <c r="S27" s="241"/>
      <c r="T27" s="218"/>
      <c r="U27" s="218"/>
      <c r="V27" s="218"/>
      <c r="W27" s="218"/>
      <c r="X27" s="218"/>
      <c r="Y27" s="218"/>
      <c r="Z27" s="218"/>
      <c r="AA27" s="218"/>
      <c r="AB27" s="218"/>
      <c r="AC27" s="218"/>
      <c r="AD27" s="218"/>
      <c r="AE27" s="218"/>
      <c r="AF27" s="218"/>
      <c r="AG27" s="218"/>
      <c r="AH27" s="218"/>
      <c r="AI27" s="218"/>
      <c r="AJ27" s="218"/>
      <c r="AK27" s="218"/>
      <c r="AL27" s="218"/>
      <c r="AM27" s="218"/>
      <c r="AN27" s="218"/>
      <c r="AO27" s="220"/>
      <c r="AP27" s="220"/>
      <c r="AQ27" s="220"/>
      <c r="AR27" s="220"/>
      <c r="AS27" s="220"/>
      <c r="AT27" s="220"/>
      <c r="AU27" s="220"/>
      <c r="AV27" s="220"/>
      <c r="AW27" s="220"/>
      <c r="AX27" s="220"/>
      <c r="AY27" s="220"/>
      <c r="AZ27" s="220"/>
    </row>
    <row r="28" ht="26.25" customHeight="1">
      <c r="A28" s="235"/>
      <c r="B28" s="236" t="s">
        <v>532</v>
      </c>
      <c r="C28" s="189">
        <v>31.0</v>
      </c>
      <c r="D28" s="189">
        <v>6.0</v>
      </c>
      <c r="E28" s="189">
        <v>6.0</v>
      </c>
      <c r="F28" s="231">
        <f>E39</f>
        <v>524475</v>
      </c>
      <c r="G28" s="189">
        <v>0.3</v>
      </c>
      <c r="H28" s="232">
        <f t="shared" si="3"/>
        <v>944055</v>
      </c>
      <c r="I28" s="232">
        <f t="shared" si="4"/>
        <v>29265705</v>
      </c>
      <c r="J28" s="218"/>
      <c r="K28" s="233"/>
      <c r="L28" s="233"/>
      <c r="M28" s="233"/>
      <c r="N28" s="233"/>
      <c r="O28" s="233"/>
      <c r="P28" s="233"/>
      <c r="Q28" s="234"/>
      <c r="R28" s="234"/>
      <c r="S28" s="219"/>
      <c r="T28" s="218"/>
      <c r="U28" s="218"/>
      <c r="V28" s="218"/>
      <c r="W28" s="218"/>
      <c r="X28" s="218"/>
      <c r="Y28" s="218"/>
      <c r="Z28" s="218"/>
      <c r="AA28" s="218"/>
      <c r="AB28" s="218"/>
      <c r="AC28" s="218"/>
      <c r="AD28" s="218"/>
      <c r="AE28" s="218"/>
      <c r="AF28" s="218"/>
      <c r="AG28" s="218"/>
      <c r="AH28" s="218"/>
      <c r="AI28" s="218"/>
      <c r="AJ28" s="218"/>
      <c r="AK28" s="218"/>
      <c r="AL28" s="218"/>
      <c r="AM28" s="218"/>
      <c r="AN28" s="218"/>
      <c r="AO28" s="220"/>
      <c r="AP28" s="220"/>
      <c r="AQ28" s="220"/>
      <c r="AR28" s="220"/>
      <c r="AS28" s="220"/>
      <c r="AT28" s="220"/>
      <c r="AU28" s="220"/>
      <c r="AV28" s="220"/>
      <c r="AW28" s="220"/>
      <c r="AX28" s="220"/>
      <c r="AY28" s="220"/>
      <c r="AZ28" s="220"/>
    </row>
    <row r="29" ht="26.25" customHeight="1">
      <c r="A29" s="235"/>
      <c r="B29" s="236" t="s">
        <v>533</v>
      </c>
      <c r="C29" s="189">
        <v>30.0</v>
      </c>
      <c r="D29" s="189">
        <v>6.0</v>
      </c>
      <c r="E29" s="189">
        <v>6.0</v>
      </c>
      <c r="F29" s="231">
        <f>E39</f>
        <v>524475</v>
      </c>
      <c r="G29" s="189">
        <v>0.3</v>
      </c>
      <c r="H29" s="232">
        <f t="shared" si="3"/>
        <v>944055</v>
      </c>
      <c r="I29" s="232">
        <f t="shared" si="4"/>
        <v>28321650</v>
      </c>
      <c r="J29" s="218"/>
      <c r="K29" s="233"/>
      <c r="L29" s="233"/>
      <c r="M29" s="233"/>
      <c r="N29" s="233"/>
      <c r="O29" s="233"/>
      <c r="P29" s="233"/>
      <c r="Q29" s="234"/>
      <c r="R29" s="234"/>
      <c r="S29" s="219"/>
      <c r="T29" s="218"/>
      <c r="U29" s="218"/>
      <c r="V29" s="218"/>
      <c r="W29" s="218"/>
      <c r="X29" s="218"/>
      <c r="Y29" s="218"/>
      <c r="Z29" s="218"/>
      <c r="AA29" s="218"/>
      <c r="AB29" s="218"/>
      <c r="AC29" s="218"/>
      <c r="AD29" s="218"/>
      <c r="AE29" s="218"/>
      <c r="AF29" s="218"/>
      <c r="AG29" s="218"/>
      <c r="AH29" s="218"/>
      <c r="AI29" s="218"/>
      <c r="AJ29" s="218"/>
      <c r="AK29" s="218"/>
      <c r="AL29" s="218"/>
      <c r="AM29" s="218"/>
      <c r="AN29" s="218"/>
      <c r="AO29" s="220"/>
      <c r="AP29" s="220"/>
      <c r="AQ29" s="220"/>
      <c r="AR29" s="220"/>
      <c r="AS29" s="220"/>
      <c r="AT29" s="220"/>
      <c r="AU29" s="220"/>
      <c r="AV29" s="220"/>
      <c r="AW29" s="220"/>
      <c r="AX29" s="220"/>
      <c r="AY29" s="220"/>
      <c r="AZ29" s="220"/>
    </row>
    <row r="30" ht="26.25" customHeight="1">
      <c r="A30" s="235"/>
      <c r="B30" s="236" t="s">
        <v>534</v>
      </c>
      <c r="C30" s="189">
        <v>31.0</v>
      </c>
      <c r="D30" s="189">
        <v>6.0</v>
      </c>
      <c r="E30" s="189">
        <v>6.0</v>
      </c>
      <c r="F30" s="231">
        <f>C39</f>
        <v>582750</v>
      </c>
      <c r="G30" s="189">
        <v>0.8</v>
      </c>
      <c r="H30" s="232">
        <f t="shared" si="3"/>
        <v>2797200</v>
      </c>
      <c r="I30" s="232">
        <f t="shared" si="4"/>
        <v>86713200</v>
      </c>
      <c r="J30" s="218"/>
      <c r="K30" s="233"/>
      <c r="L30" s="233"/>
      <c r="M30" s="233"/>
      <c r="N30" s="233"/>
      <c r="O30" s="233"/>
      <c r="P30" s="233"/>
      <c r="Q30" s="234"/>
      <c r="R30" s="234"/>
      <c r="S30" s="219"/>
      <c r="T30" s="218"/>
      <c r="U30" s="218"/>
      <c r="V30" s="218"/>
      <c r="W30" s="218"/>
      <c r="X30" s="218"/>
      <c r="Y30" s="218"/>
      <c r="Z30" s="218"/>
      <c r="AA30" s="218"/>
      <c r="AB30" s="218"/>
      <c r="AC30" s="218"/>
      <c r="AD30" s="218"/>
      <c r="AE30" s="218"/>
      <c r="AF30" s="218"/>
      <c r="AG30" s="218"/>
      <c r="AH30" s="218"/>
      <c r="AI30" s="218"/>
      <c r="AJ30" s="218"/>
      <c r="AK30" s="218"/>
      <c r="AL30" s="218"/>
      <c r="AM30" s="218"/>
      <c r="AN30" s="218"/>
      <c r="AO30" s="220"/>
      <c r="AP30" s="220"/>
      <c r="AQ30" s="220"/>
      <c r="AR30" s="220"/>
      <c r="AS30" s="220"/>
      <c r="AT30" s="220"/>
      <c r="AU30" s="220"/>
      <c r="AV30" s="220"/>
      <c r="AW30" s="220"/>
      <c r="AX30" s="220"/>
      <c r="AY30" s="220"/>
      <c r="AZ30" s="220"/>
    </row>
    <row r="31" ht="26.25" customHeight="1">
      <c r="A31" s="235"/>
      <c r="B31" s="236" t="s">
        <v>535</v>
      </c>
      <c r="C31" s="189">
        <v>31.0</v>
      </c>
      <c r="D31" s="189">
        <v>6.0</v>
      </c>
      <c r="E31" s="189">
        <v>6.0</v>
      </c>
      <c r="F31" s="231">
        <f>C39</f>
        <v>582750</v>
      </c>
      <c r="G31" s="189">
        <v>0.8</v>
      </c>
      <c r="H31" s="232">
        <f t="shared" si="3"/>
        <v>2797200</v>
      </c>
      <c r="I31" s="232">
        <f t="shared" si="4"/>
        <v>86713200</v>
      </c>
      <c r="J31" s="218"/>
      <c r="K31" s="233"/>
      <c r="L31" s="233"/>
      <c r="M31" s="233"/>
      <c r="N31" s="233"/>
      <c r="O31" s="233"/>
      <c r="P31" s="233"/>
      <c r="Q31" s="234"/>
      <c r="R31" s="234"/>
      <c r="S31" s="219"/>
      <c r="T31" s="218"/>
      <c r="U31" s="218"/>
      <c r="V31" s="218"/>
      <c r="W31" s="218"/>
      <c r="X31" s="218"/>
      <c r="Y31" s="218"/>
      <c r="Z31" s="218"/>
      <c r="AA31" s="218"/>
      <c r="AB31" s="218"/>
      <c r="AC31" s="218"/>
      <c r="AD31" s="218"/>
      <c r="AE31" s="218"/>
      <c r="AF31" s="218"/>
      <c r="AG31" s="218"/>
      <c r="AH31" s="218"/>
      <c r="AI31" s="218"/>
      <c r="AJ31" s="218"/>
      <c r="AK31" s="218"/>
      <c r="AL31" s="218"/>
      <c r="AM31" s="218"/>
      <c r="AN31" s="218"/>
      <c r="AO31" s="220"/>
      <c r="AP31" s="220"/>
      <c r="AQ31" s="220"/>
      <c r="AR31" s="220"/>
      <c r="AS31" s="220"/>
      <c r="AT31" s="220"/>
      <c r="AU31" s="220"/>
      <c r="AV31" s="220"/>
      <c r="AW31" s="220"/>
      <c r="AX31" s="220"/>
      <c r="AY31" s="220"/>
      <c r="AZ31" s="220"/>
    </row>
    <row r="32" ht="26.25" customHeight="1">
      <c r="A32" s="235"/>
      <c r="B32" s="236" t="s">
        <v>536</v>
      </c>
      <c r="C32" s="189">
        <v>30.0</v>
      </c>
      <c r="D32" s="189">
        <v>6.0</v>
      </c>
      <c r="E32" s="189">
        <v>6.0</v>
      </c>
      <c r="F32" s="231">
        <f>E39</f>
        <v>524475</v>
      </c>
      <c r="G32" s="189">
        <v>0.4</v>
      </c>
      <c r="H32" s="232">
        <f t="shared" si="3"/>
        <v>1258740</v>
      </c>
      <c r="I32" s="232">
        <f t="shared" si="4"/>
        <v>37762200</v>
      </c>
      <c r="J32" s="218"/>
      <c r="K32" s="233"/>
      <c r="L32" s="233"/>
      <c r="M32" s="233"/>
      <c r="N32" s="233"/>
      <c r="O32" s="233"/>
      <c r="P32" s="233"/>
      <c r="Q32" s="234"/>
      <c r="R32" s="234"/>
      <c r="S32" s="219"/>
      <c r="T32" s="218"/>
      <c r="U32" s="218"/>
      <c r="V32" s="218"/>
      <c r="W32" s="218"/>
      <c r="X32" s="218"/>
      <c r="Y32" s="218"/>
      <c r="Z32" s="218"/>
      <c r="AA32" s="218"/>
      <c r="AB32" s="218"/>
      <c r="AC32" s="218"/>
      <c r="AD32" s="218"/>
      <c r="AE32" s="218"/>
      <c r="AF32" s="218"/>
      <c r="AG32" s="218"/>
      <c r="AH32" s="218"/>
      <c r="AI32" s="218"/>
      <c r="AJ32" s="218"/>
      <c r="AK32" s="218"/>
      <c r="AL32" s="218"/>
      <c r="AM32" s="218"/>
      <c r="AN32" s="218"/>
      <c r="AO32" s="220"/>
      <c r="AP32" s="220"/>
      <c r="AQ32" s="220"/>
      <c r="AR32" s="220"/>
      <c r="AS32" s="220"/>
      <c r="AT32" s="220"/>
      <c r="AU32" s="220"/>
      <c r="AV32" s="220"/>
      <c r="AW32" s="220"/>
      <c r="AX32" s="220"/>
      <c r="AY32" s="220"/>
      <c r="AZ32" s="220"/>
    </row>
    <row r="33" ht="26.25" customHeight="1">
      <c r="A33" s="235"/>
      <c r="B33" s="236" t="s">
        <v>537</v>
      </c>
      <c r="C33" s="189">
        <v>31.0</v>
      </c>
      <c r="D33" s="189">
        <v>6.0</v>
      </c>
      <c r="E33" s="189">
        <v>6.0</v>
      </c>
      <c r="F33" s="231">
        <f>D39</f>
        <v>553612.5</v>
      </c>
      <c r="G33" s="189">
        <v>0.5</v>
      </c>
      <c r="H33" s="232">
        <f t="shared" si="3"/>
        <v>1660837.5</v>
      </c>
      <c r="I33" s="232">
        <f t="shared" si="4"/>
        <v>51485962.5</v>
      </c>
      <c r="J33" s="218"/>
      <c r="K33" s="233"/>
      <c r="L33" s="233"/>
      <c r="M33" s="233"/>
      <c r="N33" s="233"/>
      <c r="O33" s="233"/>
      <c r="P33" s="233"/>
      <c r="Q33" s="234"/>
      <c r="R33" s="234"/>
      <c r="S33" s="219"/>
      <c r="T33" s="218"/>
      <c r="U33" s="218"/>
      <c r="V33" s="218"/>
      <c r="W33" s="218"/>
      <c r="X33" s="218"/>
      <c r="Y33" s="218"/>
      <c r="Z33" s="218"/>
      <c r="AA33" s="218"/>
      <c r="AB33" s="218"/>
      <c r="AC33" s="218"/>
      <c r="AD33" s="218"/>
      <c r="AE33" s="218"/>
      <c r="AF33" s="218"/>
      <c r="AG33" s="218"/>
      <c r="AH33" s="218"/>
      <c r="AI33" s="218"/>
      <c r="AJ33" s="218"/>
      <c r="AK33" s="218"/>
      <c r="AL33" s="218"/>
      <c r="AM33" s="218"/>
      <c r="AN33" s="218"/>
      <c r="AO33" s="220"/>
      <c r="AP33" s="220"/>
      <c r="AQ33" s="220"/>
      <c r="AR33" s="220"/>
      <c r="AS33" s="220"/>
      <c r="AT33" s="220"/>
      <c r="AU33" s="220"/>
      <c r="AV33" s="220"/>
      <c r="AW33" s="220"/>
      <c r="AX33" s="220"/>
      <c r="AY33" s="220"/>
      <c r="AZ33" s="220"/>
    </row>
    <row r="34" ht="26.25" customHeight="1">
      <c r="A34" s="235"/>
      <c r="B34" s="236" t="s">
        <v>538</v>
      </c>
      <c r="C34" s="189">
        <v>30.0</v>
      </c>
      <c r="D34" s="189">
        <v>6.0</v>
      </c>
      <c r="E34" s="189">
        <v>6.0</v>
      </c>
      <c r="F34" s="231">
        <f>D39</f>
        <v>553612.5</v>
      </c>
      <c r="G34" s="189">
        <v>0.5</v>
      </c>
      <c r="H34" s="232">
        <f t="shared" si="3"/>
        <v>1660837.5</v>
      </c>
      <c r="I34" s="232">
        <f t="shared" si="4"/>
        <v>49825125</v>
      </c>
      <c r="J34" s="218"/>
      <c r="K34" s="233"/>
      <c r="L34" s="233"/>
      <c r="M34" s="233"/>
      <c r="N34" s="233"/>
      <c r="O34" s="233"/>
      <c r="P34" s="233"/>
      <c r="Q34" s="234"/>
      <c r="R34" s="234"/>
      <c r="S34" s="219"/>
      <c r="T34" s="218"/>
      <c r="U34" s="218"/>
      <c r="V34" s="218"/>
      <c r="W34" s="218"/>
      <c r="X34" s="218"/>
      <c r="Y34" s="218"/>
      <c r="Z34" s="218"/>
      <c r="AA34" s="218"/>
      <c r="AB34" s="218"/>
      <c r="AC34" s="218"/>
      <c r="AD34" s="218"/>
      <c r="AE34" s="218"/>
      <c r="AF34" s="218"/>
      <c r="AG34" s="218"/>
      <c r="AH34" s="218"/>
      <c r="AI34" s="218"/>
      <c r="AJ34" s="218"/>
      <c r="AK34" s="218"/>
      <c r="AL34" s="218"/>
      <c r="AM34" s="218"/>
      <c r="AN34" s="218"/>
      <c r="AO34" s="220"/>
      <c r="AP34" s="220"/>
      <c r="AQ34" s="220"/>
      <c r="AR34" s="220"/>
      <c r="AS34" s="220"/>
      <c r="AT34" s="220"/>
      <c r="AU34" s="220"/>
      <c r="AV34" s="220"/>
      <c r="AW34" s="220"/>
      <c r="AX34" s="220"/>
      <c r="AY34" s="220"/>
      <c r="AZ34" s="220"/>
    </row>
    <row r="35" ht="26.25" customHeight="1">
      <c r="A35" s="235"/>
      <c r="B35" s="236" t="s">
        <v>539</v>
      </c>
      <c r="C35" s="189">
        <v>31.0</v>
      </c>
      <c r="D35" s="189">
        <v>6.0</v>
      </c>
      <c r="E35" s="189">
        <v>6.0</v>
      </c>
      <c r="F35" s="231">
        <f>D39</f>
        <v>553612.5</v>
      </c>
      <c r="G35" s="189">
        <v>0.5</v>
      </c>
      <c r="H35" s="232">
        <f t="shared" si="3"/>
        <v>1660837.5</v>
      </c>
      <c r="I35" s="232">
        <f t="shared" si="4"/>
        <v>51485962.5</v>
      </c>
      <c r="J35" s="218"/>
      <c r="K35" s="233"/>
      <c r="L35" s="233"/>
      <c r="M35" s="233"/>
      <c r="N35" s="233"/>
      <c r="O35" s="233"/>
      <c r="P35" s="233"/>
      <c r="Q35" s="234"/>
      <c r="R35" s="234"/>
      <c r="S35" s="219"/>
      <c r="T35" s="218"/>
      <c r="U35" s="218"/>
      <c r="V35" s="218"/>
      <c r="W35" s="218"/>
      <c r="X35" s="218"/>
      <c r="Y35" s="218"/>
      <c r="Z35" s="218"/>
      <c r="AA35" s="218"/>
      <c r="AB35" s="218"/>
      <c r="AC35" s="218"/>
      <c r="AD35" s="218"/>
      <c r="AE35" s="218"/>
      <c r="AF35" s="218"/>
      <c r="AG35" s="218"/>
      <c r="AH35" s="218"/>
      <c r="AI35" s="218"/>
      <c r="AJ35" s="218"/>
      <c r="AK35" s="218"/>
      <c r="AL35" s="218"/>
      <c r="AM35" s="218"/>
      <c r="AN35" s="218"/>
      <c r="AO35" s="220"/>
      <c r="AP35" s="220"/>
      <c r="AQ35" s="220"/>
      <c r="AR35" s="220"/>
      <c r="AS35" s="220"/>
      <c r="AT35" s="220"/>
      <c r="AU35" s="220"/>
      <c r="AV35" s="220"/>
      <c r="AW35" s="220"/>
      <c r="AX35" s="220"/>
      <c r="AY35" s="220"/>
      <c r="AZ35" s="220"/>
    </row>
    <row r="36" ht="26.25" customHeight="1">
      <c r="A36" s="219"/>
      <c r="B36" s="218"/>
      <c r="C36" s="218"/>
      <c r="D36" s="218"/>
      <c r="E36" s="218"/>
      <c r="F36" s="218"/>
      <c r="G36" s="218"/>
      <c r="H36" s="240"/>
      <c r="I36" s="218"/>
      <c r="J36" s="218"/>
      <c r="K36" s="219"/>
      <c r="L36" s="219"/>
      <c r="M36" s="219"/>
      <c r="N36" s="219"/>
      <c r="O36" s="219"/>
      <c r="P36" s="219"/>
      <c r="Q36" s="242"/>
      <c r="R36" s="219"/>
      <c r="S36" s="219"/>
      <c r="T36" s="218"/>
      <c r="U36" s="218"/>
      <c r="V36" s="218"/>
      <c r="W36" s="218"/>
      <c r="X36" s="218"/>
      <c r="Y36" s="218"/>
      <c r="Z36" s="218"/>
      <c r="AA36" s="218"/>
      <c r="AB36" s="218"/>
      <c r="AC36" s="218"/>
      <c r="AD36" s="218"/>
      <c r="AE36" s="218"/>
      <c r="AF36" s="218"/>
      <c r="AG36" s="218"/>
      <c r="AH36" s="218"/>
      <c r="AI36" s="218"/>
      <c r="AJ36" s="218"/>
      <c r="AK36" s="218"/>
      <c r="AL36" s="218"/>
      <c r="AM36" s="218"/>
      <c r="AN36" s="218"/>
      <c r="AO36" s="220"/>
      <c r="AP36" s="220"/>
      <c r="AQ36" s="220"/>
      <c r="AR36" s="220"/>
      <c r="AS36" s="220"/>
      <c r="AT36" s="220"/>
      <c r="AU36" s="220"/>
      <c r="AV36" s="220"/>
      <c r="AW36" s="220"/>
      <c r="AX36" s="220"/>
      <c r="AY36" s="220"/>
      <c r="AZ36" s="220"/>
    </row>
    <row r="37" ht="26.25" customHeight="1">
      <c r="A37" s="243"/>
      <c r="B37" s="244" t="s">
        <v>540</v>
      </c>
      <c r="C37" s="245" t="s">
        <v>548</v>
      </c>
      <c r="D37" s="47"/>
      <c r="E37" s="12"/>
      <c r="F37" s="250" t="s">
        <v>549</v>
      </c>
      <c r="G37" s="251">
        <v>1850.0</v>
      </c>
      <c r="H37" s="240"/>
      <c r="I37" s="218"/>
      <c r="J37" s="218"/>
      <c r="K37" s="219"/>
      <c r="L37" s="219"/>
      <c r="M37" s="219"/>
      <c r="N37" s="219"/>
      <c r="O37" s="219"/>
      <c r="P37" s="219"/>
      <c r="Q37" s="242"/>
      <c r="R37" s="219"/>
      <c r="S37" s="219"/>
      <c r="T37" s="218"/>
      <c r="U37" s="218"/>
      <c r="V37" s="218"/>
      <c r="W37" s="218"/>
      <c r="X37" s="218"/>
      <c r="Y37" s="218"/>
      <c r="Z37" s="218"/>
      <c r="AA37" s="218"/>
      <c r="AB37" s="218"/>
      <c r="AC37" s="218"/>
      <c r="AD37" s="218"/>
      <c r="AE37" s="218"/>
      <c r="AF37" s="218"/>
      <c r="AG37" s="218"/>
      <c r="AH37" s="218"/>
      <c r="AI37" s="218"/>
      <c r="AJ37" s="218"/>
      <c r="AK37" s="218"/>
      <c r="AL37" s="218"/>
      <c r="AM37" s="218"/>
      <c r="AN37" s="218"/>
      <c r="AO37" s="220"/>
      <c r="AP37" s="220"/>
      <c r="AQ37" s="220"/>
      <c r="AR37" s="220"/>
      <c r="AS37" s="220"/>
      <c r="AT37" s="220"/>
      <c r="AU37" s="220"/>
      <c r="AV37" s="220"/>
      <c r="AW37" s="220"/>
      <c r="AX37" s="220"/>
      <c r="AY37" s="220"/>
      <c r="AZ37" s="220"/>
    </row>
    <row r="38" ht="26.25" customHeight="1">
      <c r="A38" s="243"/>
      <c r="B38" s="33"/>
      <c r="C38" s="246" t="s">
        <v>542</v>
      </c>
      <c r="D38" s="247" t="s">
        <v>543</v>
      </c>
      <c r="E38" s="246" t="s">
        <v>544</v>
      </c>
      <c r="F38" s="218"/>
      <c r="G38" s="218"/>
      <c r="H38" s="240"/>
      <c r="I38" s="218"/>
      <c r="J38" s="218"/>
      <c r="K38" s="219"/>
      <c r="L38" s="219"/>
      <c r="M38" s="219"/>
      <c r="N38" s="219"/>
      <c r="O38" s="219"/>
      <c r="P38" s="219"/>
      <c r="Q38" s="242"/>
      <c r="R38" s="219"/>
      <c r="S38" s="219"/>
      <c r="T38" s="218"/>
      <c r="U38" s="218"/>
      <c r="V38" s="218"/>
      <c r="W38" s="218"/>
      <c r="X38" s="218"/>
      <c r="Y38" s="218"/>
      <c r="Z38" s="218"/>
      <c r="AA38" s="218"/>
      <c r="AB38" s="218"/>
      <c r="AC38" s="218"/>
      <c r="AD38" s="218"/>
      <c r="AE38" s="218"/>
      <c r="AF38" s="218"/>
      <c r="AG38" s="218"/>
      <c r="AH38" s="218"/>
      <c r="AI38" s="218"/>
      <c r="AJ38" s="218"/>
      <c r="AK38" s="218"/>
      <c r="AL38" s="218"/>
      <c r="AM38" s="218"/>
      <c r="AN38" s="218"/>
      <c r="AO38" s="220"/>
      <c r="AP38" s="220"/>
      <c r="AQ38" s="220"/>
      <c r="AR38" s="220"/>
      <c r="AS38" s="220"/>
      <c r="AT38" s="220"/>
      <c r="AU38" s="220"/>
      <c r="AV38" s="220"/>
      <c r="AW38" s="220"/>
      <c r="AX38" s="220"/>
      <c r="AY38" s="220"/>
      <c r="AZ38" s="220"/>
    </row>
    <row r="39" ht="26.25" customHeight="1">
      <c r="A39" s="248"/>
      <c r="B39" s="249" t="s">
        <v>545</v>
      </c>
      <c r="C39" s="231">
        <f>300*G37*G39</f>
        <v>582750</v>
      </c>
      <c r="D39" s="231">
        <f>285*G37*G39</f>
        <v>553612.5</v>
      </c>
      <c r="E39" s="231">
        <f>270*G37*G39</f>
        <v>524475</v>
      </c>
      <c r="F39" s="252" t="s">
        <v>550</v>
      </c>
      <c r="G39" s="253">
        <v>1.05</v>
      </c>
      <c r="H39" s="240"/>
      <c r="I39" s="218"/>
      <c r="J39" s="218"/>
      <c r="K39" s="219"/>
      <c r="L39" s="219"/>
      <c r="M39" s="219"/>
      <c r="N39" s="219"/>
      <c r="O39" s="219"/>
      <c r="P39" s="219"/>
      <c r="Q39" s="242"/>
      <c r="R39" s="219"/>
      <c r="S39" s="219"/>
      <c r="T39" s="218"/>
      <c r="U39" s="218"/>
      <c r="V39" s="218"/>
      <c r="W39" s="218"/>
      <c r="X39" s="218"/>
      <c r="Y39" s="218"/>
      <c r="Z39" s="218"/>
      <c r="AA39" s="218"/>
      <c r="AB39" s="218"/>
      <c r="AC39" s="218"/>
      <c r="AD39" s="218"/>
      <c r="AE39" s="218"/>
      <c r="AF39" s="218"/>
      <c r="AG39" s="218"/>
      <c r="AH39" s="218"/>
      <c r="AI39" s="218"/>
      <c r="AJ39" s="218"/>
      <c r="AK39" s="218"/>
      <c r="AL39" s="218"/>
      <c r="AM39" s="218"/>
      <c r="AN39" s="218"/>
      <c r="AO39" s="220"/>
      <c r="AP39" s="220"/>
      <c r="AQ39" s="220"/>
      <c r="AR39" s="220"/>
      <c r="AS39" s="220"/>
      <c r="AT39" s="220"/>
      <c r="AU39" s="220"/>
      <c r="AV39" s="220"/>
      <c r="AW39" s="220"/>
      <c r="AX39" s="220"/>
      <c r="AY39" s="220"/>
      <c r="AZ39" s="220"/>
    </row>
    <row r="40" ht="26.25" customHeight="1">
      <c r="A40" s="219"/>
      <c r="B40" s="218"/>
      <c r="C40" s="218"/>
      <c r="D40" s="218"/>
      <c r="E40" s="218"/>
      <c r="F40" s="218"/>
      <c r="G40" s="218"/>
      <c r="H40" s="218"/>
      <c r="I40" s="218"/>
      <c r="J40" s="218"/>
      <c r="K40" s="219"/>
      <c r="L40" s="219"/>
      <c r="M40" s="219"/>
      <c r="N40" s="219"/>
      <c r="O40" s="219"/>
      <c r="P40" s="219"/>
      <c r="Q40" s="219"/>
      <c r="R40" s="219"/>
      <c r="S40" s="219"/>
      <c r="T40" s="218"/>
      <c r="U40" s="218"/>
      <c r="V40" s="218"/>
      <c r="W40" s="218"/>
      <c r="X40" s="218"/>
      <c r="Y40" s="218"/>
      <c r="Z40" s="218"/>
      <c r="AA40" s="218"/>
      <c r="AB40" s="218"/>
      <c r="AC40" s="218"/>
      <c r="AD40" s="218"/>
      <c r="AE40" s="218"/>
      <c r="AF40" s="218"/>
      <c r="AG40" s="218"/>
      <c r="AH40" s="218"/>
      <c r="AI40" s="218"/>
      <c r="AJ40" s="218"/>
      <c r="AK40" s="218"/>
      <c r="AL40" s="218"/>
      <c r="AM40" s="218"/>
      <c r="AN40" s="218"/>
      <c r="AO40" s="220"/>
      <c r="AP40" s="218"/>
      <c r="AQ40" s="218"/>
      <c r="AR40" s="220"/>
      <c r="AS40" s="220"/>
      <c r="AT40" s="220"/>
      <c r="AU40" s="220"/>
      <c r="AV40" s="220"/>
      <c r="AW40" s="220"/>
      <c r="AX40" s="220"/>
      <c r="AY40" s="220"/>
      <c r="AZ40" s="220"/>
    </row>
    <row r="41" ht="26.25" customHeight="1">
      <c r="A41" s="223"/>
      <c r="B41" s="254" t="s">
        <v>551</v>
      </c>
      <c r="C41" s="47"/>
      <c r="D41" s="47"/>
      <c r="E41" s="47"/>
      <c r="F41" s="47"/>
      <c r="G41" s="47"/>
      <c r="H41" s="47"/>
      <c r="I41" s="12"/>
      <c r="J41" s="59"/>
      <c r="K41" s="223"/>
      <c r="L41" s="223"/>
      <c r="M41" s="223"/>
      <c r="N41" s="223"/>
      <c r="O41" s="223"/>
      <c r="P41" s="223"/>
      <c r="Q41" s="223"/>
      <c r="R41" s="223"/>
      <c r="S41" s="225"/>
      <c r="T41" s="218"/>
      <c r="U41" s="218"/>
      <c r="V41" s="218"/>
      <c r="W41" s="218"/>
      <c r="X41" s="218"/>
      <c r="Y41" s="218"/>
      <c r="Z41" s="218"/>
      <c r="AA41" s="218"/>
      <c r="AB41" s="218"/>
      <c r="AC41" s="218"/>
      <c r="AD41" s="218"/>
      <c r="AE41" s="218"/>
      <c r="AF41" s="218"/>
      <c r="AG41" s="218"/>
      <c r="AH41" s="218"/>
      <c r="AI41" s="218"/>
      <c r="AJ41" s="218"/>
      <c r="AK41" s="218"/>
      <c r="AL41" s="218"/>
      <c r="AM41" s="218"/>
      <c r="AN41" s="218"/>
      <c r="AO41" s="220"/>
      <c r="AP41" s="218"/>
      <c r="AQ41" s="218"/>
      <c r="AR41" s="220"/>
      <c r="AS41" s="220"/>
      <c r="AT41" s="220"/>
      <c r="AU41" s="220"/>
      <c r="AV41" s="220"/>
      <c r="AW41" s="220"/>
      <c r="AX41" s="220"/>
      <c r="AY41" s="220"/>
      <c r="AZ41" s="220"/>
    </row>
    <row r="42" ht="26.25" customHeight="1">
      <c r="A42" s="226"/>
      <c r="B42" s="227" t="s">
        <v>520</v>
      </c>
      <c r="C42" s="227" t="s">
        <v>521</v>
      </c>
      <c r="D42" s="227" t="s">
        <v>522</v>
      </c>
      <c r="E42" s="227" t="s">
        <v>523</v>
      </c>
      <c r="F42" s="227" t="s">
        <v>547</v>
      </c>
      <c r="G42" s="227" t="s">
        <v>525</v>
      </c>
      <c r="H42" s="227" t="s">
        <v>526</v>
      </c>
      <c r="I42" s="227" t="s">
        <v>527</v>
      </c>
      <c r="J42" s="98" t="s">
        <v>5</v>
      </c>
      <c r="K42" s="226"/>
      <c r="L42" s="226"/>
      <c r="M42" s="226"/>
      <c r="N42" s="226"/>
      <c r="O42" s="226"/>
      <c r="P42" s="226"/>
      <c r="Q42" s="226"/>
      <c r="R42" s="226"/>
      <c r="S42" s="229"/>
      <c r="T42" s="218"/>
      <c r="U42" s="218"/>
      <c r="V42" s="218"/>
      <c r="W42" s="218"/>
      <c r="X42" s="218"/>
      <c r="Y42" s="218"/>
      <c r="Z42" s="218"/>
      <c r="AA42" s="218"/>
      <c r="AB42" s="218"/>
      <c r="AC42" s="218"/>
      <c r="AD42" s="218"/>
      <c r="AE42" s="218"/>
      <c r="AF42" s="218"/>
      <c r="AG42" s="218"/>
      <c r="AH42" s="218"/>
      <c r="AI42" s="218"/>
      <c r="AJ42" s="218"/>
      <c r="AK42" s="218"/>
      <c r="AL42" s="218"/>
      <c r="AM42" s="218"/>
      <c r="AN42" s="218"/>
      <c r="AO42" s="220"/>
      <c r="AP42" s="218"/>
      <c r="AQ42" s="218"/>
      <c r="AR42" s="220"/>
      <c r="AS42" s="220"/>
      <c r="AT42" s="220"/>
      <c r="AU42" s="220"/>
      <c r="AV42" s="220"/>
      <c r="AW42" s="220"/>
      <c r="AX42" s="220"/>
      <c r="AY42" s="220"/>
      <c r="AZ42" s="220"/>
    </row>
    <row r="43" ht="26.25" customHeight="1">
      <c r="A43" s="226"/>
      <c r="B43" s="230" t="s">
        <v>528</v>
      </c>
      <c r="C43" s="180">
        <v>31.0</v>
      </c>
      <c r="D43" s="189">
        <v>6.0</v>
      </c>
      <c r="E43" s="189">
        <v>6.0</v>
      </c>
      <c r="F43" s="231">
        <f>C58</f>
        <v>661500</v>
      </c>
      <c r="G43" s="189">
        <v>0.9</v>
      </c>
      <c r="H43" s="232">
        <f t="shared" ref="H43:H54" si="5">(E43*F43*G43)</f>
        <v>3572100</v>
      </c>
      <c r="I43" s="232">
        <f t="shared" ref="I43:I54" si="6">H43*C43</f>
        <v>110735100</v>
      </c>
      <c r="J43" s="218"/>
      <c r="K43" s="221"/>
      <c r="L43" s="221"/>
      <c r="M43" s="221"/>
      <c r="N43" s="221"/>
      <c r="O43" s="221"/>
      <c r="P43" s="233"/>
      <c r="Q43" s="234"/>
      <c r="R43" s="234"/>
      <c r="S43" s="219"/>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20"/>
      <c r="AS43" s="220"/>
      <c r="AT43" s="220"/>
      <c r="AU43" s="220"/>
      <c r="AV43" s="220"/>
      <c r="AW43" s="220"/>
      <c r="AX43" s="220"/>
      <c r="AY43" s="220"/>
      <c r="AZ43" s="220"/>
    </row>
    <row r="44" ht="26.25" customHeight="1">
      <c r="A44" s="235"/>
      <c r="B44" s="236" t="s">
        <v>529</v>
      </c>
      <c r="C44" s="180">
        <v>28.0</v>
      </c>
      <c r="D44" s="189">
        <v>6.0</v>
      </c>
      <c r="E44" s="189">
        <v>6.0</v>
      </c>
      <c r="F44" s="231">
        <f>C58</f>
        <v>661500</v>
      </c>
      <c r="G44" s="189">
        <v>0.9</v>
      </c>
      <c r="H44" s="232">
        <f t="shared" si="5"/>
        <v>3572100</v>
      </c>
      <c r="I44" s="232">
        <f t="shared" si="6"/>
        <v>100018800</v>
      </c>
      <c r="J44" s="218"/>
      <c r="K44" s="221"/>
      <c r="L44" s="221"/>
      <c r="M44" s="221"/>
      <c r="N44" s="221"/>
      <c r="O44" s="221"/>
      <c r="P44" s="233"/>
      <c r="Q44" s="234"/>
      <c r="R44" s="234"/>
      <c r="S44" s="219"/>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20"/>
      <c r="AS44" s="220"/>
      <c r="AT44" s="220"/>
      <c r="AU44" s="220"/>
      <c r="AV44" s="220"/>
      <c r="AW44" s="220"/>
      <c r="AX44" s="220"/>
      <c r="AY44" s="220"/>
      <c r="AZ44" s="220"/>
    </row>
    <row r="45" ht="26.25" customHeight="1">
      <c r="A45" s="235"/>
      <c r="B45" s="236" t="s">
        <v>530</v>
      </c>
      <c r="C45" s="180">
        <v>31.0</v>
      </c>
      <c r="D45" s="189">
        <v>6.0</v>
      </c>
      <c r="E45" s="189">
        <v>6.0</v>
      </c>
      <c r="F45" s="231">
        <f>D58</f>
        <v>628425</v>
      </c>
      <c r="G45" s="189">
        <v>0.7</v>
      </c>
      <c r="H45" s="232">
        <f t="shared" si="5"/>
        <v>2639385</v>
      </c>
      <c r="I45" s="232">
        <f t="shared" si="6"/>
        <v>81820935</v>
      </c>
      <c r="J45" s="238"/>
      <c r="K45" s="233"/>
      <c r="L45" s="233"/>
      <c r="M45" s="233"/>
      <c r="N45" s="233"/>
      <c r="O45" s="233"/>
      <c r="P45" s="233"/>
      <c r="Q45" s="234"/>
      <c r="R45" s="234"/>
      <c r="S45" s="239"/>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20"/>
      <c r="AS45" s="220"/>
      <c r="AT45" s="220"/>
      <c r="AU45" s="220"/>
      <c r="AV45" s="220"/>
      <c r="AW45" s="220"/>
      <c r="AX45" s="220"/>
      <c r="AY45" s="220"/>
      <c r="AZ45" s="220"/>
    </row>
    <row r="46" ht="26.25" customHeight="1">
      <c r="A46" s="235"/>
      <c r="B46" s="236" t="s">
        <v>531</v>
      </c>
      <c r="C46" s="189">
        <v>30.0</v>
      </c>
      <c r="D46" s="189">
        <v>6.0</v>
      </c>
      <c r="E46" s="189">
        <v>6.0</v>
      </c>
      <c r="F46" s="231">
        <f>D58</f>
        <v>628425</v>
      </c>
      <c r="G46" s="189">
        <v>0.7</v>
      </c>
      <c r="H46" s="232">
        <f t="shared" si="5"/>
        <v>2639385</v>
      </c>
      <c r="I46" s="232">
        <f t="shared" si="6"/>
        <v>79181550</v>
      </c>
      <c r="J46" s="237"/>
      <c r="K46" s="233"/>
      <c r="L46" s="233"/>
      <c r="M46" s="233"/>
      <c r="N46" s="233"/>
      <c r="O46" s="233"/>
      <c r="P46" s="233"/>
      <c r="Q46" s="234"/>
      <c r="R46" s="234"/>
      <c r="S46" s="241"/>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20"/>
      <c r="AS46" s="220"/>
      <c r="AT46" s="220"/>
      <c r="AU46" s="220"/>
      <c r="AV46" s="220"/>
      <c r="AW46" s="220"/>
      <c r="AX46" s="220"/>
      <c r="AY46" s="220"/>
      <c r="AZ46" s="220"/>
    </row>
    <row r="47" ht="26.25" customHeight="1">
      <c r="A47" s="235"/>
      <c r="B47" s="236" t="s">
        <v>532</v>
      </c>
      <c r="C47" s="189">
        <v>31.0</v>
      </c>
      <c r="D47" s="189">
        <v>6.0</v>
      </c>
      <c r="E47" s="189">
        <v>6.0</v>
      </c>
      <c r="F47" s="231">
        <f>E58</f>
        <v>595350</v>
      </c>
      <c r="G47" s="189">
        <v>0.4</v>
      </c>
      <c r="H47" s="232">
        <f t="shared" si="5"/>
        <v>1428840</v>
      </c>
      <c r="I47" s="232">
        <f t="shared" si="6"/>
        <v>44294040</v>
      </c>
      <c r="J47" s="218"/>
      <c r="K47" s="233"/>
      <c r="L47" s="233"/>
      <c r="M47" s="233"/>
      <c r="N47" s="233"/>
      <c r="O47" s="233"/>
      <c r="P47" s="233"/>
      <c r="Q47" s="234"/>
      <c r="R47" s="234"/>
      <c r="S47" s="219"/>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20"/>
      <c r="AS47" s="220"/>
      <c r="AT47" s="220"/>
      <c r="AU47" s="220"/>
      <c r="AV47" s="220"/>
      <c r="AW47" s="220"/>
      <c r="AX47" s="220"/>
      <c r="AY47" s="220"/>
      <c r="AZ47" s="220"/>
    </row>
    <row r="48" ht="26.25" customHeight="1">
      <c r="A48" s="235"/>
      <c r="B48" s="236" t="s">
        <v>533</v>
      </c>
      <c r="C48" s="189">
        <v>30.0</v>
      </c>
      <c r="D48" s="189">
        <v>6.0</v>
      </c>
      <c r="E48" s="189">
        <v>6.0</v>
      </c>
      <c r="F48" s="231">
        <f>E58</f>
        <v>595350</v>
      </c>
      <c r="G48" s="189">
        <v>0.4</v>
      </c>
      <c r="H48" s="232">
        <f t="shared" si="5"/>
        <v>1428840</v>
      </c>
      <c r="I48" s="232">
        <f t="shared" si="6"/>
        <v>42865200</v>
      </c>
      <c r="J48" s="218"/>
      <c r="K48" s="233"/>
      <c r="L48" s="233"/>
      <c r="M48" s="233"/>
      <c r="N48" s="233"/>
      <c r="O48" s="233"/>
      <c r="P48" s="233"/>
      <c r="Q48" s="234"/>
      <c r="R48" s="234"/>
      <c r="S48" s="219"/>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20"/>
      <c r="AS48" s="220"/>
      <c r="AT48" s="220"/>
      <c r="AU48" s="220"/>
      <c r="AV48" s="220"/>
      <c r="AW48" s="220"/>
      <c r="AX48" s="220"/>
      <c r="AY48" s="220"/>
      <c r="AZ48" s="220"/>
    </row>
    <row r="49" ht="26.25" customHeight="1">
      <c r="A49" s="235"/>
      <c r="B49" s="236" t="s">
        <v>534</v>
      </c>
      <c r="C49" s="189">
        <v>31.0</v>
      </c>
      <c r="D49" s="189">
        <v>6.0</v>
      </c>
      <c r="E49" s="189">
        <v>6.0</v>
      </c>
      <c r="F49" s="231">
        <f>C58</f>
        <v>661500</v>
      </c>
      <c r="G49" s="189">
        <v>1.0</v>
      </c>
      <c r="H49" s="232">
        <f t="shared" si="5"/>
        <v>3969000</v>
      </c>
      <c r="I49" s="232">
        <f t="shared" si="6"/>
        <v>123039000</v>
      </c>
      <c r="J49" s="218"/>
      <c r="K49" s="233"/>
      <c r="L49" s="233"/>
      <c r="M49" s="233"/>
      <c r="N49" s="233"/>
      <c r="O49" s="233"/>
      <c r="P49" s="233"/>
      <c r="Q49" s="234"/>
      <c r="R49" s="234"/>
      <c r="S49" s="219"/>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20"/>
      <c r="AS49" s="220"/>
      <c r="AT49" s="220"/>
      <c r="AU49" s="220"/>
      <c r="AV49" s="220"/>
      <c r="AW49" s="220"/>
      <c r="AX49" s="220"/>
      <c r="AY49" s="220"/>
      <c r="AZ49" s="220"/>
    </row>
    <row r="50" ht="26.25" customHeight="1">
      <c r="A50" s="235"/>
      <c r="B50" s="236" t="s">
        <v>535</v>
      </c>
      <c r="C50" s="189">
        <v>31.0</v>
      </c>
      <c r="D50" s="189">
        <v>6.0</v>
      </c>
      <c r="E50" s="189">
        <v>6.0</v>
      </c>
      <c r="F50" s="231">
        <f>C58</f>
        <v>661500</v>
      </c>
      <c r="G50" s="189">
        <v>1.0</v>
      </c>
      <c r="H50" s="232">
        <f t="shared" si="5"/>
        <v>3969000</v>
      </c>
      <c r="I50" s="232">
        <f t="shared" si="6"/>
        <v>123039000</v>
      </c>
      <c r="J50" s="218"/>
      <c r="K50" s="233"/>
      <c r="L50" s="233"/>
      <c r="M50" s="233"/>
      <c r="N50" s="233"/>
      <c r="O50" s="233"/>
      <c r="P50" s="233"/>
      <c r="Q50" s="234"/>
      <c r="R50" s="234"/>
      <c r="S50" s="219"/>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20"/>
      <c r="AS50" s="220"/>
      <c r="AT50" s="220"/>
      <c r="AU50" s="220"/>
      <c r="AV50" s="220"/>
      <c r="AW50" s="220"/>
      <c r="AX50" s="220"/>
      <c r="AY50" s="220"/>
      <c r="AZ50" s="220"/>
    </row>
    <row r="51" ht="26.25" customHeight="1">
      <c r="A51" s="235"/>
      <c r="B51" s="236" t="s">
        <v>536</v>
      </c>
      <c r="C51" s="189">
        <v>30.0</v>
      </c>
      <c r="D51" s="189">
        <v>6.0</v>
      </c>
      <c r="E51" s="189">
        <v>6.0</v>
      </c>
      <c r="F51" s="231">
        <f>E58</f>
        <v>595350</v>
      </c>
      <c r="G51" s="189">
        <v>0.5</v>
      </c>
      <c r="H51" s="232">
        <f t="shared" si="5"/>
        <v>1786050</v>
      </c>
      <c r="I51" s="232">
        <f t="shared" si="6"/>
        <v>53581500</v>
      </c>
      <c r="J51" s="218"/>
      <c r="K51" s="233"/>
      <c r="L51" s="233"/>
      <c r="M51" s="233"/>
      <c r="N51" s="233"/>
      <c r="O51" s="233"/>
      <c r="P51" s="233"/>
      <c r="Q51" s="234"/>
      <c r="R51" s="234"/>
      <c r="S51" s="219"/>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20"/>
      <c r="AS51" s="220"/>
      <c r="AT51" s="220"/>
      <c r="AU51" s="220"/>
      <c r="AV51" s="220"/>
      <c r="AW51" s="220"/>
      <c r="AX51" s="220"/>
      <c r="AY51" s="220"/>
      <c r="AZ51" s="220"/>
    </row>
    <row r="52" ht="26.25" customHeight="1">
      <c r="A52" s="235"/>
      <c r="B52" s="236" t="s">
        <v>537</v>
      </c>
      <c r="C52" s="189">
        <v>31.0</v>
      </c>
      <c r="D52" s="189">
        <v>6.0</v>
      </c>
      <c r="E52" s="189">
        <v>6.0</v>
      </c>
      <c r="F52" s="231">
        <f>D58</f>
        <v>628425</v>
      </c>
      <c r="G52" s="189">
        <v>0.7</v>
      </c>
      <c r="H52" s="232">
        <f t="shared" si="5"/>
        <v>2639385</v>
      </c>
      <c r="I52" s="232">
        <f t="shared" si="6"/>
        <v>81820935</v>
      </c>
      <c r="J52" s="218"/>
      <c r="K52" s="233"/>
      <c r="L52" s="233"/>
      <c r="M52" s="233"/>
      <c r="N52" s="233"/>
      <c r="O52" s="233"/>
      <c r="P52" s="233"/>
      <c r="Q52" s="234"/>
      <c r="R52" s="234"/>
      <c r="S52" s="219"/>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20"/>
      <c r="AS52" s="220"/>
      <c r="AT52" s="220"/>
      <c r="AU52" s="220"/>
      <c r="AV52" s="220"/>
      <c r="AW52" s="220"/>
      <c r="AX52" s="220"/>
      <c r="AY52" s="220"/>
      <c r="AZ52" s="220"/>
    </row>
    <row r="53" ht="26.25" customHeight="1">
      <c r="A53" s="235"/>
      <c r="B53" s="236" t="s">
        <v>538</v>
      </c>
      <c r="C53" s="189">
        <v>30.0</v>
      </c>
      <c r="D53" s="189">
        <v>6.0</v>
      </c>
      <c r="E53" s="189">
        <v>6.0</v>
      </c>
      <c r="F53" s="231">
        <f>D58</f>
        <v>628425</v>
      </c>
      <c r="G53" s="189">
        <v>0.7</v>
      </c>
      <c r="H53" s="232">
        <f t="shared" si="5"/>
        <v>2639385</v>
      </c>
      <c r="I53" s="232">
        <f t="shared" si="6"/>
        <v>79181550</v>
      </c>
      <c r="J53" s="218"/>
      <c r="K53" s="233"/>
      <c r="L53" s="233"/>
      <c r="M53" s="233"/>
      <c r="N53" s="233"/>
      <c r="O53" s="233"/>
      <c r="P53" s="233"/>
      <c r="Q53" s="234"/>
      <c r="R53" s="234"/>
      <c r="S53" s="219"/>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20"/>
      <c r="AS53" s="220"/>
      <c r="AT53" s="220"/>
      <c r="AU53" s="220"/>
      <c r="AV53" s="220"/>
      <c r="AW53" s="220"/>
      <c r="AX53" s="220"/>
      <c r="AY53" s="220"/>
      <c r="AZ53" s="220"/>
    </row>
    <row r="54" ht="26.25" customHeight="1">
      <c r="A54" s="235"/>
      <c r="B54" s="236" t="s">
        <v>539</v>
      </c>
      <c r="C54" s="189">
        <v>31.0</v>
      </c>
      <c r="D54" s="189">
        <v>6.0</v>
      </c>
      <c r="E54" s="189">
        <v>6.0</v>
      </c>
      <c r="F54" s="231">
        <f>D58</f>
        <v>628425</v>
      </c>
      <c r="G54" s="189">
        <v>0.7</v>
      </c>
      <c r="H54" s="232">
        <f t="shared" si="5"/>
        <v>2639385</v>
      </c>
      <c r="I54" s="232">
        <f t="shared" si="6"/>
        <v>81820935</v>
      </c>
      <c r="J54" s="218"/>
      <c r="K54" s="233"/>
      <c r="L54" s="233"/>
      <c r="M54" s="233"/>
      <c r="N54" s="233"/>
      <c r="O54" s="233"/>
      <c r="P54" s="233"/>
      <c r="Q54" s="234"/>
      <c r="R54" s="234"/>
      <c r="S54" s="219"/>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20"/>
      <c r="AS54" s="220"/>
      <c r="AT54" s="220"/>
      <c r="AU54" s="220"/>
      <c r="AV54" s="220"/>
      <c r="AW54" s="220"/>
      <c r="AX54" s="220"/>
      <c r="AY54" s="220"/>
      <c r="AZ54" s="220"/>
    </row>
    <row r="55" ht="26.25" customHeight="1">
      <c r="A55" s="219"/>
      <c r="B55" s="218"/>
      <c r="C55" s="218"/>
      <c r="D55" s="218"/>
      <c r="E55" s="218"/>
      <c r="F55" s="218"/>
      <c r="G55" s="218"/>
      <c r="H55" s="218"/>
      <c r="I55" s="218"/>
      <c r="J55" s="218"/>
      <c r="K55" s="219"/>
      <c r="L55" s="219"/>
      <c r="M55" s="219"/>
      <c r="N55" s="219"/>
      <c r="O55" s="219"/>
      <c r="P55" s="219"/>
      <c r="Q55" s="219"/>
      <c r="R55" s="219"/>
      <c r="S55" s="219"/>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20"/>
      <c r="AS55" s="220"/>
      <c r="AT55" s="220"/>
      <c r="AU55" s="220"/>
      <c r="AV55" s="220"/>
      <c r="AW55" s="220"/>
      <c r="AX55" s="220"/>
      <c r="AY55" s="220"/>
      <c r="AZ55" s="220"/>
    </row>
    <row r="56" ht="26.25" customHeight="1">
      <c r="A56" s="243"/>
      <c r="B56" s="244" t="s">
        <v>540</v>
      </c>
      <c r="C56" s="245" t="s">
        <v>552</v>
      </c>
      <c r="D56" s="47"/>
      <c r="E56" s="12"/>
      <c r="F56" s="250" t="s">
        <v>549</v>
      </c>
      <c r="G56" s="251">
        <v>2100.0</v>
      </c>
      <c r="H56" s="218"/>
      <c r="I56" s="218"/>
      <c r="J56" s="218"/>
      <c r="K56" s="219"/>
      <c r="L56" s="219"/>
      <c r="M56" s="219"/>
      <c r="N56" s="219"/>
      <c r="O56" s="219"/>
      <c r="P56" s="219"/>
      <c r="Q56" s="219"/>
      <c r="R56" s="219"/>
      <c r="S56" s="219"/>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20"/>
      <c r="AS56" s="220"/>
      <c r="AT56" s="220"/>
      <c r="AU56" s="220"/>
      <c r="AV56" s="220"/>
      <c r="AW56" s="220"/>
      <c r="AX56" s="220"/>
      <c r="AY56" s="220"/>
      <c r="AZ56" s="220"/>
    </row>
    <row r="57" ht="26.25" customHeight="1">
      <c r="A57" s="243"/>
      <c r="B57" s="33"/>
      <c r="C57" s="246" t="s">
        <v>542</v>
      </c>
      <c r="D57" s="247" t="s">
        <v>543</v>
      </c>
      <c r="E57" s="246" t="s">
        <v>544</v>
      </c>
      <c r="F57" s="218"/>
      <c r="G57" s="218"/>
      <c r="H57" s="218"/>
      <c r="I57" s="218"/>
      <c r="J57" s="218"/>
      <c r="K57" s="219"/>
      <c r="L57" s="219"/>
      <c r="M57" s="219"/>
      <c r="N57" s="219"/>
      <c r="O57" s="219"/>
      <c r="P57" s="219"/>
      <c r="Q57" s="219"/>
      <c r="R57" s="219"/>
      <c r="S57" s="219"/>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20"/>
      <c r="AS57" s="220"/>
      <c r="AT57" s="220"/>
      <c r="AU57" s="220"/>
      <c r="AV57" s="220"/>
      <c r="AW57" s="220"/>
      <c r="AX57" s="220"/>
      <c r="AY57" s="220"/>
      <c r="AZ57" s="220"/>
    </row>
    <row r="58" ht="26.25" customHeight="1">
      <c r="A58" s="248"/>
      <c r="B58" s="249" t="s">
        <v>545</v>
      </c>
      <c r="C58" s="231">
        <f>300*G56*G58</f>
        <v>661500</v>
      </c>
      <c r="D58" s="231">
        <f>285*G56*G58</f>
        <v>628425</v>
      </c>
      <c r="E58" s="231">
        <f>270*G56*G58</f>
        <v>595350</v>
      </c>
      <c r="F58" s="252" t="s">
        <v>550</v>
      </c>
      <c r="G58" s="253">
        <v>1.05</v>
      </c>
      <c r="H58" s="218"/>
      <c r="I58" s="218"/>
      <c r="J58" s="218"/>
      <c r="K58" s="219"/>
      <c r="L58" s="219"/>
      <c r="M58" s="219"/>
      <c r="N58" s="219"/>
      <c r="O58" s="219"/>
      <c r="P58" s="219"/>
      <c r="Q58" s="219"/>
      <c r="R58" s="219"/>
      <c r="S58" s="219"/>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20"/>
      <c r="AS58" s="220"/>
      <c r="AT58" s="220"/>
      <c r="AU58" s="220"/>
      <c r="AV58" s="220"/>
      <c r="AW58" s="220"/>
      <c r="AX58" s="220"/>
      <c r="AY58" s="220"/>
      <c r="AZ58" s="220"/>
    </row>
    <row r="59" ht="26.25" customHeight="1">
      <c r="A59" s="219"/>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20"/>
      <c r="AS59" s="220"/>
      <c r="AT59" s="220"/>
      <c r="AU59" s="220"/>
      <c r="AV59" s="220"/>
      <c r="AW59" s="220"/>
      <c r="AX59" s="220"/>
      <c r="AY59" s="220"/>
      <c r="AZ59" s="220"/>
    </row>
    <row r="60" ht="26.25" customHeight="1">
      <c r="A60" s="219"/>
      <c r="B60" s="218"/>
      <c r="C60" s="218"/>
      <c r="D60" s="218"/>
      <c r="E60" s="218"/>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20"/>
      <c r="AS60" s="220"/>
      <c r="AT60" s="220"/>
      <c r="AU60" s="220"/>
      <c r="AV60" s="220"/>
      <c r="AW60" s="220"/>
      <c r="AX60" s="220"/>
      <c r="AY60" s="220"/>
      <c r="AZ60" s="220"/>
    </row>
    <row r="61" ht="26.25" customHeight="1">
      <c r="A61" s="255"/>
      <c r="B61" s="256" t="s">
        <v>553</v>
      </c>
      <c r="C61" s="218"/>
      <c r="D61" s="218"/>
      <c r="E61" s="218"/>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20"/>
      <c r="AS61" s="220"/>
      <c r="AT61" s="220"/>
      <c r="AU61" s="220"/>
      <c r="AV61" s="220"/>
      <c r="AW61" s="220"/>
      <c r="AX61" s="220"/>
      <c r="AY61" s="220"/>
      <c r="AZ61" s="220"/>
    </row>
    <row r="62" ht="26.25" customHeight="1">
      <c r="A62" s="255"/>
      <c r="B62" s="256" t="s">
        <v>554</v>
      </c>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20"/>
      <c r="AS62" s="220"/>
      <c r="AT62" s="220"/>
      <c r="AU62" s="220"/>
      <c r="AV62" s="220"/>
      <c r="AW62" s="220"/>
      <c r="AX62" s="220"/>
      <c r="AY62" s="220"/>
      <c r="AZ62" s="220"/>
    </row>
    <row r="63" ht="26.25" customHeight="1">
      <c r="A63" s="255"/>
      <c r="B63" s="256" t="s">
        <v>555</v>
      </c>
      <c r="C63" s="218"/>
      <c r="D63" s="218"/>
      <c r="E63" s="218"/>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20"/>
      <c r="AS63" s="220"/>
      <c r="AT63" s="220"/>
      <c r="AU63" s="220"/>
      <c r="AV63" s="220"/>
      <c r="AW63" s="220"/>
      <c r="AX63" s="220"/>
      <c r="AY63" s="220"/>
      <c r="AZ63" s="220"/>
    </row>
    <row r="64" ht="26.25" customHeight="1">
      <c r="A64" s="219"/>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20"/>
      <c r="AS64" s="220"/>
      <c r="AT64" s="220"/>
      <c r="AU64" s="220"/>
      <c r="AV64" s="220"/>
      <c r="AW64" s="220"/>
      <c r="AX64" s="220"/>
      <c r="AY64" s="220"/>
      <c r="AZ64" s="220"/>
    </row>
    <row r="65" ht="26.25" customHeight="1">
      <c r="A65" s="223"/>
      <c r="B65" s="257" t="s">
        <v>556</v>
      </c>
      <c r="C65" s="47"/>
      <c r="D65" s="47"/>
      <c r="E65" s="47"/>
      <c r="F65" s="47"/>
      <c r="G65" s="47"/>
      <c r="H65" s="47"/>
      <c r="I65" s="47"/>
      <c r="J65" s="47"/>
      <c r="K65" s="47"/>
      <c r="L65" s="47"/>
      <c r="M65" s="12"/>
      <c r="N65" s="223"/>
      <c r="O65" s="223"/>
      <c r="P65" s="223"/>
      <c r="Q65" s="223"/>
      <c r="R65" s="223"/>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20"/>
      <c r="AS65" s="220"/>
      <c r="AT65" s="220"/>
      <c r="AU65" s="220"/>
      <c r="AV65" s="220"/>
      <c r="AW65" s="220"/>
      <c r="AX65" s="220"/>
      <c r="AY65" s="220"/>
      <c r="AZ65" s="220"/>
    </row>
    <row r="66" ht="26.25" customHeight="1">
      <c r="A66" s="226"/>
      <c r="B66" s="258" t="s">
        <v>520</v>
      </c>
      <c r="C66" s="258" t="s">
        <v>521</v>
      </c>
      <c r="D66" s="259" t="s">
        <v>557</v>
      </c>
      <c r="E66" s="259" t="s">
        <v>558</v>
      </c>
      <c r="F66" s="259" t="s">
        <v>559</v>
      </c>
      <c r="G66" s="259" t="s">
        <v>560</v>
      </c>
      <c r="H66" s="259" t="s">
        <v>561</v>
      </c>
      <c r="I66" s="259" t="s">
        <v>562</v>
      </c>
      <c r="J66" s="259" t="s">
        <v>561</v>
      </c>
      <c r="K66" s="228" t="s">
        <v>525</v>
      </c>
      <c r="L66" s="258" t="s">
        <v>526</v>
      </c>
      <c r="M66" s="258" t="s">
        <v>527</v>
      </c>
      <c r="N66" s="226"/>
      <c r="O66" s="226"/>
      <c r="P66" s="226"/>
      <c r="Q66" s="226"/>
      <c r="R66" s="226"/>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20"/>
      <c r="AS66" s="220"/>
      <c r="AT66" s="220"/>
      <c r="AU66" s="220"/>
      <c r="AV66" s="220"/>
      <c r="AW66" s="220"/>
      <c r="AX66" s="220"/>
      <c r="AY66" s="220"/>
      <c r="AZ66" s="220"/>
    </row>
    <row r="67" ht="26.25" customHeight="1">
      <c r="A67" s="226"/>
      <c r="B67" s="230" t="s">
        <v>528</v>
      </c>
      <c r="C67" s="180">
        <f>31-4</f>
        <v>27</v>
      </c>
      <c r="D67" s="189">
        <v>12.0</v>
      </c>
      <c r="E67" s="189">
        <v>3.0</v>
      </c>
      <c r="F67" s="231">
        <v>43500.0</v>
      </c>
      <c r="G67" s="189">
        <v>2.0</v>
      </c>
      <c r="H67" s="183">
        <v>29000.0</v>
      </c>
      <c r="I67" s="189">
        <v>1.0</v>
      </c>
      <c r="J67" s="183">
        <f>C84</f>
        <v>72500</v>
      </c>
      <c r="K67" s="189">
        <v>0.1</v>
      </c>
      <c r="L67" s="232">
        <f t="shared" ref="L67:L78" si="7">(E67*F67*K67)+(G67*H67*K67)+(I67*J67*K67)</f>
        <v>26100</v>
      </c>
      <c r="M67" s="232">
        <f t="shared" ref="M67:M78" si="8">L67*C67</f>
        <v>704700</v>
      </c>
      <c r="N67" s="233"/>
      <c r="O67" s="233"/>
      <c r="P67" s="233"/>
      <c r="Q67" s="234"/>
      <c r="R67" s="234"/>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20"/>
      <c r="AS67" s="220"/>
      <c r="AT67" s="220"/>
      <c r="AU67" s="220"/>
      <c r="AV67" s="220"/>
      <c r="AW67" s="220"/>
      <c r="AX67" s="220"/>
      <c r="AY67" s="220"/>
      <c r="AZ67" s="220"/>
    </row>
    <row r="68" ht="26.25" customHeight="1">
      <c r="A68" s="235"/>
      <c r="B68" s="236" t="s">
        <v>529</v>
      </c>
      <c r="C68" s="180">
        <f>28-4</f>
        <v>24</v>
      </c>
      <c r="D68" s="189">
        <v>12.0</v>
      </c>
      <c r="E68" s="189">
        <v>3.0</v>
      </c>
      <c r="F68" s="231">
        <v>43500.0</v>
      </c>
      <c r="G68" s="189">
        <v>2.0</v>
      </c>
      <c r="H68" s="183">
        <v>29000.0</v>
      </c>
      <c r="I68" s="189">
        <v>1.0</v>
      </c>
      <c r="J68" s="183">
        <f>C84</f>
        <v>72500</v>
      </c>
      <c r="K68" s="189">
        <v>0.2</v>
      </c>
      <c r="L68" s="232">
        <f t="shared" si="7"/>
        <v>52200</v>
      </c>
      <c r="M68" s="232">
        <f t="shared" si="8"/>
        <v>1252800</v>
      </c>
      <c r="N68" s="233"/>
      <c r="O68" s="233"/>
      <c r="P68" s="233"/>
      <c r="Q68" s="234"/>
      <c r="R68" s="234"/>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20"/>
      <c r="AS68" s="220"/>
      <c r="AT68" s="220"/>
      <c r="AU68" s="220"/>
      <c r="AV68" s="220"/>
      <c r="AW68" s="220"/>
      <c r="AX68" s="220"/>
      <c r="AY68" s="220"/>
      <c r="AZ68" s="220"/>
    </row>
    <row r="69" ht="26.25" customHeight="1">
      <c r="A69" s="235"/>
      <c r="B69" s="236" t="s">
        <v>530</v>
      </c>
      <c r="C69" s="180">
        <f>31-4</f>
        <v>27</v>
      </c>
      <c r="D69" s="189">
        <v>12.0</v>
      </c>
      <c r="E69" s="189">
        <v>3.0</v>
      </c>
      <c r="F69" s="231">
        <v>43500.0</v>
      </c>
      <c r="G69" s="189">
        <v>2.0</v>
      </c>
      <c r="H69" s="183">
        <v>29000.0</v>
      </c>
      <c r="I69" s="189">
        <v>1.0</v>
      </c>
      <c r="J69" s="183">
        <f>D84</f>
        <v>72500</v>
      </c>
      <c r="K69" s="189">
        <v>0.2</v>
      </c>
      <c r="L69" s="232">
        <f t="shared" si="7"/>
        <v>52200</v>
      </c>
      <c r="M69" s="232">
        <f t="shared" si="8"/>
        <v>1409400</v>
      </c>
      <c r="N69" s="233"/>
      <c r="O69" s="233"/>
      <c r="P69" s="233"/>
      <c r="Q69" s="234"/>
      <c r="R69" s="234"/>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20"/>
      <c r="AS69" s="220"/>
      <c r="AT69" s="220"/>
      <c r="AU69" s="220"/>
      <c r="AV69" s="220"/>
      <c r="AW69" s="220"/>
      <c r="AX69" s="220"/>
      <c r="AY69" s="220"/>
      <c r="AZ69" s="220"/>
    </row>
    <row r="70" ht="26.25" customHeight="1">
      <c r="A70" s="235"/>
      <c r="B70" s="236" t="s">
        <v>531</v>
      </c>
      <c r="C70" s="189">
        <f>30-4</f>
        <v>26</v>
      </c>
      <c r="D70" s="189">
        <v>12.0</v>
      </c>
      <c r="E70" s="189">
        <v>3.0</v>
      </c>
      <c r="F70" s="231">
        <v>43500.0</v>
      </c>
      <c r="G70" s="189">
        <v>2.0</v>
      </c>
      <c r="H70" s="183">
        <v>29000.0</v>
      </c>
      <c r="I70" s="189">
        <v>1.0</v>
      </c>
      <c r="J70" s="183">
        <f>D84</f>
        <v>72500</v>
      </c>
      <c r="K70" s="189">
        <v>0.2</v>
      </c>
      <c r="L70" s="232">
        <f t="shared" si="7"/>
        <v>52200</v>
      </c>
      <c r="M70" s="232">
        <f t="shared" si="8"/>
        <v>1357200</v>
      </c>
      <c r="N70" s="233"/>
      <c r="O70" s="233"/>
      <c r="P70" s="233"/>
      <c r="Q70" s="234"/>
      <c r="R70" s="234"/>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20"/>
      <c r="AS70" s="220"/>
      <c r="AT70" s="220"/>
      <c r="AU70" s="220"/>
      <c r="AV70" s="220"/>
      <c r="AW70" s="220"/>
      <c r="AX70" s="220"/>
      <c r="AY70" s="220"/>
      <c r="AZ70" s="220"/>
    </row>
    <row r="71" ht="26.25" customHeight="1">
      <c r="A71" s="235"/>
      <c r="B71" s="236" t="s">
        <v>532</v>
      </c>
      <c r="C71" s="180">
        <f>31-4</f>
        <v>27</v>
      </c>
      <c r="D71" s="189">
        <v>12.0</v>
      </c>
      <c r="E71" s="189">
        <v>3.0</v>
      </c>
      <c r="F71" s="231">
        <v>43500.0</v>
      </c>
      <c r="G71" s="189">
        <v>2.0</v>
      </c>
      <c r="H71" s="183">
        <v>29000.0</v>
      </c>
      <c r="I71" s="189">
        <v>1.0</v>
      </c>
      <c r="J71" s="183">
        <f>E84</f>
        <v>72500</v>
      </c>
      <c r="K71" s="189">
        <v>0.1</v>
      </c>
      <c r="L71" s="232">
        <f t="shared" si="7"/>
        <v>26100</v>
      </c>
      <c r="M71" s="232">
        <f t="shared" si="8"/>
        <v>704700</v>
      </c>
      <c r="N71" s="233"/>
      <c r="O71" s="233"/>
      <c r="P71" s="233"/>
      <c r="Q71" s="234"/>
      <c r="R71" s="234"/>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20"/>
      <c r="AS71" s="220"/>
      <c r="AT71" s="220"/>
      <c r="AU71" s="220"/>
      <c r="AV71" s="220"/>
      <c r="AW71" s="220"/>
      <c r="AX71" s="220"/>
      <c r="AY71" s="220"/>
      <c r="AZ71" s="220"/>
    </row>
    <row r="72" ht="26.25" customHeight="1">
      <c r="A72" s="235"/>
      <c r="B72" s="236" t="s">
        <v>533</v>
      </c>
      <c r="C72" s="180">
        <f>28-4</f>
        <v>24</v>
      </c>
      <c r="D72" s="189">
        <v>12.0</v>
      </c>
      <c r="E72" s="189">
        <v>3.0</v>
      </c>
      <c r="F72" s="231">
        <v>43500.0</v>
      </c>
      <c r="G72" s="189">
        <v>2.0</v>
      </c>
      <c r="H72" s="183">
        <v>29000.0</v>
      </c>
      <c r="I72" s="189">
        <v>1.0</v>
      </c>
      <c r="J72" s="183">
        <f>E84</f>
        <v>72500</v>
      </c>
      <c r="K72" s="189">
        <v>0.3</v>
      </c>
      <c r="L72" s="232">
        <f t="shared" si="7"/>
        <v>78300</v>
      </c>
      <c r="M72" s="232">
        <f t="shared" si="8"/>
        <v>1879200</v>
      </c>
      <c r="N72" s="233"/>
      <c r="O72" s="233"/>
      <c r="P72" s="233"/>
      <c r="Q72" s="234"/>
      <c r="R72" s="234"/>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20"/>
      <c r="AS72" s="220"/>
      <c r="AT72" s="220"/>
      <c r="AU72" s="220"/>
      <c r="AV72" s="220"/>
      <c r="AW72" s="220"/>
      <c r="AX72" s="220"/>
      <c r="AY72" s="220"/>
      <c r="AZ72" s="220"/>
    </row>
    <row r="73" ht="26.25" customHeight="1">
      <c r="A73" s="235"/>
      <c r="B73" s="236" t="s">
        <v>534</v>
      </c>
      <c r="C73" s="180">
        <f>31-4</f>
        <v>27</v>
      </c>
      <c r="D73" s="189">
        <v>12.0</v>
      </c>
      <c r="E73" s="189">
        <v>3.0</v>
      </c>
      <c r="F73" s="231">
        <v>43500.0</v>
      </c>
      <c r="G73" s="189">
        <v>2.0</v>
      </c>
      <c r="H73" s="183">
        <v>29000.0</v>
      </c>
      <c r="I73" s="189">
        <v>1.0</v>
      </c>
      <c r="J73" s="183">
        <f>C84</f>
        <v>72500</v>
      </c>
      <c r="K73" s="189">
        <v>0.4</v>
      </c>
      <c r="L73" s="232">
        <f t="shared" si="7"/>
        <v>104400</v>
      </c>
      <c r="M73" s="232">
        <f t="shared" si="8"/>
        <v>2818800</v>
      </c>
      <c r="N73" s="233"/>
      <c r="O73" s="233"/>
      <c r="P73" s="233"/>
      <c r="Q73" s="234"/>
      <c r="R73" s="234"/>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20"/>
      <c r="AS73" s="220"/>
      <c r="AT73" s="220"/>
      <c r="AU73" s="220"/>
      <c r="AV73" s="220"/>
      <c r="AW73" s="220"/>
      <c r="AX73" s="220"/>
      <c r="AY73" s="220"/>
      <c r="AZ73" s="220"/>
    </row>
    <row r="74" ht="26.25" customHeight="1">
      <c r="A74" s="235"/>
      <c r="B74" s="236" t="s">
        <v>535</v>
      </c>
      <c r="C74" s="189">
        <f>30-4</f>
        <v>26</v>
      </c>
      <c r="D74" s="189">
        <v>12.0</v>
      </c>
      <c r="E74" s="189">
        <v>3.0</v>
      </c>
      <c r="F74" s="231">
        <v>43500.0</v>
      </c>
      <c r="G74" s="189">
        <v>2.0</v>
      </c>
      <c r="H74" s="183">
        <v>29000.0</v>
      </c>
      <c r="I74" s="189">
        <v>1.0</v>
      </c>
      <c r="J74" s="183">
        <f>C84</f>
        <v>72500</v>
      </c>
      <c r="K74" s="189">
        <v>0.4</v>
      </c>
      <c r="L74" s="232">
        <f t="shared" si="7"/>
        <v>104400</v>
      </c>
      <c r="M74" s="232">
        <f t="shared" si="8"/>
        <v>2714400</v>
      </c>
      <c r="N74" s="233"/>
      <c r="O74" s="233"/>
      <c r="P74" s="233"/>
      <c r="Q74" s="234"/>
      <c r="R74" s="234"/>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20"/>
      <c r="AS74" s="220"/>
      <c r="AT74" s="220"/>
      <c r="AU74" s="220"/>
      <c r="AV74" s="220"/>
      <c r="AW74" s="220"/>
      <c r="AX74" s="220"/>
      <c r="AY74" s="220"/>
      <c r="AZ74" s="220"/>
    </row>
    <row r="75" ht="26.25" customHeight="1">
      <c r="A75" s="235"/>
      <c r="B75" s="236" t="s">
        <v>536</v>
      </c>
      <c r="C75" s="180">
        <f>31-4</f>
        <v>27</v>
      </c>
      <c r="D75" s="189">
        <v>12.0</v>
      </c>
      <c r="E75" s="189">
        <v>3.0</v>
      </c>
      <c r="F75" s="231">
        <v>43500.0</v>
      </c>
      <c r="G75" s="189">
        <v>2.0</v>
      </c>
      <c r="H75" s="183">
        <v>29000.0</v>
      </c>
      <c r="I75" s="189">
        <v>1.0</v>
      </c>
      <c r="J75" s="183">
        <f>E84</f>
        <v>72500</v>
      </c>
      <c r="K75" s="189">
        <v>0.2</v>
      </c>
      <c r="L75" s="232">
        <f t="shared" si="7"/>
        <v>52200</v>
      </c>
      <c r="M75" s="232">
        <f t="shared" si="8"/>
        <v>1409400</v>
      </c>
      <c r="N75" s="233"/>
      <c r="O75" s="233"/>
      <c r="P75" s="233"/>
      <c r="Q75" s="234"/>
      <c r="R75" s="234"/>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20"/>
      <c r="AS75" s="220"/>
      <c r="AT75" s="220"/>
      <c r="AU75" s="220"/>
      <c r="AV75" s="220"/>
      <c r="AW75" s="220"/>
      <c r="AX75" s="220"/>
      <c r="AY75" s="220"/>
      <c r="AZ75" s="220"/>
    </row>
    <row r="76" ht="26.25" customHeight="1">
      <c r="A76" s="235"/>
      <c r="B76" s="236" t="s">
        <v>537</v>
      </c>
      <c r="C76" s="180">
        <f>28-4</f>
        <v>24</v>
      </c>
      <c r="D76" s="189">
        <v>12.0</v>
      </c>
      <c r="E76" s="189">
        <v>3.0</v>
      </c>
      <c r="F76" s="231">
        <v>43500.0</v>
      </c>
      <c r="G76" s="189">
        <v>2.0</v>
      </c>
      <c r="H76" s="183">
        <v>29000.0</v>
      </c>
      <c r="I76" s="189">
        <v>1.0</v>
      </c>
      <c r="J76" s="183">
        <f>D84</f>
        <v>72500</v>
      </c>
      <c r="K76" s="189">
        <v>0.3</v>
      </c>
      <c r="L76" s="232">
        <f t="shared" si="7"/>
        <v>78300</v>
      </c>
      <c r="M76" s="232">
        <f t="shared" si="8"/>
        <v>1879200</v>
      </c>
      <c r="N76" s="233"/>
      <c r="O76" s="233"/>
      <c r="P76" s="233"/>
      <c r="Q76" s="234"/>
      <c r="R76" s="234"/>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20"/>
      <c r="AS76" s="220"/>
      <c r="AT76" s="220"/>
      <c r="AU76" s="220"/>
      <c r="AV76" s="220"/>
      <c r="AW76" s="220"/>
      <c r="AX76" s="220"/>
      <c r="AY76" s="220"/>
      <c r="AZ76" s="220"/>
    </row>
    <row r="77" ht="26.25" customHeight="1">
      <c r="A77" s="235"/>
      <c r="B77" s="236" t="s">
        <v>538</v>
      </c>
      <c r="C77" s="180">
        <f>31-4</f>
        <v>27</v>
      </c>
      <c r="D77" s="189">
        <v>12.0</v>
      </c>
      <c r="E77" s="189">
        <v>3.0</v>
      </c>
      <c r="F77" s="231">
        <v>43500.0</v>
      </c>
      <c r="G77" s="189">
        <v>2.0</v>
      </c>
      <c r="H77" s="183">
        <v>29000.0</v>
      </c>
      <c r="I77" s="189">
        <v>1.0</v>
      </c>
      <c r="J77" s="183">
        <f>D84</f>
        <v>72500</v>
      </c>
      <c r="K77" s="189">
        <v>0.3</v>
      </c>
      <c r="L77" s="232">
        <f t="shared" si="7"/>
        <v>78300</v>
      </c>
      <c r="M77" s="232">
        <f t="shared" si="8"/>
        <v>2114100</v>
      </c>
      <c r="N77" s="233"/>
      <c r="O77" s="233"/>
      <c r="P77" s="233"/>
      <c r="Q77" s="234"/>
      <c r="R77" s="234"/>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20"/>
      <c r="AS77" s="220"/>
      <c r="AT77" s="220"/>
      <c r="AU77" s="220"/>
      <c r="AV77" s="220"/>
      <c r="AW77" s="220"/>
      <c r="AX77" s="220"/>
      <c r="AY77" s="220"/>
      <c r="AZ77" s="220"/>
    </row>
    <row r="78" ht="26.25" customHeight="1">
      <c r="A78" s="235"/>
      <c r="B78" s="236" t="s">
        <v>539</v>
      </c>
      <c r="C78" s="189">
        <f>30-4</f>
        <v>26</v>
      </c>
      <c r="D78" s="189">
        <v>12.0</v>
      </c>
      <c r="E78" s="189">
        <v>3.0</v>
      </c>
      <c r="F78" s="231">
        <v>43500.0</v>
      </c>
      <c r="G78" s="189">
        <v>2.0</v>
      </c>
      <c r="H78" s="183">
        <v>29000.0</v>
      </c>
      <c r="I78" s="189">
        <v>1.0</v>
      </c>
      <c r="J78" s="183">
        <f>D84</f>
        <v>72500</v>
      </c>
      <c r="K78" s="189">
        <v>0.4</v>
      </c>
      <c r="L78" s="232">
        <f t="shared" si="7"/>
        <v>104400</v>
      </c>
      <c r="M78" s="232">
        <f t="shared" si="8"/>
        <v>2714400</v>
      </c>
      <c r="N78" s="233"/>
      <c r="O78" s="233"/>
      <c r="P78" s="233"/>
      <c r="Q78" s="234"/>
      <c r="R78" s="234"/>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20"/>
      <c r="AS78" s="220"/>
      <c r="AT78" s="220"/>
      <c r="AU78" s="220"/>
      <c r="AV78" s="220"/>
      <c r="AW78" s="220"/>
      <c r="AX78" s="220"/>
      <c r="AY78" s="220"/>
      <c r="AZ78" s="220"/>
    </row>
    <row r="79" ht="26.25" customHeight="1">
      <c r="A79" s="219"/>
      <c r="B79" s="218"/>
      <c r="C79" s="218"/>
      <c r="D79" s="218"/>
      <c r="E79" s="218"/>
      <c r="F79" s="218"/>
      <c r="G79" s="218"/>
      <c r="H79" s="218"/>
      <c r="I79" s="218"/>
      <c r="J79" s="218"/>
      <c r="K79" s="218"/>
      <c r="L79" s="218"/>
      <c r="M79" s="218"/>
      <c r="N79" s="219"/>
      <c r="O79" s="219"/>
      <c r="P79" s="219"/>
      <c r="Q79" s="219"/>
      <c r="R79" s="219"/>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20"/>
      <c r="AS79" s="220"/>
      <c r="AT79" s="220"/>
      <c r="AU79" s="220"/>
      <c r="AV79" s="220"/>
      <c r="AW79" s="220"/>
      <c r="AX79" s="220"/>
      <c r="AY79" s="220"/>
      <c r="AZ79" s="220"/>
    </row>
    <row r="80" ht="26.25" customHeight="1">
      <c r="A80" s="243"/>
      <c r="B80" s="244" t="s">
        <v>540</v>
      </c>
      <c r="C80" s="260" t="s">
        <v>563</v>
      </c>
      <c r="D80" s="47"/>
      <c r="E80" s="12"/>
      <c r="F80" s="218"/>
      <c r="G80" s="218"/>
      <c r="H80" s="218"/>
      <c r="I80" s="218"/>
      <c r="J80" s="218"/>
      <c r="K80" s="218"/>
      <c r="L80" s="218"/>
      <c r="M80" s="218"/>
      <c r="N80" s="219"/>
      <c r="O80" s="219"/>
      <c r="P80" s="219"/>
      <c r="Q80" s="219"/>
      <c r="R80" s="219"/>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20"/>
      <c r="AS80" s="220"/>
      <c r="AT80" s="220"/>
      <c r="AU80" s="220"/>
      <c r="AV80" s="220"/>
      <c r="AW80" s="220"/>
      <c r="AX80" s="220"/>
      <c r="AY80" s="220"/>
      <c r="AZ80" s="220"/>
    </row>
    <row r="81" ht="26.25" customHeight="1">
      <c r="A81" s="243"/>
      <c r="B81" s="33"/>
      <c r="C81" s="246" t="s">
        <v>542</v>
      </c>
      <c r="D81" s="247" t="s">
        <v>543</v>
      </c>
      <c r="E81" s="246" t="s">
        <v>544</v>
      </c>
      <c r="F81" s="218"/>
      <c r="G81" s="218"/>
      <c r="H81" s="218"/>
      <c r="I81" s="218"/>
      <c r="J81" s="218"/>
      <c r="K81" s="218"/>
      <c r="L81" s="218"/>
      <c r="M81" s="218"/>
      <c r="N81" s="219"/>
      <c r="O81" s="219"/>
      <c r="P81" s="219"/>
      <c r="Q81" s="219"/>
      <c r="R81" s="219"/>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20"/>
      <c r="AS81" s="220"/>
      <c r="AT81" s="220"/>
      <c r="AU81" s="220"/>
      <c r="AV81" s="220"/>
      <c r="AW81" s="220"/>
      <c r="AX81" s="220"/>
      <c r="AY81" s="220"/>
      <c r="AZ81" s="220"/>
    </row>
    <row r="82" ht="26.25" customHeight="1">
      <c r="A82" s="261"/>
      <c r="B82" s="262" t="s">
        <v>564</v>
      </c>
      <c r="C82" s="231">
        <f>30*C1</f>
        <v>43500</v>
      </c>
      <c r="D82" s="231">
        <f>30*C1</f>
        <v>43500</v>
      </c>
      <c r="E82" s="231">
        <f>30*C1</f>
        <v>43500</v>
      </c>
      <c r="F82" s="229"/>
      <c r="G82" s="218"/>
      <c r="H82" s="218"/>
      <c r="I82" s="218"/>
      <c r="J82" s="218"/>
      <c r="K82" s="218"/>
      <c r="L82" s="218"/>
      <c r="M82" s="218"/>
      <c r="N82" s="219"/>
      <c r="O82" s="219"/>
      <c r="P82" s="219"/>
      <c r="Q82" s="219"/>
      <c r="R82" s="219"/>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20"/>
      <c r="AS82" s="220"/>
      <c r="AT82" s="220"/>
      <c r="AU82" s="220"/>
      <c r="AV82" s="220"/>
      <c r="AW82" s="220"/>
      <c r="AX82" s="220"/>
      <c r="AY82" s="220"/>
      <c r="AZ82" s="220"/>
    </row>
    <row r="83" ht="26.25" customHeight="1">
      <c r="A83" s="261"/>
      <c r="B83" s="262" t="s">
        <v>565</v>
      </c>
      <c r="C83" s="183">
        <f>20*C1</f>
        <v>29000</v>
      </c>
      <c r="D83" s="183">
        <f>20*C1</f>
        <v>29000</v>
      </c>
      <c r="E83" s="183">
        <f>20*C1</f>
        <v>29000</v>
      </c>
      <c r="F83" s="229"/>
      <c r="G83" s="218"/>
      <c r="H83" s="218"/>
      <c r="I83" s="218"/>
      <c r="J83" s="218"/>
      <c r="K83" s="218"/>
      <c r="L83" s="218"/>
      <c r="M83" s="218"/>
      <c r="N83" s="219"/>
      <c r="O83" s="219"/>
      <c r="P83" s="219"/>
      <c r="Q83" s="219"/>
      <c r="R83" s="219"/>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20"/>
      <c r="AS83" s="220"/>
      <c r="AT83" s="220"/>
      <c r="AU83" s="220"/>
      <c r="AV83" s="220"/>
      <c r="AW83" s="220"/>
      <c r="AX83" s="220"/>
      <c r="AY83" s="220"/>
      <c r="AZ83" s="220"/>
    </row>
    <row r="84" ht="26.25" customHeight="1">
      <c r="A84" s="261"/>
      <c r="B84" s="262" t="s">
        <v>566</v>
      </c>
      <c r="C84" s="183">
        <f>50*C1</f>
        <v>72500</v>
      </c>
      <c r="D84" s="183">
        <f>50*C1</f>
        <v>72500</v>
      </c>
      <c r="E84" s="183">
        <f>50*C1</f>
        <v>72500</v>
      </c>
      <c r="F84" s="229"/>
      <c r="G84" s="218"/>
      <c r="H84" s="218"/>
      <c r="I84" s="218"/>
      <c r="J84" s="218"/>
      <c r="K84" s="218"/>
      <c r="L84" s="218"/>
      <c r="M84" s="218"/>
      <c r="N84" s="219"/>
      <c r="O84" s="219"/>
      <c r="P84" s="219"/>
      <c r="Q84" s="219"/>
      <c r="R84" s="219"/>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20"/>
      <c r="AS84" s="220"/>
      <c r="AT84" s="220"/>
      <c r="AU84" s="220"/>
      <c r="AV84" s="220"/>
      <c r="AW84" s="220"/>
      <c r="AX84" s="220"/>
      <c r="AY84" s="220"/>
      <c r="AZ84" s="220"/>
    </row>
    <row r="85" ht="26.25" customHeight="1">
      <c r="A85" s="219"/>
      <c r="B85" s="218"/>
      <c r="C85" s="218"/>
      <c r="D85" s="218"/>
      <c r="E85" s="218"/>
      <c r="F85" s="218"/>
      <c r="G85" s="218"/>
      <c r="H85" s="218"/>
      <c r="I85" s="218"/>
      <c r="J85" s="218"/>
      <c r="K85" s="218"/>
      <c r="L85" s="218"/>
      <c r="M85" s="218"/>
      <c r="N85" s="219"/>
      <c r="O85" s="219"/>
      <c r="P85" s="219"/>
      <c r="Q85" s="219"/>
      <c r="R85" s="219"/>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20"/>
      <c r="AS85" s="220"/>
      <c r="AT85" s="220"/>
      <c r="AU85" s="220"/>
      <c r="AV85" s="220"/>
      <c r="AW85" s="220"/>
      <c r="AX85" s="220"/>
      <c r="AY85" s="220"/>
      <c r="AZ85" s="220"/>
    </row>
    <row r="86" ht="26.25" customHeight="1">
      <c r="A86" s="223"/>
      <c r="B86" s="257" t="s">
        <v>567</v>
      </c>
      <c r="C86" s="47"/>
      <c r="D86" s="47"/>
      <c r="E86" s="47"/>
      <c r="F86" s="47"/>
      <c r="G86" s="47"/>
      <c r="H86" s="47"/>
      <c r="I86" s="47"/>
      <c r="J86" s="47"/>
      <c r="K86" s="47"/>
      <c r="L86" s="47"/>
      <c r="M86" s="12"/>
      <c r="N86" s="223"/>
      <c r="O86" s="223"/>
      <c r="P86" s="223"/>
      <c r="Q86" s="223"/>
      <c r="R86" s="223"/>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20"/>
      <c r="AS86" s="220"/>
      <c r="AT86" s="220"/>
      <c r="AU86" s="220"/>
      <c r="AV86" s="220"/>
      <c r="AW86" s="220"/>
      <c r="AX86" s="220"/>
      <c r="AY86" s="220"/>
      <c r="AZ86" s="220"/>
    </row>
    <row r="87" ht="26.25" customHeight="1">
      <c r="A87" s="226"/>
      <c r="B87" s="258" t="s">
        <v>520</v>
      </c>
      <c r="C87" s="258" t="s">
        <v>521</v>
      </c>
      <c r="D87" s="259" t="s">
        <v>557</v>
      </c>
      <c r="E87" s="259" t="s">
        <v>558</v>
      </c>
      <c r="F87" s="259" t="s">
        <v>559</v>
      </c>
      <c r="G87" s="259" t="s">
        <v>560</v>
      </c>
      <c r="H87" s="259" t="s">
        <v>561</v>
      </c>
      <c r="I87" s="259" t="s">
        <v>562</v>
      </c>
      <c r="J87" s="259" t="s">
        <v>561</v>
      </c>
      <c r="K87" s="228" t="s">
        <v>525</v>
      </c>
      <c r="L87" s="258" t="s">
        <v>526</v>
      </c>
      <c r="M87" s="258" t="s">
        <v>527</v>
      </c>
      <c r="N87" s="226"/>
      <c r="O87" s="226"/>
      <c r="P87" s="226"/>
      <c r="Q87" s="226"/>
      <c r="R87" s="226"/>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20"/>
      <c r="AS87" s="220"/>
      <c r="AT87" s="220"/>
      <c r="AU87" s="220"/>
      <c r="AV87" s="220"/>
      <c r="AW87" s="220"/>
      <c r="AX87" s="220"/>
      <c r="AY87" s="220"/>
      <c r="AZ87" s="220"/>
    </row>
    <row r="88" ht="26.25" customHeight="1">
      <c r="A88" s="226"/>
      <c r="B88" s="230" t="s">
        <v>528</v>
      </c>
      <c r="C88" s="180">
        <f>31-4</f>
        <v>27</v>
      </c>
      <c r="D88" s="189">
        <v>12.0</v>
      </c>
      <c r="E88" s="189">
        <v>3.0</v>
      </c>
      <c r="F88" s="231">
        <v>43500.0</v>
      </c>
      <c r="G88" s="189">
        <v>2.0</v>
      </c>
      <c r="H88" s="183">
        <v>29000.0</v>
      </c>
      <c r="I88" s="189">
        <v>1.0</v>
      </c>
      <c r="J88" s="183">
        <f>C105</f>
        <v>76125</v>
      </c>
      <c r="K88" s="189">
        <v>0.5</v>
      </c>
      <c r="L88" s="232">
        <f t="shared" ref="L88:L99" si="9">(E88*F88*K88)+(G88*H88*K88)+(I88*J88*K88)</f>
        <v>132312.5</v>
      </c>
      <c r="M88" s="232">
        <f t="shared" ref="M88:M99" si="10">L88*C88</f>
        <v>3572437.5</v>
      </c>
      <c r="N88" s="233"/>
      <c r="O88" s="233"/>
      <c r="P88" s="233"/>
      <c r="Q88" s="234"/>
      <c r="R88" s="234"/>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20"/>
      <c r="AS88" s="220"/>
      <c r="AT88" s="220"/>
      <c r="AU88" s="220"/>
      <c r="AV88" s="220"/>
      <c r="AW88" s="220"/>
      <c r="AX88" s="220"/>
      <c r="AY88" s="220"/>
      <c r="AZ88" s="220"/>
    </row>
    <row r="89" ht="26.25" customHeight="1">
      <c r="A89" s="235"/>
      <c r="B89" s="236" t="s">
        <v>529</v>
      </c>
      <c r="C89" s="180">
        <f>28-4</f>
        <v>24</v>
      </c>
      <c r="D89" s="189">
        <v>12.0</v>
      </c>
      <c r="E89" s="189">
        <v>3.0</v>
      </c>
      <c r="F89" s="231">
        <v>43500.0</v>
      </c>
      <c r="G89" s="189">
        <v>2.0</v>
      </c>
      <c r="H89" s="183">
        <v>29000.0</v>
      </c>
      <c r="I89" s="189">
        <v>1.0</v>
      </c>
      <c r="J89" s="183">
        <f>C105</f>
        <v>76125</v>
      </c>
      <c r="K89" s="189">
        <v>0.5</v>
      </c>
      <c r="L89" s="232">
        <f t="shared" si="9"/>
        <v>132312.5</v>
      </c>
      <c r="M89" s="232">
        <f t="shared" si="10"/>
        <v>3175500</v>
      </c>
      <c r="N89" s="233"/>
      <c r="O89" s="233"/>
      <c r="P89" s="233"/>
      <c r="Q89" s="234"/>
      <c r="R89" s="234"/>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20"/>
      <c r="AS89" s="220"/>
      <c r="AT89" s="220"/>
      <c r="AU89" s="220"/>
      <c r="AV89" s="220"/>
      <c r="AW89" s="220"/>
      <c r="AX89" s="220"/>
      <c r="AY89" s="220"/>
      <c r="AZ89" s="220"/>
    </row>
    <row r="90" ht="26.25" customHeight="1">
      <c r="A90" s="235"/>
      <c r="B90" s="236" t="s">
        <v>530</v>
      </c>
      <c r="C90" s="180">
        <f>31-4</f>
        <v>27</v>
      </c>
      <c r="D90" s="189">
        <v>12.0</v>
      </c>
      <c r="E90" s="189">
        <v>3.0</v>
      </c>
      <c r="F90" s="231">
        <v>43500.0</v>
      </c>
      <c r="G90" s="189">
        <v>2.0</v>
      </c>
      <c r="H90" s="183">
        <v>29000.0</v>
      </c>
      <c r="I90" s="189">
        <v>1.0</v>
      </c>
      <c r="J90" s="183">
        <f>D105</f>
        <v>76125</v>
      </c>
      <c r="K90" s="189">
        <v>0.4</v>
      </c>
      <c r="L90" s="232">
        <f t="shared" si="9"/>
        <v>105850</v>
      </c>
      <c r="M90" s="232">
        <f t="shared" si="10"/>
        <v>2857950</v>
      </c>
      <c r="N90" s="233"/>
      <c r="O90" s="233"/>
      <c r="P90" s="233"/>
      <c r="Q90" s="234"/>
      <c r="R90" s="234"/>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20"/>
      <c r="AS90" s="220"/>
      <c r="AT90" s="220"/>
      <c r="AU90" s="220"/>
      <c r="AV90" s="220"/>
      <c r="AW90" s="220"/>
      <c r="AX90" s="220"/>
      <c r="AY90" s="220"/>
      <c r="AZ90" s="220"/>
    </row>
    <row r="91" ht="26.25" customHeight="1">
      <c r="A91" s="235"/>
      <c r="B91" s="236" t="s">
        <v>531</v>
      </c>
      <c r="C91" s="189">
        <f>30-4</f>
        <v>26</v>
      </c>
      <c r="D91" s="189">
        <v>12.0</v>
      </c>
      <c r="E91" s="189">
        <v>3.0</v>
      </c>
      <c r="F91" s="231">
        <v>43500.0</v>
      </c>
      <c r="G91" s="189">
        <v>2.0</v>
      </c>
      <c r="H91" s="183">
        <v>29000.0</v>
      </c>
      <c r="I91" s="189">
        <v>1.0</v>
      </c>
      <c r="J91" s="183">
        <f>D105</f>
        <v>76125</v>
      </c>
      <c r="K91" s="189">
        <v>0.4</v>
      </c>
      <c r="L91" s="232">
        <f t="shared" si="9"/>
        <v>105850</v>
      </c>
      <c r="M91" s="232">
        <f t="shared" si="10"/>
        <v>2752100</v>
      </c>
      <c r="N91" s="233"/>
      <c r="O91" s="233"/>
      <c r="P91" s="233"/>
      <c r="Q91" s="234"/>
      <c r="R91" s="234"/>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20"/>
      <c r="AS91" s="220"/>
      <c r="AT91" s="220"/>
      <c r="AU91" s="220"/>
      <c r="AV91" s="220"/>
      <c r="AW91" s="220"/>
      <c r="AX91" s="220"/>
      <c r="AY91" s="220"/>
      <c r="AZ91" s="220"/>
    </row>
    <row r="92" ht="26.25" customHeight="1">
      <c r="A92" s="235"/>
      <c r="B92" s="236" t="s">
        <v>532</v>
      </c>
      <c r="C92" s="180">
        <f>31-4</f>
        <v>27</v>
      </c>
      <c r="D92" s="189">
        <v>12.0</v>
      </c>
      <c r="E92" s="189">
        <v>3.0</v>
      </c>
      <c r="F92" s="231">
        <v>43500.0</v>
      </c>
      <c r="G92" s="189">
        <v>2.0</v>
      </c>
      <c r="H92" s="183">
        <v>29000.0</v>
      </c>
      <c r="I92" s="189">
        <v>1.0</v>
      </c>
      <c r="J92" s="183">
        <f>E105</f>
        <v>76125</v>
      </c>
      <c r="K92" s="189">
        <v>0.25</v>
      </c>
      <c r="L92" s="232">
        <f t="shared" si="9"/>
        <v>66156.25</v>
      </c>
      <c r="M92" s="232">
        <f t="shared" si="10"/>
        <v>1786218.75</v>
      </c>
      <c r="N92" s="233"/>
      <c r="O92" s="233"/>
      <c r="P92" s="233"/>
      <c r="Q92" s="234"/>
      <c r="R92" s="234"/>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20"/>
      <c r="AS92" s="220"/>
      <c r="AT92" s="220"/>
      <c r="AU92" s="220"/>
      <c r="AV92" s="220"/>
      <c r="AW92" s="220"/>
      <c r="AX92" s="220"/>
      <c r="AY92" s="220"/>
      <c r="AZ92" s="220"/>
    </row>
    <row r="93" ht="26.25" customHeight="1">
      <c r="A93" s="235"/>
      <c r="B93" s="236" t="s">
        <v>533</v>
      </c>
      <c r="C93" s="180">
        <f>28-4</f>
        <v>24</v>
      </c>
      <c r="D93" s="189">
        <v>12.0</v>
      </c>
      <c r="E93" s="189">
        <v>3.0</v>
      </c>
      <c r="F93" s="231">
        <v>43500.0</v>
      </c>
      <c r="G93" s="189">
        <v>2.0</v>
      </c>
      <c r="H93" s="183">
        <v>29000.0</v>
      </c>
      <c r="I93" s="189">
        <v>1.0</v>
      </c>
      <c r="J93" s="183">
        <f>E105</f>
        <v>76125</v>
      </c>
      <c r="K93" s="189">
        <v>0.2</v>
      </c>
      <c r="L93" s="232">
        <f t="shared" si="9"/>
        <v>52925</v>
      </c>
      <c r="M93" s="232">
        <f t="shared" si="10"/>
        <v>1270200</v>
      </c>
      <c r="N93" s="233"/>
      <c r="O93" s="233"/>
      <c r="P93" s="233"/>
      <c r="Q93" s="234"/>
      <c r="R93" s="234"/>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20"/>
      <c r="AS93" s="220"/>
      <c r="AT93" s="220"/>
      <c r="AU93" s="220"/>
      <c r="AV93" s="220"/>
      <c r="AW93" s="220"/>
      <c r="AX93" s="220"/>
      <c r="AY93" s="220"/>
      <c r="AZ93" s="220"/>
    </row>
    <row r="94" ht="26.25" customHeight="1">
      <c r="A94" s="235"/>
      <c r="B94" s="236" t="s">
        <v>534</v>
      </c>
      <c r="C94" s="180">
        <f>31-4</f>
        <v>27</v>
      </c>
      <c r="D94" s="189">
        <v>12.0</v>
      </c>
      <c r="E94" s="189">
        <v>3.0</v>
      </c>
      <c r="F94" s="231">
        <v>43500.0</v>
      </c>
      <c r="G94" s="189">
        <v>2.0</v>
      </c>
      <c r="H94" s="183">
        <v>29000.0</v>
      </c>
      <c r="I94" s="189">
        <v>1.0</v>
      </c>
      <c r="J94" s="183">
        <f>C105</f>
        <v>76125</v>
      </c>
      <c r="K94" s="189">
        <v>0.2</v>
      </c>
      <c r="L94" s="232">
        <f t="shared" si="9"/>
        <v>52925</v>
      </c>
      <c r="M94" s="232">
        <f t="shared" si="10"/>
        <v>1428975</v>
      </c>
      <c r="N94" s="233"/>
      <c r="O94" s="233"/>
      <c r="P94" s="233"/>
      <c r="Q94" s="234"/>
      <c r="R94" s="234"/>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20"/>
      <c r="AS94" s="220"/>
      <c r="AT94" s="220"/>
      <c r="AU94" s="220"/>
      <c r="AV94" s="220"/>
      <c r="AW94" s="220"/>
      <c r="AX94" s="220"/>
      <c r="AY94" s="220"/>
      <c r="AZ94" s="220"/>
    </row>
    <row r="95" ht="26.25" customHeight="1">
      <c r="A95" s="235"/>
      <c r="B95" s="236" t="s">
        <v>535</v>
      </c>
      <c r="C95" s="189">
        <f>30-4</f>
        <v>26</v>
      </c>
      <c r="D95" s="189">
        <v>12.0</v>
      </c>
      <c r="E95" s="189">
        <v>3.0</v>
      </c>
      <c r="F95" s="231">
        <v>43500.0</v>
      </c>
      <c r="G95" s="189">
        <v>2.0</v>
      </c>
      <c r="H95" s="183">
        <v>29000.0</v>
      </c>
      <c r="I95" s="189">
        <v>1.0</v>
      </c>
      <c r="J95" s="183">
        <f>C105</f>
        <v>76125</v>
      </c>
      <c r="K95" s="189">
        <v>0.5</v>
      </c>
      <c r="L95" s="232">
        <f t="shared" si="9"/>
        <v>132312.5</v>
      </c>
      <c r="M95" s="232">
        <f t="shared" si="10"/>
        <v>3440125</v>
      </c>
      <c r="N95" s="233"/>
      <c r="O95" s="233"/>
      <c r="P95" s="233"/>
      <c r="Q95" s="234"/>
      <c r="R95" s="234"/>
      <c r="S95" s="218"/>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20"/>
      <c r="AS95" s="220"/>
      <c r="AT95" s="220"/>
      <c r="AU95" s="220"/>
      <c r="AV95" s="220"/>
      <c r="AW95" s="220"/>
      <c r="AX95" s="220"/>
      <c r="AY95" s="220"/>
      <c r="AZ95" s="220"/>
    </row>
    <row r="96" ht="26.25" customHeight="1">
      <c r="A96" s="235"/>
      <c r="B96" s="236" t="s">
        <v>536</v>
      </c>
      <c r="C96" s="180">
        <f>31-4</f>
        <v>27</v>
      </c>
      <c r="D96" s="189">
        <v>12.0</v>
      </c>
      <c r="E96" s="189">
        <v>3.0</v>
      </c>
      <c r="F96" s="231">
        <v>43500.0</v>
      </c>
      <c r="G96" s="189">
        <v>2.0</v>
      </c>
      <c r="H96" s="183">
        <v>29000.0</v>
      </c>
      <c r="I96" s="189">
        <v>1.0</v>
      </c>
      <c r="J96" s="183">
        <f>E105</f>
        <v>76125</v>
      </c>
      <c r="K96" s="189">
        <v>0.2</v>
      </c>
      <c r="L96" s="232">
        <f t="shared" si="9"/>
        <v>52925</v>
      </c>
      <c r="M96" s="232">
        <f t="shared" si="10"/>
        <v>1428975</v>
      </c>
      <c r="N96" s="233"/>
      <c r="O96" s="233"/>
      <c r="P96" s="233"/>
      <c r="Q96" s="234"/>
      <c r="R96" s="234"/>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20"/>
      <c r="AS96" s="220"/>
      <c r="AT96" s="220"/>
      <c r="AU96" s="220"/>
      <c r="AV96" s="220"/>
      <c r="AW96" s="220"/>
      <c r="AX96" s="220"/>
      <c r="AY96" s="220"/>
      <c r="AZ96" s="220"/>
    </row>
    <row r="97" ht="26.25" customHeight="1">
      <c r="A97" s="235"/>
      <c r="B97" s="236" t="s">
        <v>537</v>
      </c>
      <c r="C97" s="180">
        <f>28-4</f>
        <v>24</v>
      </c>
      <c r="D97" s="189">
        <v>12.0</v>
      </c>
      <c r="E97" s="189">
        <v>3.0</v>
      </c>
      <c r="F97" s="231">
        <v>43500.0</v>
      </c>
      <c r="G97" s="189">
        <v>2.0</v>
      </c>
      <c r="H97" s="183">
        <v>29000.0</v>
      </c>
      <c r="I97" s="189">
        <v>1.0</v>
      </c>
      <c r="J97" s="183">
        <f>D105</f>
        <v>76125</v>
      </c>
      <c r="K97" s="189">
        <v>0.4</v>
      </c>
      <c r="L97" s="232">
        <f t="shared" si="9"/>
        <v>105850</v>
      </c>
      <c r="M97" s="232">
        <f t="shared" si="10"/>
        <v>2540400</v>
      </c>
      <c r="N97" s="233"/>
      <c r="O97" s="233"/>
      <c r="P97" s="233"/>
      <c r="Q97" s="234"/>
      <c r="R97" s="234"/>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20"/>
      <c r="AS97" s="220"/>
      <c r="AT97" s="220"/>
      <c r="AU97" s="220"/>
      <c r="AV97" s="220"/>
      <c r="AW97" s="220"/>
      <c r="AX97" s="220"/>
      <c r="AY97" s="220"/>
      <c r="AZ97" s="220"/>
    </row>
    <row r="98" ht="26.25" customHeight="1">
      <c r="A98" s="235"/>
      <c r="B98" s="236" t="s">
        <v>538</v>
      </c>
      <c r="C98" s="180">
        <f>31-4</f>
        <v>27</v>
      </c>
      <c r="D98" s="189">
        <v>12.0</v>
      </c>
      <c r="E98" s="189">
        <v>3.0</v>
      </c>
      <c r="F98" s="231">
        <v>43500.0</v>
      </c>
      <c r="G98" s="189">
        <v>2.0</v>
      </c>
      <c r="H98" s="183">
        <v>29000.0</v>
      </c>
      <c r="I98" s="189">
        <v>1.0</v>
      </c>
      <c r="J98" s="183">
        <f>D105</f>
        <v>76125</v>
      </c>
      <c r="K98" s="189">
        <v>0.4</v>
      </c>
      <c r="L98" s="232">
        <f t="shared" si="9"/>
        <v>105850</v>
      </c>
      <c r="M98" s="232">
        <f t="shared" si="10"/>
        <v>2857950</v>
      </c>
      <c r="N98" s="233"/>
      <c r="O98" s="233"/>
      <c r="P98" s="233"/>
      <c r="Q98" s="234"/>
      <c r="R98" s="234"/>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20"/>
      <c r="AS98" s="220"/>
      <c r="AT98" s="220"/>
      <c r="AU98" s="220"/>
      <c r="AV98" s="220"/>
      <c r="AW98" s="220"/>
      <c r="AX98" s="220"/>
      <c r="AY98" s="220"/>
      <c r="AZ98" s="220"/>
    </row>
    <row r="99" ht="26.25" customHeight="1">
      <c r="A99" s="235"/>
      <c r="B99" s="236" t="s">
        <v>539</v>
      </c>
      <c r="C99" s="189">
        <f>30-4</f>
        <v>26</v>
      </c>
      <c r="D99" s="189">
        <v>12.0</v>
      </c>
      <c r="E99" s="189">
        <v>3.0</v>
      </c>
      <c r="F99" s="231">
        <v>43500.0</v>
      </c>
      <c r="G99" s="189">
        <v>2.0</v>
      </c>
      <c r="H99" s="183">
        <v>29000.0</v>
      </c>
      <c r="I99" s="189">
        <v>1.0</v>
      </c>
      <c r="J99" s="183">
        <f>D105</f>
        <v>76125</v>
      </c>
      <c r="K99" s="189">
        <v>0.4</v>
      </c>
      <c r="L99" s="232">
        <f t="shared" si="9"/>
        <v>105850</v>
      </c>
      <c r="M99" s="232">
        <f t="shared" si="10"/>
        <v>2752100</v>
      </c>
      <c r="N99" s="233"/>
      <c r="O99" s="233"/>
      <c r="P99" s="233"/>
      <c r="Q99" s="234"/>
      <c r="R99" s="234"/>
      <c r="S99" s="218"/>
      <c r="T99" s="218"/>
      <c r="U99" s="218"/>
      <c r="V99" s="218"/>
      <c r="W99" s="218"/>
      <c r="X99" s="218"/>
      <c r="Y99" s="218"/>
      <c r="Z99" s="218"/>
      <c r="AA99" s="218"/>
      <c r="AB99" s="218"/>
      <c r="AC99" s="218"/>
      <c r="AD99" s="218"/>
      <c r="AE99" s="218"/>
      <c r="AF99" s="218"/>
      <c r="AG99" s="218"/>
      <c r="AH99" s="218"/>
      <c r="AI99" s="218"/>
      <c r="AJ99" s="218"/>
      <c r="AK99" s="218"/>
      <c r="AL99" s="218"/>
      <c r="AM99" s="218"/>
      <c r="AN99" s="218"/>
      <c r="AO99" s="218"/>
      <c r="AP99" s="218"/>
      <c r="AQ99" s="218"/>
      <c r="AR99" s="220"/>
      <c r="AS99" s="220"/>
      <c r="AT99" s="220"/>
      <c r="AU99" s="220"/>
      <c r="AV99" s="220"/>
      <c r="AW99" s="220"/>
      <c r="AX99" s="220"/>
      <c r="AY99" s="220"/>
      <c r="AZ99" s="220"/>
    </row>
    <row r="100" ht="26.25" customHeight="1">
      <c r="A100" s="219"/>
      <c r="B100" s="218"/>
      <c r="C100" s="218"/>
      <c r="D100" s="218"/>
      <c r="E100" s="218"/>
      <c r="F100" s="218"/>
      <c r="G100" s="218"/>
      <c r="H100" s="218"/>
      <c r="I100" s="218"/>
      <c r="J100" s="218"/>
      <c r="K100" s="218"/>
      <c r="L100" s="218"/>
      <c r="M100" s="218"/>
      <c r="N100" s="219"/>
      <c r="O100" s="219"/>
      <c r="P100" s="219"/>
      <c r="Q100" s="219"/>
      <c r="R100" s="219"/>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c r="AO100" s="218"/>
      <c r="AP100" s="218"/>
      <c r="AQ100" s="218"/>
      <c r="AR100" s="220"/>
      <c r="AS100" s="220"/>
      <c r="AT100" s="220"/>
      <c r="AU100" s="220"/>
      <c r="AV100" s="220"/>
      <c r="AW100" s="220"/>
      <c r="AX100" s="220"/>
      <c r="AY100" s="220"/>
      <c r="AZ100" s="220"/>
    </row>
    <row r="101" ht="26.25" customHeight="1">
      <c r="A101" s="243"/>
      <c r="B101" s="244" t="s">
        <v>540</v>
      </c>
      <c r="C101" s="260" t="s">
        <v>568</v>
      </c>
      <c r="D101" s="47"/>
      <c r="E101" s="12"/>
      <c r="F101" s="218"/>
      <c r="G101" s="218"/>
      <c r="H101" s="218"/>
      <c r="I101" s="218"/>
      <c r="J101" s="218"/>
      <c r="K101" s="218"/>
      <c r="L101" s="218"/>
      <c r="M101" s="218"/>
      <c r="N101" s="219"/>
      <c r="O101" s="219"/>
      <c r="P101" s="219"/>
      <c r="Q101" s="219"/>
      <c r="R101" s="219"/>
      <c r="S101" s="218"/>
      <c r="T101" s="218"/>
      <c r="U101" s="218"/>
      <c r="V101" s="218"/>
      <c r="W101" s="218"/>
      <c r="X101" s="218"/>
      <c r="Y101" s="218"/>
      <c r="Z101" s="218"/>
      <c r="AA101" s="218"/>
      <c r="AB101" s="218"/>
      <c r="AC101" s="218"/>
      <c r="AD101" s="218"/>
      <c r="AE101" s="218"/>
      <c r="AF101" s="218"/>
      <c r="AG101" s="218"/>
      <c r="AH101" s="218"/>
      <c r="AI101" s="218"/>
      <c r="AJ101" s="218"/>
      <c r="AK101" s="218"/>
      <c r="AL101" s="218"/>
      <c r="AM101" s="218"/>
      <c r="AN101" s="218"/>
      <c r="AO101" s="218"/>
      <c r="AP101" s="218"/>
      <c r="AQ101" s="218"/>
      <c r="AR101" s="220"/>
      <c r="AS101" s="220"/>
      <c r="AT101" s="220"/>
      <c r="AU101" s="220"/>
      <c r="AV101" s="220"/>
      <c r="AW101" s="220"/>
      <c r="AX101" s="220"/>
      <c r="AY101" s="220"/>
      <c r="AZ101" s="220"/>
    </row>
    <row r="102" ht="26.25" customHeight="1">
      <c r="A102" s="243"/>
      <c r="B102" s="33"/>
      <c r="C102" s="246" t="s">
        <v>542</v>
      </c>
      <c r="D102" s="247" t="s">
        <v>543</v>
      </c>
      <c r="E102" s="246" t="s">
        <v>544</v>
      </c>
      <c r="F102" s="218"/>
      <c r="G102" s="218"/>
      <c r="H102" s="218"/>
      <c r="I102" s="218"/>
      <c r="J102" s="218"/>
      <c r="K102" s="218"/>
      <c r="L102" s="218"/>
      <c r="M102" s="218"/>
      <c r="N102" s="219"/>
      <c r="O102" s="219"/>
      <c r="P102" s="219"/>
      <c r="Q102" s="219"/>
      <c r="R102" s="219"/>
      <c r="S102" s="218"/>
      <c r="T102" s="218"/>
      <c r="U102" s="218"/>
      <c r="V102" s="218"/>
      <c r="W102" s="218"/>
      <c r="X102" s="218"/>
      <c r="Y102" s="218"/>
      <c r="Z102" s="218"/>
      <c r="AA102" s="218"/>
      <c r="AB102" s="218"/>
      <c r="AC102" s="218"/>
      <c r="AD102" s="218"/>
      <c r="AE102" s="218"/>
      <c r="AF102" s="218"/>
      <c r="AG102" s="218"/>
      <c r="AH102" s="218"/>
      <c r="AI102" s="218"/>
      <c r="AJ102" s="218"/>
      <c r="AK102" s="218"/>
      <c r="AL102" s="218"/>
      <c r="AM102" s="218"/>
      <c r="AN102" s="218"/>
      <c r="AO102" s="218"/>
      <c r="AP102" s="218"/>
      <c r="AQ102" s="218"/>
      <c r="AR102" s="220"/>
      <c r="AS102" s="220"/>
      <c r="AT102" s="220"/>
      <c r="AU102" s="220"/>
      <c r="AV102" s="220"/>
      <c r="AW102" s="220"/>
      <c r="AX102" s="220"/>
      <c r="AY102" s="220"/>
      <c r="AZ102" s="220"/>
    </row>
    <row r="103" ht="26.25" customHeight="1">
      <c r="A103" s="261"/>
      <c r="B103" s="262" t="s">
        <v>564</v>
      </c>
      <c r="C103" s="231">
        <f>C82*G105</f>
        <v>45675</v>
      </c>
      <c r="D103" s="231">
        <f>D82*G105</f>
        <v>45675</v>
      </c>
      <c r="E103" s="231">
        <f>E82*G105</f>
        <v>45675</v>
      </c>
      <c r="F103" s="218"/>
      <c r="G103" s="218"/>
      <c r="H103" s="218"/>
      <c r="I103" s="218"/>
      <c r="J103" s="218"/>
      <c r="K103" s="218"/>
      <c r="L103" s="218"/>
      <c r="M103" s="218"/>
      <c r="N103" s="219"/>
      <c r="O103" s="219"/>
      <c r="P103" s="219"/>
      <c r="Q103" s="219"/>
      <c r="R103" s="219"/>
      <c r="S103" s="218"/>
      <c r="T103" s="218"/>
      <c r="U103" s="218"/>
      <c r="V103" s="218"/>
      <c r="W103" s="218"/>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20"/>
      <c r="AS103" s="220"/>
      <c r="AT103" s="220"/>
      <c r="AU103" s="220"/>
      <c r="AV103" s="220"/>
      <c r="AW103" s="220"/>
      <c r="AX103" s="220"/>
      <c r="AY103" s="220"/>
      <c r="AZ103" s="220"/>
    </row>
    <row r="104" ht="26.25" customHeight="1">
      <c r="A104" s="261"/>
      <c r="B104" s="262" t="s">
        <v>565</v>
      </c>
      <c r="C104" s="183">
        <f>C83*G105</f>
        <v>30450</v>
      </c>
      <c r="D104" s="183">
        <f>D83*G105</f>
        <v>30450</v>
      </c>
      <c r="E104" s="183">
        <f>E83*G105</f>
        <v>30450</v>
      </c>
      <c r="F104" s="218"/>
      <c r="G104" s="218"/>
      <c r="H104" s="218"/>
      <c r="I104" s="218"/>
      <c r="J104" s="218"/>
      <c r="K104" s="218"/>
      <c r="L104" s="218"/>
      <c r="M104" s="218"/>
      <c r="N104" s="219"/>
      <c r="O104" s="219"/>
      <c r="P104" s="219"/>
      <c r="Q104" s="219"/>
      <c r="R104" s="219"/>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20"/>
      <c r="AS104" s="220"/>
      <c r="AT104" s="220"/>
      <c r="AU104" s="220"/>
      <c r="AV104" s="220"/>
      <c r="AW104" s="220"/>
      <c r="AX104" s="220"/>
      <c r="AY104" s="220"/>
      <c r="AZ104" s="220"/>
    </row>
    <row r="105" ht="26.25" customHeight="1">
      <c r="A105" s="261"/>
      <c r="B105" s="262" t="s">
        <v>566</v>
      </c>
      <c r="C105" s="183">
        <f>C84*G105</f>
        <v>76125</v>
      </c>
      <c r="D105" s="183">
        <f>D84*G105</f>
        <v>76125</v>
      </c>
      <c r="E105" s="183">
        <f>E84*G105</f>
        <v>76125</v>
      </c>
      <c r="F105" s="252" t="s">
        <v>550</v>
      </c>
      <c r="G105" s="253">
        <v>1.05</v>
      </c>
      <c r="H105" s="218"/>
      <c r="I105" s="218"/>
      <c r="J105" s="218"/>
      <c r="K105" s="218"/>
      <c r="L105" s="218"/>
      <c r="M105" s="218"/>
      <c r="N105" s="219"/>
      <c r="O105" s="219"/>
      <c r="P105" s="219"/>
      <c r="Q105" s="219"/>
      <c r="R105" s="219"/>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20"/>
      <c r="AS105" s="220"/>
      <c r="AT105" s="220"/>
      <c r="AU105" s="220"/>
      <c r="AV105" s="220"/>
      <c r="AW105" s="220"/>
      <c r="AX105" s="220"/>
      <c r="AY105" s="220"/>
      <c r="AZ105" s="220"/>
    </row>
    <row r="106" ht="26.25" customHeight="1">
      <c r="A106" s="219"/>
      <c r="B106" s="218"/>
      <c r="C106" s="218"/>
      <c r="D106" s="218"/>
      <c r="E106" s="218"/>
      <c r="F106" s="218"/>
      <c r="G106" s="218"/>
      <c r="H106" s="218"/>
      <c r="I106" s="218"/>
      <c r="J106" s="218"/>
      <c r="K106" s="218"/>
      <c r="L106" s="218"/>
      <c r="M106" s="218"/>
      <c r="N106" s="219"/>
      <c r="O106" s="219"/>
      <c r="P106" s="219"/>
      <c r="Q106" s="219"/>
      <c r="R106" s="219"/>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20"/>
      <c r="AS106" s="220"/>
      <c r="AT106" s="220"/>
      <c r="AU106" s="220"/>
      <c r="AV106" s="220"/>
      <c r="AW106" s="220"/>
      <c r="AX106" s="220"/>
      <c r="AY106" s="220"/>
      <c r="AZ106" s="220"/>
    </row>
    <row r="107" ht="26.25" customHeight="1">
      <c r="A107" s="223"/>
      <c r="B107" s="257" t="s">
        <v>569</v>
      </c>
      <c r="C107" s="47"/>
      <c r="D107" s="47"/>
      <c r="E107" s="47"/>
      <c r="F107" s="47"/>
      <c r="G107" s="47"/>
      <c r="H107" s="47"/>
      <c r="I107" s="47"/>
      <c r="J107" s="47"/>
      <c r="K107" s="47"/>
      <c r="L107" s="47"/>
      <c r="M107" s="12"/>
      <c r="N107" s="223"/>
      <c r="O107" s="223"/>
      <c r="P107" s="223"/>
      <c r="Q107" s="223"/>
      <c r="R107" s="223"/>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20"/>
      <c r="AS107" s="220"/>
      <c r="AT107" s="220"/>
      <c r="AU107" s="220"/>
      <c r="AV107" s="220"/>
      <c r="AW107" s="220"/>
      <c r="AX107" s="220"/>
      <c r="AY107" s="220"/>
      <c r="AZ107" s="220"/>
    </row>
    <row r="108" ht="26.25" customHeight="1">
      <c r="A108" s="226"/>
      <c r="B108" s="258" t="s">
        <v>520</v>
      </c>
      <c r="C108" s="258" t="s">
        <v>521</v>
      </c>
      <c r="D108" s="259" t="s">
        <v>557</v>
      </c>
      <c r="E108" s="259" t="s">
        <v>558</v>
      </c>
      <c r="F108" s="259" t="s">
        <v>559</v>
      </c>
      <c r="G108" s="259" t="s">
        <v>560</v>
      </c>
      <c r="H108" s="259" t="s">
        <v>561</v>
      </c>
      <c r="I108" s="259" t="s">
        <v>562</v>
      </c>
      <c r="J108" s="259" t="s">
        <v>561</v>
      </c>
      <c r="K108" s="228" t="s">
        <v>525</v>
      </c>
      <c r="L108" s="258" t="s">
        <v>526</v>
      </c>
      <c r="M108" s="258" t="s">
        <v>527</v>
      </c>
      <c r="N108" s="226"/>
      <c r="O108" s="226"/>
      <c r="P108" s="226"/>
      <c r="Q108" s="226"/>
      <c r="R108" s="226"/>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20"/>
      <c r="AS108" s="220"/>
      <c r="AT108" s="220"/>
      <c r="AU108" s="220"/>
      <c r="AV108" s="220"/>
      <c r="AW108" s="220"/>
      <c r="AX108" s="220"/>
      <c r="AY108" s="220"/>
      <c r="AZ108" s="220"/>
    </row>
    <row r="109" ht="26.25" customHeight="1">
      <c r="A109" s="226"/>
      <c r="B109" s="230" t="s">
        <v>528</v>
      </c>
      <c r="C109" s="180">
        <f>31-4</f>
        <v>27</v>
      </c>
      <c r="D109" s="189">
        <v>12.0</v>
      </c>
      <c r="E109" s="189">
        <v>3.0</v>
      </c>
      <c r="F109" s="231">
        <v>43500.0</v>
      </c>
      <c r="G109" s="189">
        <v>2.0</v>
      </c>
      <c r="H109" s="183">
        <v>29000.0</v>
      </c>
      <c r="I109" s="189">
        <v>1.0</v>
      </c>
      <c r="J109" s="183">
        <f>C126</f>
        <v>79931.25</v>
      </c>
      <c r="K109" s="189">
        <v>0.7</v>
      </c>
      <c r="L109" s="232">
        <f t="shared" ref="L109:L120" si="11">(E109*F109*K109)+(G109*H109*K109)+(I109*J109*K109)</f>
        <v>187901.875</v>
      </c>
      <c r="M109" s="232">
        <f t="shared" ref="M109:M120" si="12">L109*C109</f>
        <v>5073350.625</v>
      </c>
      <c r="N109" s="233"/>
      <c r="O109" s="233"/>
      <c r="P109" s="233"/>
      <c r="Q109" s="234"/>
      <c r="R109" s="234"/>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20"/>
      <c r="AS109" s="220"/>
      <c r="AT109" s="220"/>
      <c r="AU109" s="220"/>
      <c r="AV109" s="220"/>
      <c r="AW109" s="220"/>
      <c r="AX109" s="220"/>
      <c r="AY109" s="220"/>
      <c r="AZ109" s="220"/>
    </row>
    <row r="110" ht="26.25" customHeight="1">
      <c r="A110" s="235"/>
      <c r="B110" s="236" t="s">
        <v>529</v>
      </c>
      <c r="C110" s="180">
        <f>28-4</f>
        <v>24</v>
      </c>
      <c r="D110" s="189">
        <v>12.0</v>
      </c>
      <c r="E110" s="189">
        <v>3.0</v>
      </c>
      <c r="F110" s="231">
        <v>43500.0</v>
      </c>
      <c r="G110" s="189">
        <v>2.0</v>
      </c>
      <c r="H110" s="183">
        <v>29000.0</v>
      </c>
      <c r="I110" s="189">
        <v>1.0</v>
      </c>
      <c r="J110" s="183">
        <f>C126</f>
        <v>79931.25</v>
      </c>
      <c r="K110" s="189">
        <v>0.7</v>
      </c>
      <c r="L110" s="232">
        <f t="shared" si="11"/>
        <v>187901.875</v>
      </c>
      <c r="M110" s="232">
        <f t="shared" si="12"/>
        <v>4509645</v>
      </c>
      <c r="N110" s="233"/>
      <c r="O110" s="233"/>
      <c r="P110" s="233"/>
      <c r="Q110" s="234"/>
      <c r="R110" s="234"/>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20"/>
      <c r="AS110" s="220"/>
      <c r="AT110" s="220"/>
      <c r="AU110" s="220"/>
      <c r="AV110" s="220"/>
      <c r="AW110" s="220"/>
      <c r="AX110" s="220"/>
      <c r="AY110" s="220"/>
      <c r="AZ110" s="220"/>
    </row>
    <row r="111" ht="26.25" customHeight="1">
      <c r="A111" s="235"/>
      <c r="B111" s="236" t="s">
        <v>530</v>
      </c>
      <c r="C111" s="180">
        <f>31-4</f>
        <v>27</v>
      </c>
      <c r="D111" s="189">
        <v>12.0</v>
      </c>
      <c r="E111" s="189">
        <v>3.0</v>
      </c>
      <c r="F111" s="231">
        <v>43500.0</v>
      </c>
      <c r="G111" s="189">
        <v>2.0</v>
      </c>
      <c r="H111" s="183">
        <v>29000.0</v>
      </c>
      <c r="I111" s="189">
        <v>1.0</v>
      </c>
      <c r="J111" s="183">
        <f>D126</f>
        <v>79931.25</v>
      </c>
      <c r="K111" s="189">
        <v>0.4</v>
      </c>
      <c r="L111" s="232">
        <f t="shared" si="11"/>
        <v>107372.5</v>
      </c>
      <c r="M111" s="232">
        <f t="shared" si="12"/>
        <v>2899057.5</v>
      </c>
      <c r="N111" s="233"/>
      <c r="O111" s="233"/>
      <c r="P111" s="233"/>
      <c r="Q111" s="234"/>
      <c r="R111" s="234"/>
      <c r="S111" s="218"/>
      <c r="T111" s="218"/>
      <c r="U111" s="218"/>
      <c r="V111" s="218"/>
      <c r="W111" s="218"/>
      <c r="X111" s="218"/>
      <c r="Y111" s="218"/>
      <c r="Z111" s="218"/>
      <c r="AA111" s="218"/>
      <c r="AB111" s="218"/>
      <c r="AC111" s="218"/>
      <c r="AD111" s="218"/>
      <c r="AE111" s="218"/>
      <c r="AF111" s="218"/>
      <c r="AG111" s="218"/>
      <c r="AH111" s="218"/>
      <c r="AI111" s="218"/>
      <c r="AJ111" s="218"/>
      <c r="AK111" s="218"/>
      <c r="AL111" s="218"/>
      <c r="AM111" s="218"/>
      <c r="AN111" s="218"/>
      <c r="AO111" s="218"/>
      <c r="AP111" s="218"/>
      <c r="AQ111" s="218"/>
      <c r="AR111" s="220"/>
      <c r="AS111" s="220"/>
      <c r="AT111" s="220"/>
      <c r="AU111" s="220"/>
      <c r="AV111" s="220"/>
      <c r="AW111" s="220"/>
      <c r="AX111" s="220"/>
      <c r="AY111" s="220"/>
      <c r="AZ111" s="220"/>
    </row>
    <row r="112" ht="26.25" customHeight="1">
      <c r="A112" s="235"/>
      <c r="B112" s="236" t="s">
        <v>531</v>
      </c>
      <c r="C112" s="189">
        <f>30-4</f>
        <v>26</v>
      </c>
      <c r="D112" s="189">
        <v>12.0</v>
      </c>
      <c r="E112" s="189">
        <v>3.0</v>
      </c>
      <c r="F112" s="231">
        <v>43500.0</v>
      </c>
      <c r="G112" s="189">
        <v>2.0</v>
      </c>
      <c r="H112" s="183">
        <v>29000.0</v>
      </c>
      <c r="I112" s="189">
        <v>1.0</v>
      </c>
      <c r="J112" s="183">
        <f>D126</f>
        <v>79931.25</v>
      </c>
      <c r="K112" s="189">
        <v>0.4</v>
      </c>
      <c r="L112" s="232">
        <f t="shared" si="11"/>
        <v>107372.5</v>
      </c>
      <c r="M112" s="232">
        <f t="shared" si="12"/>
        <v>2791685</v>
      </c>
      <c r="N112" s="233"/>
      <c r="O112" s="233"/>
      <c r="P112" s="233"/>
      <c r="Q112" s="234"/>
      <c r="R112" s="234"/>
      <c r="S112" s="218"/>
      <c r="T112" s="218"/>
      <c r="U112" s="218"/>
      <c r="V112" s="218"/>
      <c r="W112" s="218"/>
      <c r="X112" s="218"/>
      <c r="Y112" s="218"/>
      <c r="Z112" s="218"/>
      <c r="AA112" s="218"/>
      <c r="AB112" s="218"/>
      <c r="AC112" s="218"/>
      <c r="AD112" s="218"/>
      <c r="AE112" s="218"/>
      <c r="AF112" s="218"/>
      <c r="AG112" s="218"/>
      <c r="AH112" s="218"/>
      <c r="AI112" s="218"/>
      <c r="AJ112" s="218"/>
      <c r="AK112" s="218"/>
      <c r="AL112" s="218"/>
      <c r="AM112" s="218"/>
      <c r="AN112" s="218"/>
      <c r="AO112" s="218"/>
      <c r="AP112" s="218"/>
      <c r="AQ112" s="218"/>
      <c r="AR112" s="220"/>
      <c r="AS112" s="220"/>
      <c r="AT112" s="220"/>
      <c r="AU112" s="220"/>
      <c r="AV112" s="220"/>
      <c r="AW112" s="220"/>
      <c r="AX112" s="220"/>
      <c r="AY112" s="220"/>
      <c r="AZ112" s="220"/>
    </row>
    <row r="113" ht="26.25" customHeight="1">
      <c r="A113" s="235"/>
      <c r="B113" s="236" t="s">
        <v>532</v>
      </c>
      <c r="C113" s="180">
        <f>31-4</f>
        <v>27</v>
      </c>
      <c r="D113" s="189">
        <v>12.0</v>
      </c>
      <c r="E113" s="189">
        <v>3.0</v>
      </c>
      <c r="F113" s="231">
        <v>43500.0</v>
      </c>
      <c r="G113" s="189">
        <v>2.0</v>
      </c>
      <c r="H113" s="183">
        <v>29000.0</v>
      </c>
      <c r="I113" s="189">
        <v>1.0</v>
      </c>
      <c r="J113" s="183">
        <f>E126</f>
        <v>79931.25</v>
      </c>
      <c r="K113" s="189">
        <v>0.4</v>
      </c>
      <c r="L113" s="232">
        <f t="shared" si="11"/>
        <v>107372.5</v>
      </c>
      <c r="M113" s="232">
        <f t="shared" si="12"/>
        <v>2899057.5</v>
      </c>
      <c r="N113" s="233"/>
      <c r="O113" s="233"/>
      <c r="P113" s="233"/>
      <c r="Q113" s="234"/>
      <c r="R113" s="234"/>
      <c r="S113" s="218"/>
      <c r="T113" s="218"/>
      <c r="U113" s="218"/>
      <c r="V113" s="218"/>
      <c r="W113" s="218"/>
      <c r="X113" s="218"/>
      <c r="Y113" s="218"/>
      <c r="Z113" s="218"/>
      <c r="AA113" s="218"/>
      <c r="AB113" s="218"/>
      <c r="AC113" s="218"/>
      <c r="AD113" s="218"/>
      <c r="AE113" s="218"/>
      <c r="AF113" s="218"/>
      <c r="AG113" s="218"/>
      <c r="AH113" s="218"/>
      <c r="AI113" s="218"/>
      <c r="AJ113" s="218"/>
      <c r="AK113" s="218"/>
      <c r="AL113" s="218"/>
      <c r="AM113" s="218"/>
      <c r="AN113" s="218"/>
      <c r="AO113" s="218"/>
      <c r="AP113" s="218"/>
      <c r="AQ113" s="218"/>
      <c r="AR113" s="220"/>
      <c r="AS113" s="220"/>
      <c r="AT113" s="220"/>
      <c r="AU113" s="220"/>
      <c r="AV113" s="220"/>
      <c r="AW113" s="220"/>
      <c r="AX113" s="220"/>
      <c r="AY113" s="220"/>
      <c r="AZ113" s="220"/>
    </row>
    <row r="114" ht="26.25" customHeight="1">
      <c r="A114" s="235"/>
      <c r="B114" s="236" t="s">
        <v>533</v>
      </c>
      <c r="C114" s="180">
        <f>28-4</f>
        <v>24</v>
      </c>
      <c r="D114" s="189">
        <v>12.0</v>
      </c>
      <c r="E114" s="189">
        <v>3.0</v>
      </c>
      <c r="F114" s="231">
        <v>43500.0</v>
      </c>
      <c r="G114" s="189">
        <v>2.0</v>
      </c>
      <c r="H114" s="183">
        <v>29000.0</v>
      </c>
      <c r="I114" s="189">
        <v>1.0</v>
      </c>
      <c r="J114" s="183">
        <f>E126</f>
        <v>79931.25</v>
      </c>
      <c r="K114" s="189">
        <v>0.3</v>
      </c>
      <c r="L114" s="232">
        <f t="shared" si="11"/>
        <v>80529.375</v>
      </c>
      <c r="M114" s="232">
        <f t="shared" si="12"/>
        <v>1932705</v>
      </c>
      <c r="N114" s="233"/>
      <c r="O114" s="233"/>
      <c r="P114" s="233"/>
      <c r="Q114" s="234"/>
      <c r="R114" s="234"/>
      <c r="S114" s="218"/>
      <c r="T114" s="218"/>
      <c r="U114" s="218"/>
      <c r="V114" s="218"/>
      <c r="W114" s="218"/>
      <c r="X114" s="218"/>
      <c r="Y114" s="218"/>
      <c r="Z114" s="218"/>
      <c r="AA114" s="218"/>
      <c r="AB114" s="218"/>
      <c r="AC114" s="218"/>
      <c r="AD114" s="218"/>
      <c r="AE114" s="218"/>
      <c r="AF114" s="218"/>
      <c r="AG114" s="218"/>
      <c r="AH114" s="218"/>
      <c r="AI114" s="218"/>
      <c r="AJ114" s="218"/>
      <c r="AK114" s="218"/>
      <c r="AL114" s="218"/>
      <c r="AM114" s="218"/>
      <c r="AN114" s="218"/>
      <c r="AO114" s="218"/>
      <c r="AP114" s="218"/>
      <c r="AQ114" s="218"/>
      <c r="AR114" s="220"/>
      <c r="AS114" s="220"/>
      <c r="AT114" s="220"/>
      <c r="AU114" s="220"/>
      <c r="AV114" s="220"/>
      <c r="AW114" s="220"/>
      <c r="AX114" s="220"/>
      <c r="AY114" s="220"/>
      <c r="AZ114" s="220"/>
    </row>
    <row r="115" ht="26.25" customHeight="1">
      <c r="A115" s="235"/>
      <c r="B115" s="236" t="s">
        <v>534</v>
      </c>
      <c r="C115" s="180">
        <f>31-4</f>
        <v>27</v>
      </c>
      <c r="D115" s="189">
        <v>12.0</v>
      </c>
      <c r="E115" s="189">
        <v>3.0</v>
      </c>
      <c r="F115" s="231">
        <v>43500.0</v>
      </c>
      <c r="G115" s="189">
        <v>2.0</v>
      </c>
      <c r="H115" s="183">
        <v>29000.0</v>
      </c>
      <c r="I115" s="189">
        <v>1.0</v>
      </c>
      <c r="J115" s="183">
        <f>C126</f>
        <v>79931.25</v>
      </c>
      <c r="K115" s="189">
        <v>0.9</v>
      </c>
      <c r="L115" s="232">
        <f t="shared" si="11"/>
        <v>241588.125</v>
      </c>
      <c r="M115" s="232">
        <f t="shared" si="12"/>
        <v>6522879.375</v>
      </c>
      <c r="N115" s="233"/>
      <c r="O115" s="233"/>
      <c r="P115" s="233"/>
      <c r="Q115" s="234"/>
      <c r="R115" s="234"/>
      <c r="S115" s="218"/>
      <c r="T115" s="218"/>
      <c r="U115" s="218"/>
      <c r="V115" s="218"/>
      <c r="W115" s="218"/>
      <c r="X115" s="218"/>
      <c r="Y115" s="218"/>
      <c r="Z115" s="218"/>
      <c r="AA115" s="218"/>
      <c r="AB115" s="218"/>
      <c r="AC115" s="218"/>
      <c r="AD115" s="218"/>
      <c r="AE115" s="218"/>
      <c r="AF115" s="218"/>
      <c r="AG115" s="218"/>
      <c r="AH115" s="218"/>
      <c r="AI115" s="218"/>
      <c r="AJ115" s="218"/>
      <c r="AK115" s="218"/>
      <c r="AL115" s="218"/>
      <c r="AM115" s="218"/>
      <c r="AN115" s="218"/>
      <c r="AO115" s="218"/>
      <c r="AP115" s="218"/>
      <c r="AQ115" s="218"/>
      <c r="AR115" s="220"/>
      <c r="AS115" s="220"/>
      <c r="AT115" s="220"/>
      <c r="AU115" s="220"/>
      <c r="AV115" s="220"/>
      <c r="AW115" s="220"/>
      <c r="AX115" s="220"/>
      <c r="AY115" s="220"/>
      <c r="AZ115" s="220"/>
    </row>
    <row r="116" ht="26.25" customHeight="1">
      <c r="A116" s="235"/>
      <c r="B116" s="236" t="s">
        <v>535</v>
      </c>
      <c r="C116" s="189">
        <f>30-4</f>
        <v>26</v>
      </c>
      <c r="D116" s="189">
        <v>12.0</v>
      </c>
      <c r="E116" s="189">
        <v>3.0</v>
      </c>
      <c r="F116" s="231">
        <v>43500.0</v>
      </c>
      <c r="G116" s="189">
        <v>2.0</v>
      </c>
      <c r="H116" s="183">
        <v>29000.0</v>
      </c>
      <c r="I116" s="189">
        <v>1.0</v>
      </c>
      <c r="J116" s="183">
        <f>C126</f>
        <v>79931.25</v>
      </c>
      <c r="K116" s="189">
        <v>0.9</v>
      </c>
      <c r="L116" s="232">
        <f t="shared" si="11"/>
        <v>241588.125</v>
      </c>
      <c r="M116" s="232">
        <f t="shared" si="12"/>
        <v>6281291.25</v>
      </c>
      <c r="N116" s="233"/>
      <c r="O116" s="233"/>
      <c r="P116" s="233"/>
      <c r="Q116" s="234"/>
      <c r="R116" s="234"/>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20"/>
      <c r="AS116" s="220"/>
      <c r="AT116" s="220"/>
      <c r="AU116" s="220"/>
      <c r="AV116" s="220"/>
      <c r="AW116" s="220"/>
      <c r="AX116" s="220"/>
      <c r="AY116" s="220"/>
      <c r="AZ116" s="220"/>
    </row>
    <row r="117" ht="26.25" customHeight="1">
      <c r="A117" s="235"/>
      <c r="B117" s="236" t="s">
        <v>536</v>
      </c>
      <c r="C117" s="180">
        <f>31-4</f>
        <v>27</v>
      </c>
      <c r="D117" s="189">
        <v>12.0</v>
      </c>
      <c r="E117" s="189">
        <v>3.0</v>
      </c>
      <c r="F117" s="231">
        <v>43500.0</v>
      </c>
      <c r="G117" s="189">
        <v>2.0</v>
      </c>
      <c r="H117" s="183">
        <v>29000.0</v>
      </c>
      <c r="I117" s="189">
        <v>1.0</v>
      </c>
      <c r="J117" s="183">
        <f>E126</f>
        <v>79931.25</v>
      </c>
      <c r="K117" s="189">
        <v>0.4</v>
      </c>
      <c r="L117" s="232">
        <f t="shared" si="11"/>
        <v>107372.5</v>
      </c>
      <c r="M117" s="232">
        <f t="shared" si="12"/>
        <v>2899057.5</v>
      </c>
      <c r="N117" s="233"/>
      <c r="O117" s="233"/>
      <c r="P117" s="233"/>
      <c r="Q117" s="234"/>
      <c r="R117" s="234"/>
      <c r="S117" s="218"/>
      <c r="T117" s="218"/>
      <c r="U117" s="218"/>
      <c r="V117" s="218"/>
      <c r="W117" s="218"/>
      <c r="X117" s="218"/>
      <c r="Y117" s="218"/>
      <c r="Z117" s="218"/>
      <c r="AA117" s="218"/>
      <c r="AB117" s="218"/>
      <c r="AC117" s="218"/>
      <c r="AD117" s="218"/>
      <c r="AE117" s="218"/>
      <c r="AF117" s="218"/>
      <c r="AG117" s="218"/>
      <c r="AH117" s="218"/>
      <c r="AI117" s="218"/>
      <c r="AJ117" s="218"/>
      <c r="AK117" s="218"/>
      <c r="AL117" s="218"/>
      <c r="AM117" s="218"/>
      <c r="AN117" s="218"/>
      <c r="AO117" s="218"/>
      <c r="AP117" s="218"/>
      <c r="AQ117" s="218"/>
      <c r="AR117" s="220"/>
      <c r="AS117" s="220"/>
      <c r="AT117" s="220"/>
      <c r="AU117" s="220"/>
      <c r="AV117" s="220"/>
      <c r="AW117" s="220"/>
      <c r="AX117" s="220"/>
      <c r="AY117" s="220"/>
      <c r="AZ117" s="220"/>
    </row>
    <row r="118" ht="26.25" customHeight="1">
      <c r="A118" s="235"/>
      <c r="B118" s="236" t="s">
        <v>537</v>
      </c>
      <c r="C118" s="180">
        <f>28-4</f>
        <v>24</v>
      </c>
      <c r="D118" s="189">
        <v>12.0</v>
      </c>
      <c r="E118" s="189">
        <v>3.0</v>
      </c>
      <c r="F118" s="231">
        <v>43500.0</v>
      </c>
      <c r="G118" s="189">
        <v>2.0</v>
      </c>
      <c r="H118" s="183">
        <v>29000.0</v>
      </c>
      <c r="I118" s="189">
        <v>1.0</v>
      </c>
      <c r="J118" s="183">
        <f>D126</f>
        <v>79931.25</v>
      </c>
      <c r="K118" s="189">
        <v>0.5</v>
      </c>
      <c r="L118" s="232">
        <f t="shared" si="11"/>
        <v>134215.625</v>
      </c>
      <c r="M118" s="232">
        <f t="shared" si="12"/>
        <v>3221175</v>
      </c>
      <c r="N118" s="233"/>
      <c r="O118" s="233"/>
      <c r="P118" s="233"/>
      <c r="Q118" s="234"/>
      <c r="R118" s="234"/>
      <c r="S118" s="218"/>
      <c r="T118" s="218"/>
      <c r="U118" s="218"/>
      <c r="V118" s="218"/>
      <c r="W118" s="218"/>
      <c r="X118" s="218"/>
      <c r="Y118" s="218"/>
      <c r="Z118" s="218"/>
      <c r="AA118" s="218"/>
      <c r="AB118" s="218"/>
      <c r="AC118" s="218"/>
      <c r="AD118" s="218"/>
      <c r="AE118" s="218"/>
      <c r="AF118" s="218"/>
      <c r="AG118" s="218"/>
      <c r="AH118" s="218"/>
      <c r="AI118" s="218"/>
      <c r="AJ118" s="218"/>
      <c r="AK118" s="218"/>
      <c r="AL118" s="218"/>
      <c r="AM118" s="218"/>
      <c r="AN118" s="218"/>
      <c r="AO118" s="218"/>
      <c r="AP118" s="218"/>
      <c r="AQ118" s="218"/>
      <c r="AR118" s="220"/>
      <c r="AS118" s="220"/>
      <c r="AT118" s="220"/>
      <c r="AU118" s="220"/>
      <c r="AV118" s="220"/>
      <c r="AW118" s="220"/>
      <c r="AX118" s="220"/>
      <c r="AY118" s="220"/>
      <c r="AZ118" s="220"/>
    </row>
    <row r="119" ht="26.25" customHeight="1">
      <c r="A119" s="235"/>
      <c r="B119" s="236" t="s">
        <v>538</v>
      </c>
      <c r="C119" s="180">
        <f>31-4</f>
        <v>27</v>
      </c>
      <c r="D119" s="189">
        <v>12.0</v>
      </c>
      <c r="E119" s="189">
        <v>3.0</v>
      </c>
      <c r="F119" s="231">
        <v>43500.0</v>
      </c>
      <c r="G119" s="189">
        <v>2.0</v>
      </c>
      <c r="H119" s="183">
        <v>29000.0</v>
      </c>
      <c r="I119" s="189">
        <v>1.0</v>
      </c>
      <c r="J119" s="183">
        <f>D126</f>
        <v>79931.25</v>
      </c>
      <c r="K119" s="189">
        <v>0.5</v>
      </c>
      <c r="L119" s="232">
        <f t="shared" si="11"/>
        <v>134215.625</v>
      </c>
      <c r="M119" s="232">
        <f t="shared" si="12"/>
        <v>3623821.875</v>
      </c>
      <c r="N119" s="233"/>
      <c r="O119" s="233"/>
      <c r="P119" s="233"/>
      <c r="Q119" s="234"/>
      <c r="R119" s="234"/>
      <c r="S119" s="218"/>
      <c r="T119" s="218"/>
      <c r="U119" s="218"/>
      <c r="V119" s="218"/>
      <c r="W119" s="218"/>
      <c r="X119" s="218"/>
      <c r="Y119" s="218"/>
      <c r="Z119" s="218"/>
      <c r="AA119" s="218"/>
      <c r="AB119" s="218"/>
      <c r="AC119" s="218"/>
      <c r="AD119" s="218"/>
      <c r="AE119" s="218"/>
      <c r="AF119" s="218"/>
      <c r="AG119" s="218"/>
      <c r="AH119" s="218"/>
      <c r="AI119" s="218"/>
      <c r="AJ119" s="218"/>
      <c r="AK119" s="218"/>
      <c r="AL119" s="218"/>
      <c r="AM119" s="218"/>
      <c r="AN119" s="218"/>
      <c r="AO119" s="218"/>
      <c r="AP119" s="218"/>
      <c r="AQ119" s="218"/>
      <c r="AR119" s="220"/>
      <c r="AS119" s="220"/>
      <c r="AT119" s="220"/>
      <c r="AU119" s="220"/>
      <c r="AV119" s="220"/>
      <c r="AW119" s="220"/>
      <c r="AX119" s="220"/>
      <c r="AY119" s="220"/>
      <c r="AZ119" s="220"/>
    </row>
    <row r="120" ht="26.25" customHeight="1">
      <c r="A120" s="235"/>
      <c r="B120" s="236" t="s">
        <v>539</v>
      </c>
      <c r="C120" s="189">
        <f>30-4</f>
        <v>26</v>
      </c>
      <c r="D120" s="189">
        <v>12.0</v>
      </c>
      <c r="E120" s="189">
        <v>3.0</v>
      </c>
      <c r="F120" s="231">
        <v>43500.0</v>
      </c>
      <c r="G120" s="189">
        <v>2.0</v>
      </c>
      <c r="H120" s="183">
        <v>29000.0</v>
      </c>
      <c r="I120" s="189">
        <v>1.0</v>
      </c>
      <c r="J120" s="183">
        <f>D126</f>
        <v>79931.25</v>
      </c>
      <c r="K120" s="189">
        <v>0.6</v>
      </c>
      <c r="L120" s="232">
        <f t="shared" si="11"/>
        <v>161058.75</v>
      </c>
      <c r="M120" s="232">
        <f t="shared" si="12"/>
        <v>4187527.5</v>
      </c>
      <c r="N120" s="233"/>
      <c r="O120" s="233"/>
      <c r="P120" s="233"/>
      <c r="Q120" s="234"/>
      <c r="R120" s="234"/>
      <c r="S120" s="218"/>
      <c r="T120" s="218"/>
      <c r="U120" s="218"/>
      <c r="V120" s="218"/>
      <c r="W120" s="218"/>
      <c r="X120" s="218"/>
      <c r="Y120" s="218"/>
      <c r="Z120" s="218"/>
      <c r="AA120" s="218"/>
      <c r="AB120" s="218"/>
      <c r="AC120" s="218"/>
      <c r="AD120" s="218"/>
      <c r="AE120" s="218"/>
      <c r="AF120" s="218"/>
      <c r="AG120" s="218"/>
      <c r="AH120" s="218"/>
      <c r="AI120" s="218"/>
      <c r="AJ120" s="218"/>
      <c r="AK120" s="218"/>
      <c r="AL120" s="218"/>
      <c r="AM120" s="218"/>
      <c r="AN120" s="218"/>
      <c r="AO120" s="218"/>
      <c r="AP120" s="218"/>
      <c r="AQ120" s="218"/>
      <c r="AR120" s="220"/>
      <c r="AS120" s="220"/>
      <c r="AT120" s="220"/>
      <c r="AU120" s="220"/>
      <c r="AV120" s="220"/>
      <c r="AW120" s="220"/>
      <c r="AX120" s="220"/>
      <c r="AY120" s="220"/>
      <c r="AZ120" s="220"/>
    </row>
    <row r="121" ht="26.25" customHeight="1">
      <c r="A121" s="219"/>
      <c r="B121" s="218"/>
      <c r="C121" s="218"/>
      <c r="D121" s="218"/>
      <c r="E121" s="218"/>
      <c r="F121" s="218"/>
      <c r="G121" s="218"/>
      <c r="H121" s="218"/>
      <c r="I121" s="218"/>
      <c r="J121" s="218"/>
      <c r="K121" s="218"/>
      <c r="L121" s="218"/>
      <c r="M121" s="218"/>
      <c r="N121" s="219"/>
      <c r="O121" s="219"/>
      <c r="P121" s="219"/>
      <c r="Q121" s="219"/>
      <c r="R121" s="219"/>
      <c r="S121" s="218"/>
      <c r="T121" s="218"/>
      <c r="U121" s="218"/>
      <c r="V121" s="218"/>
      <c r="W121" s="218"/>
      <c r="X121" s="218"/>
      <c r="Y121" s="218"/>
      <c r="Z121" s="218"/>
      <c r="AA121" s="218"/>
      <c r="AB121" s="218"/>
      <c r="AC121" s="218"/>
      <c r="AD121" s="218"/>
      <c r="AE121" s="218"/>
      <c r="AF121" s="218"/>
      <c r="AG121" s="218"/>
      <c r="AH121" s="218"/>
      <c r="AI121" s="218"/>
      <c r="AJ121" s="218"/>
      <c r="AK121" s="218"/>
      <c r="AL121" s="218"/>
      <c r="AM121" s="218"/>
      <c r="AN121" s="218"/>
      <c r="AO121" s="218"/>
      <c r="AP121" s="218"/>
      <c r="AQ121" s="218"/>
      <c r="AR121" s="220"/>
      <c r="AS121" s="220"/>
      <c r="AT121" s="220"/>
      <c r="AU121" s="220"/>
      <c r="AV121" s="220"/>
      <c r="AW121" s="220"/>
      <c r="AX121" s="220"/>
      <c r="AY121" s="220"/>
      <c r="AZ121" s="220"/>
    </row>
    <row r="122" ht="26.25" customHeight="1">
      <c r="A122" s="243"/>
      <c r="B122" s="244" t="s">
        <v>540</v>
      </c>
      <c r="C122" s="260" t="s">
        <v>570</v>
      </c>
      <c r="D122" s="47"/>
      <c r="E122" s="12"/>
      <c r="F122" s="218"/>
      <c r="G122" s="218"/>
      <c r="H122" s="218"/>
      <c r="I122" s="218"/>
      <c r="J122" s="218"/>
      <c r="K122" s="218"/>
      <c r="L122" s="218"/>
      <c r="M122" s="218"/>
      <c r="N122" s="219"/>
      <c r="O122" s="219"/>
      <c r="P122" s="219"/>
      <c r="Q122" s="219"/>
      <c r="R122" s="219"/>
      <c r="S122" s="218"/>
      <c r="T122" s="218"/>
      <c r="U122" s="218"/>
      <c r="V122" s="218"/>
      <c r="W122" s="218"/>
      <c r="X122" s="218"/>
      <c r="Y122" s="218"/>
      <c r="Z122" s="218"/>
      <c r="AA122" s="218"/>
      <c r="AB122" s="218"/>
      <c r="AC122" s="218"/>
      <c r="AD122" s="218"/>
      <c r="AE122" s="218"/>
      <c r="AF122" s="218"/>
      <c r="AG122" s="218"/>
      <c r="AH122" s="218"/>
      <c r="AI122" s="218"/>
      <c r="AJ122" s="218"/>
      <c r="AK122" s="218"/>
      <c r="AL122" s="218"/>
      <c r="AM122" s="218"/>
      <c r="AN122" s="218"/>
      <c r="AO122" s="218"/>
      <c r="AP122" s="218"/>
      <c r="AQ122" s="218"/>
      <c r="AR122" s="220"/>
      <c r="AS122" s="220"/>
      <c r="AT122" s="220"/>
      <c r="AU122" s="220"/>
      <c r="AV122" s="220"/>
      <c r="AW122" s="220"/>
      <c r="AX122" s="220"/>
      <c r="AY122" s="220"/>
      <c r="AZ122" s="220"/>
    </row>
    <row r="123" ht="26.25" customHeight="1">
      <c r="A123" s="243"/>
      <c r="B123" s="33"/>
      <c r="C123" s="246" t="s">
        <v>542</v>
      </c>
      <c r="D123" s="247" t="s">
        <v>543</v>
      </c>
      <c r="E123" s="246" t="s">
        <v>544</v>
      </c>
      <c r="F123" s="218"/>
      <c r="G123" s="218"/>
      <c r="H123" s="218"/>
      <c r="I123" s="218"/>
      <c r="J123" s="218"/>
      <c r="K123" s="218"/>
      <c r="L123" s="218"/>
      <c r="M123" s="218"/>
      <c r="N123" s="219"/>
      <c r="O123" s="219"/>
      <c r="P123" s="219"/>
      <c r="Q123" s="219"/>
      <c r="R123" s="219"/>
      <c r="S123" s="218"/>
      <c r="T123" s="218"/>
      <c r="U123" s="218"/>
      <c r="V123" s="218"/>
      <c r="W123" s="218"/>
      <c r="X123" s="218"/>
      <c r="Y123" s="218"/>
      <c r="Z123" s="218"/>
      <c r="AA123" s="218"/>
      <c r="AB123" s="218"/>
      <c r="AC123" s="218"/>
      <c r="AD123" s="218"/>
      <c r="AE123" s="218"/>
      <c r="AF123" s="218"/>
      <c r="AG123" s="218"/>
      <c r="AH123" s="218"/>
      <c r="AI123" s="218"/>
      <c r="AJ123" s="218"/>
      <c r="AK123" s="218"/>
      <c r="AL123" s="218"/>
      <c r="AM123" s="218"/>
      <c r="AN123" s="218"/>
      <c r="AO123" s="218"/>
      <c r="AP123" s="218"/>
      <c r="AQ123" s="218"/>
      <c r="AR123" s="220"/>
      <c r="AS123" s="220"/>
      <c r="AT123" s="220"/>
      <c r="AU123" s="220"/>
      <c r="AV123" s="220"/>
      <c r="AW123" s="220"/>
      <c r="AX123" s="220"/>
      <c r="AY123" s="220"/>
      <c r="AZ123" s="220"/>
    </row>
    <row r="124" ht="26.25" customHeight="1">
      <c r="A124" s="261"/>
      <c r="B124" s="262" t="s">
        <v>564</v>
      </c>
      <c r="C124" s="231">
        <f>C103*G126</f>
        <v>47958.75</v>
      </c>
      <c r="D124" s="231">
        <f>D103*G126</f>
        <v>47958.75</v>
      </c>
      <c r="E124" s="231">
        <f>E103*G126</f>
        <v>47958.75</v>
      </c>
      <c r="F124" s="218"/>
      <c r="G124" s="218"/>
      <c r="H124" s="218"/>
      <c r="I124" s="218"/>
      <c r="J124" s="218"/>
      <c r="K124" s="218"/>
      <c r="L124" s="218"/>
      <c r="M124" s="218"/>
      <c r="N124" s="219"/>
      <c r="O124" s="219"/>
      <c r="P124" s="219"/>
      <c r="Q124" s="219"/>
      <c r="R124" s="219"/>
      <c r="S124" s="218"/>
      <c r="T124" s="218"/>
      <c r="U124" s="218"/>
      <c r="V124" s="218"/>
      <c r="W124" s="218"/>
      <c r="X124" s="218"/>
      <c r="Y124" s="218"/>
      <c r="Z124" s="218"/>
      <c r="AA124" s="218"/>
      <c r="AB124" s="218"/>
      <c r="AC124" s="218"/>
      <c r="AD124" s="218"/>
      <c r="AE124" s="218"/>
      <c r="AF124" s="218"/>
      <c r="AG124" s="218"/>
      <c r="AH124" s="218"/>
      <c r="AI124" s="218"/>
      <c r="AJ124" s="218"/>
      <c r="AK124" s="218"/>
      <c r="AL124" s="218"/>
      <c r="AM124" s="218"/>
      <c r="AN124" s="218"/>
      <c r="AO124" s="218"/>
      <c r="AP124" s="218"/>
      <c r="AQ124" s="218"/>
      <c r="AR124" s="220"/>
      <c r="AS124" s="220"/>
      <c r="AT124" s="220"/>
      <c r="AU124" s="220"/>
      <c r="AV124" s="220"/>
      <c r="AW124" s="220"/>
      <c r="AX124" s="220"/>
      <c r="AY124" s="220"/>
      <c r="AZ124" s="220"/>
    </row>
    <row r="125" ht="26.25" customHeight="1">
      <c r="A125" s="261"/>
      <c r="B125" s="262" t="s">
        <v>565</v>
      </c>
      <c r="C125" s="183">
        <f>C104*G126</f>
        <v>31972.5</v>
      </c>
      <c r="D125" s="183">
        <f>D104*G126</f>
        <v>31972.5</v>
      </c>
      <c r="E125" s="183">
        <f>E104*G126</f>
        <v>31972.5</v>
      </c>
      <c r="F125" s="218"/>
      <c r="G125" s="218"/>
      <c r="H125" s="218"/>
      <c r="I125" s="218"/>
      <c r="J125" s="218"/>
      <c r="K125" s="218"/>
      <c r="L125" s="218"/>
      <c r="M125" s="218"/>
      <c r="N125" s="219"/>
      <c r="O125" s="219"/>
      <c r="P125" s="219"/>
      <c r="Q125" s="219"/>
      <c r="R125" s="219"/>
      <c r="S125" s="218"/>
      <c r="T125" s="218"/>
      <c r="U125" s="218"/>
      <c r="V125" s="218"/>
      <c r="W125" s="218"/>
      <c r="X125" s="218"/>
      <c r="Y125" s="218"/>
      <c r="Z125" s="218"/>
      <c r="AA125" s="218"/>
      <c r="AB125" s="218"/>
      <c r="AC125" s="218"/>
      <c r="AD125" s="218"/>
      <c r="AE125" s="218"/>
      <c r="AF125" s="218"/>
      <c r="AG125" s="218"/>
      <c r="AH125" s="218"/>
      <c r="AI125" s="218"/>
      <c r="AJ125" s="218"/>
      <c r="AK125" s="218"/>
      <c r="AL125" s="218"/>
      <c r="AM125" s="218"/>
      <c r="AN125" s="218"/>
      <c r="AO125" s="218"/>
      <c r="AP125" s="218"/>
      <c r="AQ125" s="218"/>
      <c r="AR125" s="220"/>
      <c r="AS125" s="220"/>
      <c r="AT125" s="220"/>
      <c r="AU125" s="220"/>
      <c r="AV125" s="220"/>
      <c r="AW125" s="220"/>
      <c r="AX125" s="220"/>
      <c r="AY125" s="220"/>
      <c r="AZ125" s="220"/>
    </row>
    <row r="126" ht="26.25" customHeight="1">
      <c r="A126" s="261"/>
      <c r="B126" s="262" t="s">
        <v>566</v>
      </c>
      <c r="C126" s="183">
        <f>C105*G126</f>
        <v>79931.25</v>
      </c>
      <c r="D126" s="183">
        <f>D105*G126</f>
        <v>79931.25</v>
      </c>
      <c r="E126" s="183">
        <f>E105*G126</f>
        <v>79931.25</v>
      </c>
      <c r="F126" s="252" t="s">
        <v>550</v>
      </c>
      <c r="G126" s="253">
        <v>1.05</v>
      </c>
      <c r="H126" s="218"/>
      <c r="I126" s="218"/>
      <c r="J126" s="218"/>
      <c r="K126" s="218"/>
      <c r="L126" s="218"/>
      <c r="M126" s="218"/>
      <c r="N126" s="219"/>
      <c r="O126" s="219"/>
      <c r="P126" s="219"/>
      <c r="Q126" s="219"/>
      <c r="R126" s="219"/>
      <c r="S126" s="218"/>
      <c r="T126" s="218"/>
      <c r="U126" s="218"/>
      <c r="V126" s="218"/>
      <c r="W126" s="218"/>
      <c r="X126" s="218"/>
      <c r="Y126" s="218"/>
      <c r="Z126" s="218"/>
      <c r="AA126" s="218"/>
      <c r="AB126" s="218"/>
      <c r="AC126" s="218"/>
      <c r="AD126" s="218"/>
      <c r="AE126" s="218"/>
      <c r="AF126" s="218"/>
      <c r="AG126" s="218"/>
      <c r="AH126" s="218"/>
      <c r="AI126" s="218"/>
      <c r="AJ126" s="218"/>
      <c r="AK126" s="218"/>
      <c r="AL126" s="218"/>
      <c r="AM126" s="218"/>
      <c r="AN126" s="218"/>
      <c r="AO126" s="218"/>
      <c r="AP126" s="218"/>
      <c r="AQ126" s="218"/>
      <c r="AR126" s="220"/>
      <c r="AS126" s="220"/>
      <c r="AT126" s="220"/>
      <c r="AU126" s="220"/>
      <c r="AV126" s="220"/>
      <c r="AW126" s="220"/>
      <c r="AX126" s="220"/>
      <c r="AY126" s="220"/>
      <c r="AZ126" s="220"/>
    </row>
    <row r="127" ht="26.25" customHeight="1">
      <c r="A127" s="219"/>
      <c r="B127" s="218"/>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c r="AK127" s="218"/>
      <c r="AL127" s="218"/>
      <c r="AM127" s="218"/>
      <c r="AN127" s="218"/>
      <c r="AO127" s="218"/>
      <c r="AP127" s="218"/>
      <c r="AQ127" s="218"/>
      <c r="AR127" s="220"/>
      <c r="AS127" s="220"/>
      <c r="AT127" s="220"/>
      <c r="AU127" s="220"/>
      <c r="AV127" s="220"/>
      <c r="AW127" s="220"/>
      <c r="AX127" s="220"/>
      <c r="AY127" s="220"/>
      <c r="AZ127" s="220"/>
    </row>
    <row r="128" ht="26.25" customHeight="1">
      <c r="A128" s="221"/>
      <c r="B128" s="263" t="s">
        <v>571</v>
      </c>
      <c r="C128" s="47"/>
      <c r="D128" s="47"/>
      <c r="E128" s="47"/>
      <c r="F128" s="47"/>
      <c r="G128" s="47"/>
      <c r="H128" s="47"/>
      <c r="I128" s="47"/>
      <c r="J128" s="47"/>
      <c r="K128" s="47"/>
      <c r="L128" s="47"/>
      <c r="M128" s="47"/>
      <c r="N128" s="47"/>
      <c r="O128" s="47"/>
      <c r="P128" s="47"/>
      <c r="Q128" s="12"/>
      <c r="R128" s="218"/>
      <c r="S128" s="218"/>
      <c r="T128" s="218"/>
      <c r="U128" s="218"/>
      <c r="V128" s="218"/>
      <c r="W128" s="218"/>
      <c r="X128" s="218"/>
      <c r="Y128" s="218"/>
      <c r="Z128" s="218"/>
      <c r="AA128" s="218"/>
      <c r="AB128" s="218"/>
      <c r="AC128" s="218"/>
      <c r="AD128" s="218"/>
      <c r="AE128" s="218"/>
      <c r="AF128" s="218"/>
      <c r="AG128" s="218"/>
      <c r="AH128" s="218"/>
      <c r="AI128" s="218"/>
      <c r="AJ128" s="218"/>
      <c r="AK128" s="218"/>
      <c r="AL128" s="218"/>
      <c r="AM128" s="218"/>
      <c r="AN128" s="218"/>
      <c r="AO128" s="218"/>
      <c r="AP128" s="218"/>
      <c r="AQ128" s="218"/>
      <c r="AR128" s="220"/>
      <c r="AS128" s="220"/>
      <c r="AT128" s="220"/>
      <c r="AU128" s="220"/>
      <c r="AV128" s="220"/>
      <c r="AW128" s="220"/>
      <c r="AX128" s="220"/>
      <c r="AY128" s="220"/>
      <c r="AZ128" s="220"/>
    </row>
    <row r="129" ht="26.25" customHeight="1">
      <c r="A129" s="223"/>
      <c r="B129" s="264" t="s">
        <v>572</v>
      </c>
      <c r="C129" s="47"/>
      <c r="D129" s="47"/>
      <c r="E129" s="47"/>
      <c r="F129" s="47"/>
      <c r="G129" s="47"/>
      <c r="H129" s="47"/>
      <c r="I129" s="47"/>
      <c r="J129" s="47"/>
      <c r="K129" s="47"/>
      <c r="L129" s="47"/>
      <c r="M129" s="47"/>
      <c r="N129" s="47"/>
      <c r="O129" s="47"/>
      <c r="P129" s="47"/>
      <c r="Q129" s="12"/>
      <c r="R129" s="59"/>
      <c r="S129" s="59"/>
      <c r="T129" s="218"/>
      <c r="U129" s="218"/>
      <c r="V129" s="218"/>
      <c r="W129" s="218"/>
      <c r="X129" s="218"/>
      <c r="Y129" s="218"/>
      <c r="Z129" s="218"/>
      <c r="AA129" s="218"/>
      <c r="AB129" s="218"/>
      <c r="AC129" s="218"/>
      <c r="AD129" s="218"/>
      <c r="AE129" s="218"/>
      <c r="AF129" s="218"/>
      <c r="AG129" s="218"/>
      <c r="AH129" s="218"/>
      <c r="AI129" s="218"/>
      <c r="AJ129" s="218"/>
      <c r="AK129" s="218"/>
      <c r="AL129" s="218"/>
      <c r="AM129" s="218"/>
      <c r="AN129" s="218"/>
      <c r="AO129" s="218"/>
      <c r="AP129" s="218"/>
      <c r="AQ129" s="218"/>
      <c r="AR129" s="220"/>
      <c r="AS129" s="220"/>
      <c r="AT129" s="220"/>
      <c r="AU129" s="220"/>
      <c r="AV129" s="220"/>
      <c r="AW129" s="220"/>
      <c r="AX129" s="220"/>
      <c r="AY129" s="220"/>
      <c r="AZ129" s="220"/>
    </row>
    <row r="130" ht="26.25" customHeight="1">
      <c r="A130" s="226"/>
      <c r="B130" s="265" t="s">
        <v>520</v>
      </c>
      <c r="C130" s="265" t="s">
        <v>521</v>
      </c>
      <c r="D130" s="266" t="s">
        <v>573</v>
      </c>
      <c r="E130" s="266" t="s">
        <v>574</v>
      </c>
      <c r="F130" s="266" t="s">
        <v>575</v>
      </c>
      <c r="G130" s="266" t="s">
        <v>576</v>
      </c>
      <c r="H130" s="266" t="s">
        <v>575</v>
      </c>
      <c r="I130" s="266" t="s">
        <v>577</v>
      </c>
      <c r="J130" s="266" t="s">
        <v>575</v>
      </c>
      <c r="K130" s="266" t="s">
        <v>578</v>
      </c>
      <c r="L130" s="266" t="s">
        <v>575</v>
      </c>
      <c r="M130" s="266" t="s">
        <v>579</v>
      </c>
      <c r="N130" s="266" t="s">
        <v>575</v>
      </c>
      <c r="O130" s="228" t="s">
        <v>525</v>
      </c>
      <c r="P130" s="265" t="s">
        <v>526</v>
      </c>
      <c r="Q130" s="265" t="s">
        <v>527</v>
      </c>
      <c r="R130" s="98" t="s">
        <v>5</v>
      </c>
      <c r="S130" s="267" t="s">
        <v>5</v>
      </c>
      <c r="T130" s="218"/>
      <c r="U130" s="218"/>
      <c r="V130" s="218"/>
      <c r="W130" s="218"/>
      <c r="X130" s="218"/>
      <c r="Y130" s="218"/>
      <c r="Z130" s="218"/>
      <c r="AA130" s="218"/>
      <c r="AB130" s="218"/>
      <c r="AC130" s="218"/>
      <c r="AD130" s="218"/>
      <c r="AE130" s="218"/>
      <c r="AF130" s="218"/>
      <c r="AG130" s="218"/>
      <c r="AH130" s="218"/>
      <c r="AI130" s="218"/>
      <c r="AJ130" s="218"/>
      <c r="AK130" s="218"/>
      <c r="AL130" s="218"/>
      <c r="AM130" s="218"/>
      <c r="AN130" s="218"/>
      <c r="AO130" s="218"/>
      <c r="AP130" s="218"/>
      <c r="AQ130" s="218"/>
      <c r="AR130" s="220"/>
      <c r="AS130" s="220"/>
      <c r="AT130" s="220"/>
      <c r="AU130" s="220"/>
      <c r="AV130" s="220"/>
      <c r="AW130" s="220"/>
      <c r="AX130" s="220"/>
      <c r="AY130" s="220"/>
      <c r="AZ130" s="220"/>
    </row>
    <row r="131" ht="26.25" customHeight="1">
      <c r="A131" s="226"/>
      <c r="B131" s="230" t="s">
        <v>528</v>
      </c>
      <c r="C131" s="180">
        <v>31.0</v>
      </c>
      <c r="D131" s="189">
        <v>36.0</v>
      </c>
      <c r="E131" s="189">
        <v>36.0</v>
      </c>
      <c r="F131" s="231">
        <f>C146</f>
        <v>14500</v>
      </c>
      <c r="G131" s="189">
        <v>36.0</v>
      </c>
      <c r="H131" s="183">
        <f>C147</f>
        <v>36250</v>
      </c>
      <c r="I131" s="189">
        <v>36.0</v>
      </c>
      <c r="J131" s="193">
        <f>C148</f>
        <v>11600</v>
      </c>
      <c r="K131" s="189">
        <v>36.0</v>
      </c>
      <c r="L131" s="193">
        <f>C149</f>
        <v>5800</v>
      </c>
      <c r="M131" s="189">
        <v>36.0</v>
      </c>
      <c r="N131" s="193">
        <f>C150</f>
        <v>10150</v>
      </c>
      <c r="O131" s="189">
        <v>0.1</v>
      </c>
      <c r="P131" s="232">
        <f t="shared" ref="P131:P142" si="13">(E131*F131*O131)+(G131*H131*O131)+(I131*J131*O131)+(K131*L131*O131)+(M131*N131*O131)</f>
        <v>281880</v>
      </c>
      <c r="Q131" s="232">
        <f t="shared" ref="Q131:Q142" si="14">P131*C131</f>
        <v>8738280</v>
      </c>
      <c r="R131" s="218"/>
      <c r="S131" s="218"/>
      <c r="T131" s="218"/>
      <c r="U131" s="218"/>
      <c r="V131" s="218"/>
      <c r="W131" s="218"/>
      <c r="X131" s="218"/>
      <c r="Y131" s="218"/>
      <c r="Z131" s="218"/>
      <c r="AA131" s="218"/>
      <c r="AB131" s="218"/>
      <c r="AC131" s="218"/>
      <c r="AD131" s="218"/>
      <c r="AE131" s="218"/>
      <c r="AF131" s="218"/>
      <c r="AG131" s="218"/>
      <c r="AH131" s="218"/>
      <c r="AI131" s="218"/>
      <c r="AJ131" s="218"/>
      <c r="AK131" s="218"/>
      <c r="AL131" s="218"/>
      <c r="AM131" s="218"/>
      <c r="AN131" s="218"/>
      <c r="AO131" s="218"/>
      <c r="AP131" s="218"/>
      <c r="AQ131" s="218"/>
      <c r="AR131" s="220"/>
      <c r="AS131" s="220"/>
      <c r="AT131" s="220"/>
      <c r="AU131" s="220"/>
      <c r="AV131" s="220"/>
      <c r="AW131" s="220"/>
      <c r="AX131" s="220"/>
      <c r="AY131" s="220"/>
      <c r="AZ131" s="220"/>
    </row>
    <row r="132" ht="26.25" customHeight="1">
      <c r="A132" s="235"/>
      <c r="B132" s="236" t="s">
        <v>529</v>
      </c>
      <c r="C132" s="180">
        <v>28.0</v>
      </c>
      <c r="D132" s="189">
        <v>36.0</v>
      </c>
      <c r="E132" s="189">
        <v>36.0</v>
      </c>
      <c r="F132" s="231">
        <f>C146</f>
        <v>14500</v>
      </c>
      <c r="G132" s="189">
        <v>36.0</v>
      </c>
      <c r="H132" s="183">
        <f>C147</f>
        <v>36250</v>
      </c>
      <c r="I132" s="189">
        <v>36.0</v>
      </c>
      <c r="J132" s="193">
        <f>C148</f>
        <v>11600</v>
      </c>
      <c r="K132" s="189">
        <v>36.0</v>
      </c>
      <c r="L132" s="193">
        <f>C149</f>
        <v>5800</v>
      </c>
      <c r="M132" s="189">
        <v>36.0</v>
      </c>
      <c r="N132" s="193">
        <f>C150</f>
        <v>10150</v>
      </c>
      <c r="O132" s="189">
        <v>0.3</v>
      </c>
      <c r="P132" s="232">
        <f t="shared" si="13"/>
        <v>845640</v>
      </c>
      <c r="Q132" s="232">
        <f t="shared" si="14"/>
        <v>23677920</v>
      </c>
      <c r="R132" s="218"/>
      <c r="S132" s="218"/>
      <c r="T132" s="218"/>
      <c r="U132" s="218"/>
      <c r="V132" s="218"/>
      <c r="W132" s="218"/>
      <c r="X132" s="218"/>
      <c r="Y132" s="218"/>
      <c r="Z132" s="218"/>
      <c r="AA132" s="218"/>
      <c r="AB132" s="218"/>
      <c r="AC132" s="218"/>
      <c r="AD132" s="218"/>
      <c r="AE132" s="218"/>
      <c r="AF132" s="218"/>
      <c r="AG132" s="218"/>
      <c r="AH132" s="218"/>
      <c r="AI132" s="218"/>
      <c r="AJ132" s="218"/>
      <c r="AK132" s="218"/>
      <c r="AL132" s="218"/>
      <c r="AM132" s="218"/>
      <c r="AN132" s="218"/>
      <c r="AO132" s="218"/>
      <c r="AP132" s="218"/>
      <c r="AQ132" s="218"/>
      <c r="AR132" s="220"/>
      <c r="AS132" s="220"/>
      <c r="AT132" s="220"/>
      <c r="AU132" s="220"/>
      <c r="AV132" s="220"/>
      <c r="AW132" s="220"/>
      <c r="AX132" s="220"/>
      <c r="AY132" s="220"/>
      <c r="AZ132" s="220"/>
    </row>
    <row r="133" ht="26.25" customHeight="1">
      <c r="A133" s="235"/>
      <c r="B133" s="236" t="s">
        <v>530</v>
      </c>
      <c r="C133" s="180">
        <v>31.0</v>
      </c>
      <c r="D133" s="189">
        <v>36.0</v>
      </c>
      <c r="E133" s="189">
        <v>36.0</v>
      </c>
      <c r="F133" s="231">
        <f>D146</f>
        <v>14500</v>
      </c>
      <c r="G133" s="189">
        <v>36.0</v>
      </c>
      <c r="H133" s="183">
        <f>D147</f>
        <v>36250</v>
      </c>
      <c r="I133" s="189">
        <v>36.0</v>
      </c>
      <c r="J133" s="190">
        <f>D148</f>
        <v>11600</v>
      </c>
      <c r="K133" s="189">
        <v>36.0</v>
      </c>
      <c r="L133" s="190">
        <f>D149</f>
        <v>5800</v>
      </c>
      <c r="M133" s="189">
        <v>36.0</v>
      </c>
      <c r="N133" s="190">
        <f>D150</f>
        <v>10150</v>
      </c>
      <c r="O133" s="189">
        <v>0.2</v>
      </c>
      <c r="P133" s="232">
        <f t="shared" si="13"/>
        <v>563760</v>
      </c>
      <c r="Q133" s="232">
        <f t="shared" si="14"/>
        <v>17476560</v>
      </c>
      <c r="R133" s="238"/>
      <c r="S133" s="238"/>
      <c r="T133" s="218"/>
      <c r="U133" s="218"/>
      <c r="V133" s="218"/>
      <c r="W133" s="218"/>
      <c r="X133" s="218"/>
      <c r="Y133" s="218"/>
      <c r="Z133" s="218"/>
      <c r="AA133" s="218"/>
      <c r="AB133" s="218"/>
      <c r="AC133" s="218"/>
      <c r="AD133" s="218"/>
      <c r="AE133" s="218"/>
      <c r="AF133" s="218"/>
      <c r="AG133" s="218"/>
      <c r="AH133" s="218"/>
      <c r="AI133" s="218"/>
      <c r="AJ133" s="218"/>
      <c r="AK133" s="218"/>
      <c r="AL133" s="218"/>
      <c r="AM133" s="218"/>
      <c r="AN133" s="218"/>
      <c r="AO133" s="218"/>
      <c r="AP133" s="218"/>
      <c r="AQ133" s="218"/>
      <c r="AR133" s="220"/>
      <c r="AS133" s="220"/>
      <c r="AT133" s="220"/>
      <c r="AU133" s="220"/>
      <c r="AV133" s="220"/>
      <c r="AW133" s="220"/>
      <c r="AX133" s="220"/>
      <c r="AY133" s="220"/>
      <c r="AZ133" s="220"/>
    </row>
    <row r="134" ht="26.25" customHeight="1">
      <c r="A134" s="235"/>
      <c r="B134" s="236" t="s">
        <v>531</v>
      </c>
      <c r="C134" s="189">
        <v>30.0</v>
      </c>
      <c r="D134" s="189">
        <v>36.0</v>
      </c>
      <c r="E134" s="189">
        <v>36.0</v>
      </c>
      <c r="F134" s="231">
        <f>D146</f>
        <v>14500</v>
      </c>
      <c r="G134" s="189">
        <v>36.0</v>
      </c>
      <c r="H134" s="183">
        <f>D147</f>
        <v>36250</v>
      </c>
      <c r="I134" s="189">
        <v>36.0</v>
      </c>
      <c r="J134" s="190">
        <f>D148</f>
        <v>11600</v>
      </c>
      <c r="K134" s="189">
        <v>36.0</v>
      </c>
      <c r="L134" s="190">
        <f>D149</f>
        <v>5800</v>
      </c>
      <c r="M134" s="189">
        <v>36.0</v>
      </c>
      <c r="N134" s="190">
        <f>D150</f>
        <v>10150</v>
      </c>
      <c r="O134" s="189">
        <v>0.3</v>
      </c>
      <c r="P134" s="232">
        <f t="shared" si="13"/>
        <v>845640</v>
      </c>
      <c r="Q134" s="232">
        <f t="shared" si="14"/>
        <v>25369200</v>
      </c>
      <c r="R134" s="237"/>
      <c r="S134" s="237"/>
      <c r="T134" s="218"/>
      <c r="U134" s="218"/>
      <c r="V134" s="218"/>
      <c r="W134" s="218"/>
      <c r="X134" s="218"/>
      <c r="Y134" s="218"/>
      <c r="Z134" s="218"/>
      <c r="AA134" s="218"/>
      <c r="AB134" s="218"/>
      <c r="AC134" s="218"/>
      <c r="AD134" s="218"/>
      <c r="AE134" s="218"/>
      <c r="AF134" s="218"/>
      <c r="AG134" s="218"/>
      <c r="AH134" s="218"/>
      <c r="AI134" s="218"/>
      <c r="AJ134" s="218"/>
      <c r="AK134" s="218"/>
      <c r="AL134" s="218"/>
      <c r="AM134" s="218"/>
      <c r="AN134" s="218"/>
      <c r="AO134" s="218"/>
      <c r="AP134" s="218"/>
      <c r="AQ134" s="218"/>
      <c r="AR134" s="220"/>
      <c r="AS134" s="220"/>
      <c r="AT134" s="220"/>
      <c r="AU134" s="220"/>
      <c r="AV134" s="220"/>
      <c r="AW134" s="220"/>
      <c r="AX134" s="220"/>
      <c r="AY134" s="220"/>
      <c r="AZ134" s="220"/>
    </row>
    <row r="135" ht="26.25" customHeight="1">
      <c r="A135" s="235"/>
      <c r="B135" s="236" t="s">
        <v>532</v>
      </c>
      <c r="C135" s="189">
        <v>31.0</v>
      </c>
      <c r="D135" s="189">
        <v>36.0</v>
      </c>
      <c r="E135" s="189">
        <v>36.0</v>
      </c>
      <c r="F135" s="231">
        <f>E146</f>
        <v>14500</v>
      </c>
      <c r="G135" s="189">
        <v>36.0</v>
      </c>
      <c r="H135" s="183">
        <f>E147</f>
        <v>36250</v>
      </c>
      <c r="I135" s="189">
        <v>36.0</v>
      </c>
      <c r="J135" s="190">
        <f>E148</f>
        <v>11600</v>
      </c>
      <c r="K135" s="189">
        <v>36.0</v>
      </c>
      <c r="L135" s="190">
        <f>E149</f>
        <v>5800</v>
      </c>
      <c r="M135" s="189">
        <v>36.0</v>
      </c>
      <c r="N135" s="190">
        <f>E150</f>
        <v>10150</v>
      </c>
      <c r="O135" s="189">
        <v>0.2</v>
      </c>
      <c r="P135" s="232">
        <f t="shared" si="13"/>
        <v>563760</v>
      </c>
      <c r="Q135" s="232">
        <f t="shared" si="14"/>
        <v>17476560</v>
      </c>
      <c r="R135" s="218"/>
      <c r="S135" s="218"/>
      <c r="T135" s="218"/>
      <c r="U135" s="218"/>
      <c r="V135" s="218"/>
      <c r="W135" s="218"/>
      <c r="X135" s="218"/>
      <c r="Y135" s="218"/>
      <c r="Z135" s="218"/>
      <c r="AA135" s="218"/>
      <c r="AB135" s="218"/>
      <c r="AC135" s="218"/>
      <c r="AD135" s="218"/>
      <c r="AE135" s="218"/>
      <c r="AF135" s="218"/>
      <c r="AG135" s="218"/>
      <c r="AH135" s="218"/>
      <c r="AI135" s="218"/>
      <c r="AJ135" s="218"/>
      <c r="AK135" s="218"/>
      <c r="AL135" s="218"/>
      <c r="AM135" s="218"/>
      <c r="AN135" s="218"/>
      <c r="AO135" s="218"/>
      <c r="AP135" s="218"/>
      <c r="AQ135" s="218"/>
      <c r="AR135" s="220"/>
      <c r="AS135" s="220"/>
      <c r="AT135" s="220"/>
      <c r="AU135" s="220"/>
      <c r="AV135" s="220"/>
      <c r="AW135" s="220"/>
      <c r="AX135" s="220"/>
      <c r="AY135" s="220"/>
      <c r="AZ135" s="220"/>
    </row>
    <row r="136" ht="26.25" customHeight="1">
      <c r="A136" s="235"/>
      <c r="B136" s="236" t="s">
        <v>533</v>
      </c>
      <c r="C136" s="189">
        <v>30.0</v>
      </c>
      <c r="D136" s="189">
        <v>36.0</v>
      </c>
      <c r="E136" s="189">
        <v>36.0</v>
      </c>
      <c r="F136" s="231">
        <f>E146</f>
        <v>14500</v>
      </c>
      <c r="G136" s="189">
        <v>36.0</v>
      </c>
      <c r="H136" s="183">
        <f>E147</f>
        <v>36250</v>
      </c>
      <c r="I136" s="189">
        <v>36.0</v>
      </c>
      <c r="J136" s="190">
        <f>D148</f>
        <v>11600</v>
      </c>
      <c r="K136" s="189">
        <v>36.0</v>
      </c>
      <c r="L136" s="190">
        <f>E149</f>
        <v>5800</v>
      </c>
      <c r="M136" s="189">
        <v>36.0</v>
      </c>
      <c r="N136" s="190">
        <f>E150</f>
        <v>10150</v>
      </c>
      <c r="O136" s="189">
        <v>0.2</v>
      </c>
      <c r="P136" s="232">
        <f t="shared" si="13"/>
        <v>563760</v>
      </c>
      <c r="Q136" s="232">
        <f t="shared" si="14"/>
        <v>16912800</v>
      </c>
      <c r="R136" s="218"/>
      <c r="S136" s="218"/>
      <c r="T136" s="218"/>
      <c r="U136" s="218"/>
      <c r="V136" s="218"/>
      <c r="W136" s="218"/>
      <c r="X136" s="218"/>
      <c r="Y136" s="218"/>
      <c r="Z136" s="218"/>
      <c r="AA136" s="218"/>
      <c r="AB136" s="218"/>
      <c r="AC136" s="218"/>
      <c r="AD136" s="218"/>
      <c r="AE136" s="218"/>
      <c r="AF136" s="218"/>
      <c r="AG136" s="218"/>
      <c r="AH136" s="218"/>
      <c r="AI136" s="218"/>
      <c r="AJ136" s="218"/>
      <c r="AK136" s="218"/>
      <c r="AL136" s="218"/>
      <c r="AM136" s="218"/>
      <c r="AN136" s="218"/>
      <c r="AO136" s="218"/>
      <c r="AP136" s="218"/>
      <c r="AQ136" s="218"/>
      <c r="AR136" s="220"/>
      <c r="AS136" s="220"/>
      <c r="AT136" s="220"/>
      <c r="AU136" s="220"/>
      <c r="AV136" s="220"/>
      <c r="AW136" s="220"/>
      <c r="AX136" s="220"/>
      <c r="AY136" s="220"/>
      <c r="AZ136" s="220"/>
    </row>
    <row r="137" ht="26.25" customHeight="1">
      <c r="A137" s="235"/>
      <c r="B137" s="236" t="s">
        <v>534</v>
      </c>
      <c r="C137" s="189">
        <v>31.0</v>
      </c>
      <c r="D137" s="189">
        <v>36.0</v>
      </c>
      <c r="E137" s="189">
        <v>36.0</v>
      </c>
      <c r="F137" s="231">
        <f>C146</f>
        <v>14500</v>
      </c>
      <c r="G137" s="189">
        <v>36.0</v>
      </c>
      <c r="H137" s="183">
        <f>C147</f>
        <v>36250</v>
      </c>
      <c r="I137" s="189">
        <v>36.0</v>
      </c>
      <c r="J137" s="190">
        <f>C148</f>
        <v>11600</v>
      </c>
      <c r="K137" s="189">
        <v>36.0</v>
      </c>
      <c r="L137" s="190">
        <f>C149</f>
        <v>5800</v>
      </c>
      <c r="M137" s="189">
        <v>36.0</v>
      </c>
      <c r="N137" s="190">
        <f>C150</f>
        <v>10150</v>
      </c>
      <c r="O137" s="189">
        <v>0.5</v>
      </c>
      <c r="P137" s="232">
        <f t="shared" si="13"/>
        <v>1409400</v>
      </c>
      <c r="Q137" s="232">
        <f t="shared" si="14"/>
        <v>43691400</v>
      </c>
      <c r="R137" s="218"/>
      <c r="S137" s="218"/>
      <c r="T137" s="218"/>
      <c r="U137" s="218"/>
      <c r="V137" s="218"/>
      <c r="W137" s="218"/>
      <c r="X137" s="218"/>
      <c r="Y137" s="218"/>
      <c r="Z137" s="218"/>
      <c r="AA137" s="218"/>
      <c r="AB137" s="218"/>
      <c r="AC137" s="218"/>
      <c r="AD137" s="218"/>
      <c r="AE137" s="218"/>
      <c r="AF137" s="218"/>
      <c r="AG137" s="218"/>
      <c r="AH137" s="218"/>
      <c r="AI137" s="218"/>
      <c r="AJ137" s="218"/>
      <c r="AK137" s="218"/>
      <c r="AL137" s="218"/>
      <c r="AM137" s="218"/>
      <c r="AN137" s="218"/>
      <c r="AO137" s="218"/>
      <c r="AP137" s="218"/>
      <c r="AQ137" s="218"/>
      <c r="AR137" s="220"/>
      <c r="AS137" s="220"/>
      <c r="AT137" s="220"/>
      <c r="AU137" s="220"/>
      <c r="AV137" s="220"/>
      <c r="AW137" s="220"/>
      <c r="AX137" s="220"/>
      <c r="AY137" s="220"/>
      <c r="AZ137" s="220"/>
    </row>
    <row r="138" ht="26.25" customHeight="1">
      <c r="A138" s="235"/>
      <c r="B138" s="236" t="s">
        <v>535</v>
      </c>
      <c r="C138" s="189">
        <v>31.0</v>
      </c>
      <c r="D138" s="189">
        <v>36.0</v>
      </c>
      <c r="E138" s="189">
        <v>36.0</v>
      </c>
      <c r="F138" s="231">
        <f>C146</f>
        <v>14500</v>
      </c>
      <c r="G138" s="189">
        <v>36.0</v>
      </c>
      <c r="H138" s="183">
        <f>C147</f>
        <v>36250</v>
      </c>
      <c r="I138" s="189">
        <v>36.0</v>
      </c>
      <c r="J138" s="190">
        <f>C148</f>
        <v>11600</v>
      </c>
      <c r="K138" s="189">
        <v>36.0</v>
      </c>
      <c r="L138" s="190">
        <f>C149</f>
        <v>5800</v>
      </c>
      <c r="M138" s="189">
        <v>36.0</v>
      </c>
      <c r="N138" s="190">
        <f>E150</f>
        <v>10150</v>
      </c>
      <c r="O138" s="189">
        <v>0.5</v>
      </c>
      <c r="P138" s="232">
        <f t="shared" si="13"/>
        <v>1409400</v>
      </c>
      <c r="Q138" s="232">
        <f t="shared" si="14"/>
        <v>43691400</v>
      </c>
      <c r="R138" s="218"/>
      <c r="S138" s="218"/>
      <c r="T138" s="218"/>
      <c r="U138" s="218"/>
      <c r="V138" s="218"/>
      <c r="W138" s="218"/>
      <c r="X138" s="218"/>
      <c r="Y138" s="218"/>
      <c r="Z138" s="218"/>
      <c r="AA138" s="218"/>
      <c r="AB138" s="218"/>
      <c r="AC138" s="218"/>
      <c r="AD138" s="218"/>
      <c r="AE138" s="218"/>
      <c r="AF138" s="218"/>
      <c r="AG138" s="218"/>
      <c r="AH138" s="218"/>
      <c r="AI138" s="218"/>
      <c r="AJ138" s="218"/>
      <c r="AK138" s="218"/>
      <c r="AL138" s="218"/>
      <c r="AM138" s="218"/>
      <c r="AN138" s="218"/>
      <c r="AO138" s="218"/>
      <c r="AP138" s="218"/>
      <c r="AQ138" s="218"/>
      <c r="AR138" s="220"/>
      <c r="AS138" s="220"/>
      <c r="AT138" s="220"/>
      <c r="AU138" s="220"/>
      <c r="AV138" s="220"/>
      <c r="AW138" s="220"/>
      <c r="AX138" s="220"/>
      <c r="AY138" s="220"/>
      <c r="AZ138" s="220"/>
    </row>
    <row r="139" ht="26.25" customHeight="1">
      <c r="A139" s="235"/>
      <c r="B139" s="236" t="s">
        <v>536</v>
      </c>
      <c r="C139" s="189">
        <v>30.0</v>
      </c>
      <c r="D139" s="189">
        <v>36.0</v>
      </c>
      <c r="E139" s="189">
        <v>36.0</v>
      </c>
      <c r="F139" s="231">
        <f>E146</f>
        <v>14500</v>
      </c>
      <c r="G139" s="189">
        <v>36.0</v>
      </c>
      <c r="H139" s="183">
        <f>E147</f>
        <v>36250</v>
      </c>
      <c r="I139" s="189">
        <v>36.0</v>
      </c>
      <c r="J139" s="190">
        <f>E148</f>
        <v>11600</v>
      </c>
      <c r="K139" s="189">
        <v>36.0</v>
      </c>
      <c r="L139" s="190">
        <f>E149</f>
        <v>5800</v>
      </c>
      <c r="M139" s="189">
        <v>36.0</v>
      </c>
      <c r="N139" s="190">
        <f>E150</f>
        <v>10150</v>
      </c>
      <c r="O139" s="189">
        <v>0.3</v>
      </c>
      <c r="P139" s="232">
        <f t="shared" si="13"/>
        <v>845640</v>
      </c>
      <c r="Q139" s="232">
        <f t="shared" si="14"/>
        <v>25369200</v>
      </c>
      <c r="R139" s="218"/>
      <c r="S139" s="218"/>
      <c r="T139" s="218"/>
      <c r="U139" s="218"/>
      <c r="V139" s="218"/>
      <c r="W139" s="218"/>
      <c r="X139" s="218"/>
      <c r="Y139" s="218"/>
      <c r="Z139" s="218"/>
      <c r="AA139" s="218"/>
      <c r="AB139" s="218"/>
      <c r="AC139" s="218"/>
      <c r="AD139" s="218"/>
      <c r="AE139" s="218"/>
      <c r="AF139" s="218"/>
      <c r="AG139" s="218"/>
      <c r="AH139" s="218"/>
      <c r="AI139" s="218"/>
      <c r="AJ139" s="218"/>
      <c r="AK139" s="218"/>
      <c r="AL139" s="218"/>
      <c r="AM139" s="218"/>
      <c r="AN139" s="218"/>
      <c r="AO139" s="218"/>
      <c r="AP139" s="218"/>
      <c r="AQ139" s="218"/>
      <c r="AR139" s="220"/>
      <c r="AS139" s="220"/>
      <c r="AT139" s="220"/>
      <c r="AU139" s="220"/>
      <c r="AV139" s="220"/>
      <c r="AW139" s="220"/>
      <c r="AX139" s="220"/>
      <c r="AY139" s="220"/>
      <c r="AZ139" s="220"/>
    </row>
    <row r="140" ht="26.25" customHeight="1">
      <c r="A140" s="235"/>
      <c r="B140" s="236" t="s">
        <v>537</v>
      </c>
      <c r="C140" s="189">
        <v>31.0</v>
      </c>
      <c r="D140" s="189">
        <v>36.0</v>
      </c>
      <c r="E140" s="189">
        <v>36.0</v>
      </c>
      <c r="F140" s="231">
        <f>D146</f>
        <v>14500</v>
      </c>
      <c r="G140" s="189">
        <v>36.0</v>
      </c>
      <c r="H140" s="183">
        <f>D147</f>
        <v>36250</v>
      </c>
      <c r="I140" s="189">
        <v>36.0</v>
      </c>
      <c r="J140" s="190">
        <f>D148</f>
        <v>11600</v>
      </c>
      <c r="K140" s="189">
        <v>36.0</v>
      </c>
      <c r="L140" s="190">
        <f>D149</f>
        <v>5800</v>
      </c>
      <c r="M140" s="189">
        <v>36.0</v>
      </c>
      <c r="N140" s="190">
        <f>D150</f>
        <v>10150</v>
      </c>
      <c r="O140" s="189">
        <v>0.3</v>
      </c>
      <c r="P140" s="232">
        <f t="shared" si="13"/>
        <v>845640</v>
      </c>
      <c r="Q140" s="232">
        <f t="shared" si="14"/>
        <v>26214840</v>
      </c>
      <c r="R140" s="218"/>
      <c r="S140" s="218"/>
      <c r="T140" s="218"/>
      <c r="U140" s="218"/>
      <c r="V140" s="218"/>
      <c r="W140" s="218"/>
      <c r="X140" s="218"/>
      <c r="Y140" s="218"/>
      <c r="Z140" s="218"/>
      <c r="AA140" s="218"/>
      <c r="AB140" s="218"/>
      <c r="AC140" s="218"/>
      <c r="AD140" s="218"/>
      <c r="AE140" s="218"/>
      <c r="AF140" s="218"/>
      <c r="AG140" s="218"/>
      <c r="AH140" s="218"/>
      <c r="AI140" s="218"/>
      <c r="AJ140" s="218"/>
      <c r="AK140" s="218"/>
      <c r="AL140" s="218"/>
      <c r="AM140" s="218"/>
      <c r="AN140" s="218"/>
      <c r="AO140" s="218"/>
      <c r="AP140" s="218"/>
      <c r="AQ140" s="218"/>
      <c r="AR140" s="220"/>
      <c r="AS140" s="220"/>
      <c r="AT140" s="220"/>
      <c r="AU140" s="220"/>
      <c r="AV140" s="220"/>
      <c r="AW140" s="220"/>
      <c r="AX140" s="220"/>
      <c r="AY140" s="220"/>
      <c r="AZ140" s="220"/>
    </row>
    <row r="141" ht="26.25" customHeight="1">
      <c r="A141" s="235"/>
      <c r="B141" s="236" t="s">
        <v>538</v>
      </c>
      <c r="C141" s="189">
        <v>30.0</v>
      </c>
      <c r="D141" s="189">
        <v>36.0</v>
      </c>
      <c r="E141" s="189">
        <v>36.0</v>
      </c>
      <c r="F141" s="231">
        <f>D146</f>
        <v>14500</v>
      </c>
      <c r="G141" s="189">
        <v>36.0</v>
      </c>
      <c r="H141" s="183">
        <f>D147</f>
        <v>36250</v>
      </c>
      <c r="I141" s="189">
        <v>36.0</v>
      </c>
      <c r="J141" s="190">
        <f>D148</f>
        <v>11600</v>
      </c>
      <c r="K141" s="189">
        <v>36.0</v>
      </c>
      <c r="L141" s="190">
        <f>D149</f>
        <v>5800</v>
      </c>
      <c r="M141" s="189">
        <v>36.0</v>
      </c>
      <c r="N141" s="190">
        <f>D150</f>
        <v>10150</v>
      </c>
      <c r="O141" s="189">
        <v>0.3</v>
      </c>
      <c r="P141" s="232">
        <f t="shared" si="13"/>
        <v>845640</v>
      </c>
      <c r="Q141" s="232">
        <f t="shared" si="14"/>
        <v>25369200</v>
      </c>
      <c r="R141" s="218"/>
      <c r="S141" s="218"/>
      <c r="T141" s="218"/>
      <c r="U141" s="218"/>
      <c r="V141" s="218"/>
      <c r="W141" s="218"/>
      <c r="X141" s="218"/>
      <c r="Y141" s="218"/>
      <c r="Z141" s="218"/>
      <c r="AA141" s="218"/>
      <c r="AB141" s="218"/>
      <c r="AC141" s="218"/>
      <c r="AD141" s="218"/>
      <c r="AE141" s="218"/>
      <c r="AF141" s="218"/>
      <c r="AG141" s="218"/>
      <c r="AH141" s="218"/>
      <c r="AI141" s="218"/>
      <c r="AJ141" s="218"/>
      <c r="AK141" s="218"/>
      <c r="AL141" s="218"/>
      <c r="AM141" s="218"/>
      <c r="AN141" s="218"/>
      <c r="AO141" s="218"/>
      <c r="AP141" s="218"/>
      <c r="AQ141" s="218"/>
      <c r="AR141" s="220"/>
      <c r="AS141" s="220"/>
      <c r="AT141" s="220"/>
      <c r="AU141" s="220"/>
      <c r="AV141" s="220"/>
      <c r="AW141" s="220"/>
      <c r="AX141" s="220"/>
      <c r="AY141" s="220"/>
      <c r="AZ141" s="220"/>
    </row>
    <row r="142" ht="26.25" customHeight="1">
      <c r="A142" s="235"/>
      <c r="B142" s="236" t="s">
        <v>539</v>
      </c>
      <c r="C142" s="189">
        <v>31.0</v>
      </c>
      <c r="D142" s="189">
        <v>36.0</v>
      </c>
      <c r="E142" s="189">
        <v>36.0</v>
      </c>
      <c r="F142" s="231">
        <f>D146</f>
        <v>14500</v>
      </c>
      <c r="G142" s="189">
        <v>36.0</v>
      </c>
      <c r="H142" s="183">
        <f>D147</f>
        <v>36250</v>
      </c>
      <c r="I142" s="189">
        <v>36.0</v>
      </c>
      <c r="J142" s="190">
        <f>D148</f>
        <v>11600</v>
      </c>
      <c r="K142" s="189">
        <v>36.0</v>
      </c>
      <c r="L142" s="190">
        <f>D149</f>
        <v>5800</v>
      </c>
      <c r="M142" s="189">
        <v>36.0</v>
      </c>
      <c r="N142" s="190">
        <f>D150</f>
        <v>10150</v>
      </c>
      <c r="O142" s="189">
        <v>0.4</v>
      </c>
      <c r="P142" s="232">
        <f t="shared" si="13"/>
        <v>1127520</v>
      </c>
      <c r="Q142" s="232">
        <f t="shared" si="14"/>
        <v>34953120</v>
      </c>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20"/>
      <c r="AS142" s="220"/>
      <c r="AT142" s="220"/>
      <c r="AU142" s="220"/>
      <c r="AV142" s="220"/>
      <c r="AW142" s="220"/>
      <c r="AX142" s="220"/>
      <c r="AY142" s="220"/>
      <c r="AZ142" s="220"/>
    </row>
    <row r="143" ht="26.25" customHeight="1">
      <c r="A143" s="219"/>
      <c r="B143" s="218"/>
      <c r="C143" s="218"/>
      <c r="D143" s="218"/>
      <c r="E143" s="218"/>
      <c r="F143" s="218"/>
      <c r="G143" s="218"/>
      <c r="H143" s="218"/>
      <c r="I143" s="218"/>
      <c r="J143" s="218"/>
      <c r="K143" s="218"/>
      <c r="L143" s="218"/>
      <c r="M143" s="218"/>
      <c r="N143" s="218"/>
      <c r="O143" s="218"/>
      <c r="P143" s="240"/>
      <c r="Q143" s="218"/>
      <c r="R143" s="218"/>
      <c r="S143" s="218"/>
      <c r="T143" s="218"/>
      <c r="U143" s="218"/>
      <c r="V143" s="218"/>
      <c r="W143" s="218"/>
      <c r="X143" s="218"/>
      <c r="Y143" s="218"/>
      <c r="Z143" s="218"/>
      <c r="AA143" s="218"/>
      <c r="AB143" s="218"/>
      <c r="AC143" s="218"/>
      <c r="AD143" s="218"/>
      <c r="AE143" s="218"/>
      <c r="AF143" s="218"/>
      <c r="AG143" s="218"/>
      <c r="AH143" s="218"/>
      <c r="AI143" s="218"/>
      <c r="AJ143" s="218"/>
      <c r="AK143" s="218"/>
      <c r="AL143" s="218"/>
      <c r="AM143" s="218"/>
      <c r="AN143" s="218"/>
      <c r="AO143" s="218"/>
      <c r="AP143" s="218"/>
      <c r="AQ143" s="218"/>
      <c r="AR143" s="220"/>
      <c r="AS143" s="220"/>
      <c r="AT143" s="220"/>
      <c r="AU143" s="220"/>
      <c r="AV143" s="220"/>
      <c r="AW143" s="220"/>
      <c r="AX143" s="220"/>
      <c r="AY143" s="220"/>
      <c r="AZ143" s="220"/>
    </row>
    <row r="144" ht="26.25" customHeight="1">
      <c r="A144" s="243"/>
      <c r="B144" s="244" t="s">
        <v>540</v>
      </c>
      <c r="C144" s="260" t="s">
        <v>580</v>
      </c>
      <c r="D144" s="47"/>
      <c r="E144" s="12"/>
      <c r="F144" s="218"/>
      <c r="G144" s="218"/>
      <c r="H144" s="218"/>
      <c r="I144" s="218"/>
      <c r="J144" s="218"/>
      <c r="K144" s="218"/>
      <c r="L144" s="218"/>
      <c r="M144" s="218"/>
      <c r="N144" s="218"/>
      <c r="O144" s="218"/>
      <c r="P144" s="218"/>
      <c r="Q144" s="218"/>
      <c r="R144" s="218"/>
      <c r="S144" s="218"/>
      <c r="T144" s="218"/>
      <c r="U144" s="218"/>
      <c r="V144" s="218"/>
      <c r="W144" s="218"/>
      <c r="X144" s="218"/>
      <c r="Y144" s="218"/>
      <c r="Z144" s="218"/>
      <c r="AA144" s="218"/>
      <c r="AB144" s="218"/>
      <c r="AC144" s="218"/>
      <c r="AD144" s="218"/>
      <c r="AE144" s="218"/>
      <c r="AF144" s="218"/>
      <c r="AG144" s="218"/>
      <c r="AH144" s="218"/>
      <c r="AI144" s="218"/>
      <c r="AJ144" s="218"/>
      <c r="AK144" s="218"/>
      <c r="AL144" s="218"/>
      <c r="AM144" s="218"/>
      <c r="AN144" s="218"/>
      <c r="AO144" s="218"/>
      <c r="AP144" s="218"/>
      <c r="AQ144" s="218"/>
      <c r="AR144" s="220"/>
      <c r="AS144" s="220"/>
      <c r="AT144" s="220"/>
      <c r="AU144" s="220"/>
      <c r="AV144" s="220"/>
      <c r="AW144" s="220"/>
      <c r="AX144" s="220"/>
      <c r="AY144" s="220"/>
      <c r="AZ144" s="220"/>
    </row>
    <row r="145" ht="26.25" customHeight="1">
      <c r="A145" s="243"/>
      <c r="B145" s="33"/>
      <c r="C145" s="246" t="s">
        <v>542</v>
      </c>
      <c r="D145" s="247" t="s">
        <v>543</v>
      </c>
      <c r="E145" s="246" t="s">
        <v>544</v>
      </c>
      <c r="F145" s="218"/>
      <c r="G145" s="218"/>
      <c r="H145" s="218"/>
      <c r="I145" s="218"/>
      <c r="J145" s="218"/>
      <c r="K145" s="218"/>
      <c r="L145" s="218"/>
      <c r="M145" s="218"/>
      <c r="N145" s="218"/>
      <c r="O145" s="218"/>
      <c r="P145" s="218"/>
      <c r="Q145" s="218"/>
      <c r="R145" s="218"/>
      <c r="S145" s="218"/>
      <c r="T145" s="218"/>
      <c r="U145" s="218"/>
      <c r="V145" s="218"/>
      <c r="W145" s="218"/>
      <c r="X145" s="218"/>
      <c r="Y145" s="218"/>
      <c r="Z145" s="218"/>
      <c r="AA145" s="218"/>
      <c r="AB145" s="218"/>
      <c r="AC145" s="218"/>
      <c r="AD145" s="218"/>
      <c r="AE145" s="218"/>
      <c r="AF145" s="218"/>
      <c r="AG145" s="218"/>
      <c r="AH145" s="218"/>
      <c r="AI145" s="218"/>
      <c r="AJ145" s="218"/>
      <c r="AK145" s="218"/>
      <c r="AL145" s="218"/>
      <c r="AM145" s="218"/>
      <c r="AN145" s="218"/>
      <c r="AO145" s="218"/>
      <c r="AP145" s="218"/>
      <c r="AQ145" s="218"/>
      <c r="AR145" s="220"/>
      <c r="AS145" s="220"/>
      <c r="AT145" s="220"/>
      <c r="AU145" s="220"/>
      <c r="AV145" s="220"/>
      <c r="AW145" s="220"/>
      <c r="AX145" s="220"/>
      <c r="AY145" s="220"/>
      <c r="AZ145" s="220"/>
    </row>
    <row r="146" ht="26.25" customHeight="1">
      <c r="A146" s="261"/>
      <c r="B146" s="262" t="s">
        <v>581</v>
      </c>
      <c r="C146" s="231">
        <f>10*C1</f>
        <v>14500</v>
      </c>
      <c r="D146" s="231">
        <f>10*C1</f>
        <v>14500</v>
      </c>
      <c r="E146" s="231">
        <f>10*C1</f>
        <v>14500</v>
      </c>
      <c r="F146" s="218"/>
      <c r="G146" s="218"/>
      <c r="H146" s="218"/>
      <c r="I146" s="218"/>
      <c r="J146" s="218"/>
      <c r="K146" s="218"/>
      <c r="L146" s="218"/>
      <c r="M146" s="218"/>
      <c r="N146" s="218"/>
      <c r="O146" s="218"/>
      <c r="P146" s="218"/>
      <c r="Q146" s="218"/>
      <c r="R146" s="218"/>
      <c r="S146" s="218"/>
      <c r="T146" s="218"/>
      <c r="U146" s="218"/>
      <c r="V146" s="218"/>
      <c r="W146" s="218"/>
      <c r="X146" s="218"/>
      <c r="Y146" s="218"/>
      <c r="Z146" s="218"/>
      <c r="AA146" s="218"/>
      <c r="AB146" s="218"/>
      <c r="AC146" s="218"/>
      <c r="AD146" s="218"/>
      <c r="AE146" s="218"/>
      <c r="AF146" s="218"/>
      <c r="AG146" s="218"/>
      <c r="AH146" s="218"/>
      <c r="AI146" s="218"/>
      <c r="AJ146" s="218"/>
      <c r="AK146" s="218"/>
      <c r="AL146" s="218"/>
      <c r="AM146" s="218"/>
      <c r="AN146" s="218"/>
      <c r="AO146" s="218"/>
      <c r="AP146" s="218"/>
      <c r="AQ146" s="218"/>
      <c r="AR146" s="220"/>
      <c r="AS146" s="220"/>
      <c r="AT146" s="220"/>
      <c r="AU146" s="220"/>
      <c r="AV146" s="220"/>
      <c r="AW146" s="220"/>
      <c r="AX146" s="220"/>
      <c r="AY146" s="220"/>
      <c r="AZ146" s="220"/>
    </row>
    <row r="147" ht="26.25" customHeight="1">
      <c r="A147" s="261"/>
      <c r="B147" s="262" t="s">
        <v>582</v>
      </c>
      <c r="C147" s="262">
        <f>25*C1</f>
        <v>36250</v>
      </c>
      <c r="D147" s="262">
        <f>25*C1</f>
        <v>36250</v>
      </c>
      <c r="E147" s="262">
        <f>25*C1</f>
        <v>36250</v>
      </c>
      <c r="F147" s="218"/>
      <c r="G147" s="218"/>
      <c r="H147" s="218"/>
      <c r="I147" s="218"/>
      <c r="J147" s="218"/>
      <c r="K147" s="218"/>
      <c r="L147" s="218"/>
      <c r="M147" s="218"/>
      <c r="N147" s="218"/>
      <c r="O147" s="218"/>
      <c r="P147" s="218"/>
      <c r="Q147" s="218"/>
      <c r="R147" s="218"/>
      <c r="S147" s="218"/>
      <c r="T147" s="218"/>
      <c r="U147" s="218"/>
      <c r="V147" s="218"/>
      <c r="W147" s="218"/>
      <c r="X147" s="218"/>
      <c r="Y147" s="218"/>
      <c r="Z147" s="218"/>
      <c r="AA147" s="218"/>
      <c r="AB147" s="218"/>
      <c r="AC147" s="218"/>
      <c r="AD147" s="218"/>
      <c r="AE147" s="218"/>
      <c r="AF147" s="218"/>
      <c r="AG147" s="218"/>
      <c r="AH147" s="218"/>
      <c r="AI147" s="218"/>
      <c r="AJ147" s="218"/>
      <c r="AK147" s="218"/>
      <c r="AL147" s="218"/>
      <c r="AM147" s="218"/>
      <c r="AN147" s="218"/>
      <c r="AO147" s="218"/>
      <c r="AP147" s="218"/>
      <c r="AQ147" s="218"/>
      <c r="AR147" s="220"/>
      <c r="AS147" s="220"/>
      <c r="AT147" s="220"/>
      <c r="AU147" s="220"/>
      <c r="AV147" s="220"/>
      <c r="AW147" s="220"/>
      <c r="AX147" s="220"/>
      <c r="AY147" s="220"/>
      <c r="AZ147" s="220"/>
    </row>
    <row r="148" ht="26.25" customHeight="1">
      <c r="A148" s="261"/>
      <c r="B148" s="262" t="s">
        <v>583</v>
      </c>
      <c r="C148" s="262">
        <f>8*C1</f>
        <v>11600</v>
      </c>
      <c r="D148" s="262">
        <f>8*C1</f>
        <v>11600</v>
      </c>
      <c r="E148" s="262">
        <f>8*C1</f>
        <v>11600</v>
      </c>
      <c r="F148" s="218"/>
      <c r="G148" s="218"/>
      <c r="H148" s="218"/>
      <c r="I148" s="218"/>
      <c r="J148" s="218"/>
      <c r="K148" s="218"/>
      <c r="L148" s="218"/>
      <c r="M148" s="218"/>
      <c r="N148" s="218"/>
      <c r="O148" s="218"/>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c r="AK148" s="218"/>
      <c r="AL148" s="218"/>
      <c r="AM148" s="218"/>
      <c r="AN148" s="218"/>
      <c r="AO148" s="218"/>
      <c r="AP148" s="218"/>
      <c r="AQ148" s="218"/>
      <c r="AR148" s="220"/>
      <c r="AS148" s="220"/>
      <c r="AT148" s="220"/>
      <c r="AU148" s="220"/>
      <c r="AV148" s="220"/>
      <c r="AW148" s="220"/>
      <c r="AX148" s="220"/>
      <c r="AY148" s="220"/>
      <c r="AZ148" s="220"/>
    </row>
    <row r="149" ht="26.25" customHeight="1">
      <c r="A149" s="261"/>
      <c r="B149" s="262" t="s">
        <v>584</v>
      </c>
      <c r="C149" s="262">
        <f>4*C1</f>
        <v>5800</v>
      </c>
      <c r="D149" s="262">
        <f>4*C1</f>
        <v>5800</v>
      </c>
      <c r="E149" s="262">
        <f>4*C1</f>
        <v>5800</v>
      </c>
      <c r="F149" s="218"/>
      <c r="G149" s="218"/>
      <c r="H149" s="218"/>
      <c r="I149" s="218"/>
      <c r="J149" s="218"/>
      <c r="K149" s="218"/>
      <c r="L149" s="218"/>
      <c r="M149" s="218"/>
      <c r="N149" s="218"/>
      <c r="O149" s="218"/>
      <c r="P149" s="218"/>
      <c r="Q149" s="218"/>
      <c r="R149" s="218"/>
      <c r="S149" s="218"/>
      <c r="T149" s="218"/>
      <c r="U149" s="218"/>
      <c r="V149" s="218"/>
      <c r="W149" s="218"/>
      <c r="X149" s="218"/>
      <c r="Y149" s="218"/>
      <c r="Z149" s="218"/>
      <c r="AA149" s="218"/>
      <c r="AB149" s="218"/>
      <c r="AC149" s="218"/>
      <c r="AD149" s="218"/>
      <c r="AE149" s="218"/>
      <c r="AF149" s="218"/>
      <c r="AG149" s="218"/>
      <c r="AH149" s="218"/>
      <c r="AI149" s="218"/>
      <c r="AJ149" s="218"/>
      <c r="AK149" s="218"/>
      <c r="AL149" s="218"/>
      <c r="AM149" s="218"/>
      <c r="AN149" s="218"/>
      <c r="AO149" s="218"/>
      <c r="AP149" s="218"/>
      <c r="AQ149" s="218"/>
      <c r="AR149" s="220"/>
      <c r="AS149" s="220"/>
      <c r="AT149" s="220"/>
      <c r="AU149" s="220"/>
      <c r="AV149" s="220"/>
      <c r="AW149" s="220"/>
      <c r="AX149" s="220"/>
      <c r="AY149" s="220"/>
      <c r="AZ149" s="220"/>
    </row>
    <row r="150" ht="26.25" customHeight="1">
      <c r="A150" s="261"/>
      <c r="B150" s="262" t="s">
        <v>585</v>
      </c>
      <c r="C150" s="262">
        <f>7*C1</f>
        <v>10150</v>
      </c>
      <c r="D150" s="262">
        <f>7*C1</f>
        <v>10150</v>
      </c>
      <c r="E150" s="262">
        <f>7*C1</f>
        <v>10150</v>
      </c>
      <c r="F150" s="252" t="s">
        <v>586</v>
      </c>
      <c r="G150" s="253">
        <v>1.05</v>
      </c>
      <c r="H150" s="218"/>
      <c r="I150" s="218"/>
      <c r="J150" s="218"/>
      <c r="K150" s="218"/>
      <c r="L150" s="218"/>
      <c r="M150" s="218"/>
      <c r="N150" s="218"/>
      <c r="O150" s="218"/>
      <c r="P150" s="218"/>
      <c r="Q150" s="218"/>
      <c r="R150" s="218"/>
      <c r="S150" s="218"/>
      <c r="T150" s="218"/>
      <c r="U150" s="218"/>
      <c r="V150" s="218"/>
      <c r="W150" s="218"/>
      <c r="X150" s="218"/>
      <c r="Y150" s="218"/>
      <c r="Z150" s="218"/>
      <c r="AA150" s="218"/>
      <c r="AB150" s="218"/>
      <c r="AC150" s="218"/>
      <c r="AD150" s="218"/>
      <c r="AE150" s="218"/>
      <c r="AF150" s="218"/>
      <c r="AG150" s="218"/>
      <c r="AH150" s="218"/>
      <c r="AI150" s="218"/>
      <c r="AJ150" s="218"/>
      <c r="AK150" s="218"/>
      <c r="AL150" s="218"/>
      <c r="AM150" s="218"/>
      <c r="AN150" s="218"/>
      <c r="AO150" s="218"/>
      <c r="AP150" s="218"/>
      <c r="AQ150" s="218"/>
      <c r="AR150" s="220"/>
      <c r="AS150" s="220"/>
      <c r="AT150" s="220"/>
      <c r="AU150" s="220"/>
      <c r="AV150" s="220"/>
      <c r="AW150" s="220"/>
      <c r="AX150" s="220"/>
      <c r="AY150" s="220"/>
      <c r="AZ150" s="220"/>
    </row>
    <row r="151" ht="26.25" customHeight="1">
      <c r="A151" s="219"/>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c r="AK151" s="218"/>
      <c r="AL151" s="218"/>
      <c r="AM151" s="218"/>
      <c r="AN151" s="218"/>
      <c r="AO151" s="218"/>
      <c r="AP151" s="218"/>
      <c r="AQ151" s="218"/>
      <c r="AR151" s="220"/>
      <c r="AS151" s="220"/>
      <c r="AT151" s="220"/>
      <c r="AU151" s="220"/>
      <c r="AV151" s="220"/>
      <c r="AW151" s="220"/>
      <c r="AX151" s="220"/>
      <c r="AY151" s="220"/>
      <c r="AZ151" s="220"/>
    </row>
    <row r="152" ht="26.25" customHeight="1">
      <c r="A152" s="221"/>
      <c r="B152" s="263" t="s">
        <v>587</v>
      </c>
      <c r="C152" s="47"/>
      <c r="D152" s="47"/>
      <c r="E152" s="47"/>
      <c r="F152" s="47"/>
      <c r="G152" s="47"/>
      <c r="H152" s="47"/>
      <c r="I152" s="47"/>
      <c r="J152" s="47"/>
      <c r="K152" s="47"/>
      <c r="L152" s="47"/>
      <c r="M152" s="47"/>
      <c r="N152" s="47"/>
      <c r="O152" s="47"/>
      <c r="P152" s="47"/>
      <c r="Q152" s="12"/>
      <c r="R152" s="218"/>
      <c r="S152" s="218"/>
      <c r="T152" s="218"/>
      <c r="U152" s="218"/>
      <c r="V152" s="218"/>
      <c r="W152" s="218"/>
      <c r="X152" s="218"/>
      <c r="Y152" s="218"/>
      <c r="Z152" s="218"/>
      <c r="AA152" s="218"/>
      <c r="AB152" s="218"/>
      <c r="AC152" s="218"/>
      <c r="AD152" s="218"/>
      <c r="AE152" s="218"/>
      <c r="AF152" s="218"/>
      <c r="AG152" s="218"/>
      <c r="AH152" s="218"/>
      <c r="AI152" s="218"/>
      <c r="AJ152" s="218"/>
      <c r="AK152" s="218"/>
      <c r="AL152" s="218"/>
      <c r="AM152" s="218"/>
      <c r="AN152" s="218"/>
      <c r="AO152" s="218"/>
      <c r="AP152" s="218"/>
      <c r="AQ152" s="218"/>
      <c r="AR152" s="220"/>
      <c r="AS152" s="220"/>
      <c r="AT152" s="220"/>
      <c r="AU152" s="220"/>
      <c r="AV152" s="220"/>
      <c r="AW152" s="220"/>
      <c r="AX152" s="220"/>
      <c r="AY152" s="220"/>
      <c r="AZ152" s="220"/>
    </row>
    <row r="153" ht="26.25" customHeight="1">
      <c r="A153" s="223"/>
      <c r="B153" s="264" t="s">
        <v>588</v>
      </c>
      <c r="C153" s="47"/>
      <c r="D153" s="47"/>
      <c r="E153" s="47"/>
      <c r="F153" s="47"/>
      <c r="G153" s="47"/>
      <c r="H153" s="47"/>
      <c r="I153" s="47"/>
      <c r="J153" s="47"/>
      <c r="K153" s="47"/>
      <c r="L153" s="47"/>
      <c r="M153" s="47"/>
      <c r="N153" s="47"/>
      <c r="O153" s="47"/>
      <c r="P153" s="47"/>
      <c r="Q153" s="12"/>
      <c r="R153" s="59"/>
      <c r="S153" s="59"/>
      <c r="T153" s="218"/>
      <c r="U153" s="218"/>
      <c r="V153" s="218"/>
      <c r="W153" s="218"/>
      <c r="X153" s="218"/>
      <c r="Y153" s="218"/>
      <c r="Z153" s="218"/>
      <c r="AA153" s="218"/>
      <c r="AB153" s="218"/>
      <c r="AC153" s="218"/>
      <c r="AD153" s="218"/>
      <c r="AE153" s="218"/>
      <c r="AF153" s="218"/>
      <c r="AG153" s="218"/>
      <c r="AH153" s="218"/>
      <c r="AI153" s="218"/>
      <c r="AJ153" s="218"/>
      <c r="AK153" s="218"/>
      <c r="AL153" s="218"/>
      <c r="AM153" s="218"/>
      <c r="AN153" s="218"/>
      <c r="AO153" s="218"/>
      <c r="AP153" s="218"/>
      <c r="AQ153" s="218"/>
      <c r="AR153" s="220"/>
      <c r="AS153" s="220"/>
      <c r="AT153" s="220"/>
      <c r="AU153" s="220"/>
      <c r="AV153" s="220"/>
      <c r="AW153" s="220"/>
      <c r="AX153" s="220"/>
      <c r="AY153" s="220"/>
      <c r="AZ153" s="220"/>
    </row>
    <row r="154" ht="26.25" customHeight="1">
      <c r="A154" s="226"/>
      <c r="B154" s="265" t="s">
        <v>520</v>
      </c>
      <c r="C154" s="265" t="s">
        <v>521</v>
      </c>
      <c r="D154" s="266" t="s">
        <v>573</v>
      </c>
      <c r="E154" s="266" t="s">
        <v>574</v>
      </c>
      <c r="F154" s="266" t="s">
        <v>575</v>
      </c>
      <c r="G154" s="266" t="s">
        <v>576</v>
      </c>
      <c r="H154" s="266" t="s">
        <v>575</v>
      </c>
      <c r="I154" s="266" t="s">
        <v>577</v>
      </c>
      <c r="J154" s="266" t="s">
        <v>575</v>
      </c>
      <c r="K154" s="266" t="s">
        <v>578</v>
      </c>
      <c r="L154" s="266" t="s">
        <v>575</v>
      </c>
      <c r="M154" s="266" t="s">
        <v>579</v>
      </c>
      <c r="N154" s="266" t="s">
        <v>575</v>
      </c>
      <c r="O154" s="228" t="s">
        <v>525</v>
      </c>
      <c r="P154" s="265" t="s">
        <v>526</v>
      </c>
      <c r="Q154" s="265" t="s">
        <v>527</v>
      </c>
      <c r="R154" s="98" t="s">
        <v>5</v>
      </c>
      <c r="S154" s="267" t="s">
        <v>5</v>
      </c>
      <c r="T154" s="218"/>
      <c r="U154" s="218"/>
      <c r="V154" s="218"/>
      <c r="W154" s="218"/>
      <c r="X154" s="218"/>
      <c r="Y154" s="218"/>
      <c r="Z154" s="218"/>
      <c r="AA154" s="218"/>
      <c r="AB154" s="218"/>
      <c r="AC154" s="218"/>
      <c r="AD154" s="218"/>
      <c r="AE154" s="218"/>
      <c r="AF154" s="218"/>
      <c r="AG154" s="218"/>
      <c r="AH154" s="218"/>
      <c r="AI154" s="218"/>
      <c r="AJ154" s="218"/>
      <c r="AK154" s="218"/>
      <c r="AL154" s="218"/>
      <c r="AM154" s="218"/>
      <c r="AN154" s="218"/>
      <c r="AO154" s="218"/>
      <c r="AP154" s="218"/>
      <c r="AQ154" s="218"/>
      <c r="AR154" s="220"/>
      <c r="AS154" s="220"/>
      <c r="AT154" s="220"/>
      <c r="AU154" s="220"/>
      <c r="AV154" s="220"/>
      <c r="AW154" s="220"/>
      <c r="AX154" s="220"/>
      <c r="AY154" s="220"/>
      <c r="AZ154" s="220"/>
    </row>
    <row r="155" ht="26.25" customHeight="1">
      <c r="A155" s="226"/>
      <c r="B155" s="230" t="s">
        <v>528</v>
      </c>
      <c r="C155" s="180">
        <v>31.0</v>
      </c>
      <c r="D155" s="189">
        <v>36.0</v>
      </c>
      <c r="E155" s="189">
        <v>36.0</v>
      </c>
      <c r="F155" s="231">
        <f>C170</f>
        <v>15225</v>
      </c>
      <c r="G155" s="189">
        <v>36.0</v>
      </c>
      <c r="H155" s="183">
        <f>C171</f>
        <v>38062.5</v>
      </c>
      <c r="I155" s="189">
        <v>36.0</v>
      </c>
      <c r="J155" s="193">
        <f>C172</f>
        <v>12180</v>
      </c>
      <c r="K155" s="189">
        <v>36.0</v>
      </c>
      <c r="L155" s="193">
        <f>C173</f>
        <v>6090</v>
      </c>
      <c r="M155" s="189">
        <v>36.0</v>
      </c>
      <c r="N155" s="193">
        <f>C174</f>
        <v>10657.5</v>
      </c>
      <c r="O155" s="189">
        <v>0.6</v>
      </c>
      <c r="P155" s="232">
        <f t="shared" ref="P155:P166" si="15">(E155*F155*O155)+(G155*H155*O155)+(I155*J155*O155)+(K155*L155*O155)+(M155*N155*O155)</f>
        <v>1775844</v>
      </c>
      <c r="Q155" s="232">
        <f t="shared" ref="Q155:Q166" si="16">P155*C155</f>
        <v>55051164</v>
      </c>
      <c r="R155" s="218"/>
      <c r="S155" s="218"/>
      <c r="T155" s="218"/>
      <c r="U155" s="218"/>
      <c r="V155" s="218"/>
      <c r="W155" s="218"/>
      <c r="X155" s="218"/>
      <c r="Y155" s="218"/>
      <c r="Z155" s="218"/>
      <c r="AA155" s="218"/>
      <c r="AB155" s="218"/>
      <c r="AC155" s="218"/>
      <c r="AD155" s="218"/>
      <c r="AE155" s="218"/>
      <c r="AF155" s="218"/>
      <c r="AG155" s="218"/>
      <c r="AH155" s="218"/>
      <c r="AI155" s="218"/>
      <c r="AJ155" s="218"/>
      <c r="AK155" s="218"/>
      <c r="AL155" s="218"/>
      <c r="AM155" s="218"/>
      <c r="AN155" s="218"/>
      <c r="AO155" s="218"/>
      <c r="AP155" s="218"/>
      <c r="AQ155" s="218"/>
      <c r="AR155" s="220"/>
      <c r="AS155" s="220"/>
      <c r="AT155" s="220"/>
      <c r="AU155" s="220"/>
      <c r="AV155" s="220"/>
      <c r="AW155" s="220"/>
      <c r="AX155" s="220"/>
      <c r="AY155" s="220"/>
      <c r="AZ155" s="220"/>
    </row>
    <row r="156" ht="26.25" customHeight="1">
      <c r="A156" s="235"/>
      <c r="B156" s="236" t="s">
        <v>529</v>
      </c>
      <c r="C156" s="180">
        <v>28.0</v>
      </c>
      <c r="D156" s="189">
        <v>36.0</v>
      </c>
      <c r="E156" s="189">
        <v>36.0</v>
      </c>
      <c r="F156" s="231">
        <f>C170</f>
        <v>15225</v>
      </c>
      <c r="G156" s="189">
        <v>36.0</v>
      </c>
      <c r="H156" s="183">
        <f>C171</f>
        <v>38062.5</v>
      </c>
      <c r="I156" s="189">
        <v>36.0</v>
      </c>
      <c r="J156" s="193">
        <f>C172</f>
        <v>12180</v>
      </c>
      <c r="K156" s="189">
        <v>36.0</v>
      </c>
      <c r="L156" s="193">
        <f>C173</f>
        <v>6090</v>
      </c>
      <c r="M156" s="189">
        <v>36.0</v>
      </c>
      <c r="N156" s="193">
        <f>C174</f>
        <v>10657.5</v>
      </c>
      <c r="O156" s="189">
        <v>0.6</v>
      </c>
      <c r="P156" s="232">
        <f t="shared" si="15"/>
        <v>1775844</v>
      </c>
      <c r="Q156" s="232">
        <f t="shared" si="16"/>
        <v>49723632</v>
      </c>
      <c r="R156" s="218"/>
      <c r="S156" s="218"/>
      <c r="T156" s="218"/>
      <c r="U156" s="218"/>
      <c r="V156" s="218"/>
      <c r="W156" s="218"/>
      <c r="X156" s="218"/>
      <c r="Y156" s="218"/>
      <c r="Z156" s="218"/>
      <c r="AA156" s="218"/>
      <c r="AB156" s="218"/>
      <c r="AC156" s="218"/>
      <c r="AD156" s="218"/>
      <c r="AE156" s="218"/>
      <c r="AF156" s="218"/>
      <c r="AG156" s="218"/>
      <c r="AH156" s="218"/>
      <c r="AI156" s="218"/>
      <c r="AJ156" s="218"/>
      <c r="AK156" s="218"/>
      <c r="AL156" s="218"/>
      <c r="AM156" s="218"/>
      <c r="AN156" s="218"/>
      <c r="AO156" s="218"/>
      <c r="AP156" s="218"/>
      <c r="AQ156" s="218"/>
      <c r="AR156" s="220"/>
      <c r="AS156" s="220"/>
      <c r="AT156" s="220"/>
      <c r="AU156" s="220"/>
      <c r="AV156" s="220"/>
      <c r="AW156" s="220"/>
      <c r="AX156" s="220"/>
      <c r="AY156" s="220"/>
      <c r="AZ156" s="220"/>
    </row>
    <row r="157" ht="26.25" customHeight="1">
      <c r="A157" s="235"/>
      <c r="B157" s="236" t="s">
        <v>530</v>
      </c>
      <c r="C157" s="180">
        <v>31.0</v>
      </c>
      <c r="D157" s="189">
        <v>36.0</v>
      </c>
      <c r="E157" s="189">
        <v>36.0</v>
      </c>
      <c r="F157" s="231">
        <f>D170</f>
        <v>15225</v>
      </c>
      <c r="G157" s="189">
        <v>36.0</v>
      </c>
      <c r="H157" s="183">
        <f>D171</f>
        <v>38062.5</v>
      </c>
      <c r="I157" s="189">
        <v>36.0</v>
      </c>
      <c r="J157" s="190">
        <f>D172</f>
        <v>12180</v>
      </c>
      <c r="K157" s="189">
        <v>36.0</v>
      </c>
      <c r="L157" s="190">
        <f>D173</f>
        <v>6090</v>
      </c>
      <c r="M157" s="189">
        <v>36.0</v>
      </c>
      <c r="N157" s="190">
        <f>D174</f>
        <v>10657.5</v>
      </c>
      <c r="O157" s="189">
        <v>0.5</v>
      </c>
      <c r="P157" s="232">
        <f t="shared" si="15"/>
        <v>1479870</v>
      </c>
      <c r="Q157" s="232">
        <f t="shared" si="16"/>
        <v>45875970</v>
      </c>
      <c r="R157" s="238"/>
      <c r="S157" s="238"/>
      <c r="T157" s="218"/>
      <c r="U157" s="218"/>
      <c r="V157" s="218"/>
      <c r="W157" s="218"/>
      <c r="X157" s="218"/>
      <c r="Y157" s="218"/>
      <c r="Z157" s="218"/>
      <c r="AA157" s="218"/>
      <c r="AB157" s="218"/>
      <c r="AC157" s="218"/>
      <c r="AD157" s="218"/>
      <c r="AE157" s="218"/>
      <c r="AF157" s="218"/>
      <c r="AG157" s="218"/>
      <c r="AH157" s="218"/>
      <c r="AI157" s="218"/>
      <c r="AJ157" s="218"/>
      <c r="AK157" s="218"/>
      <c r="AL157" s="218"/>
      <c r="AM157" s="218"/>
      <c r="AN157" s="218"/>
      <c r="AO157" s="218"/>
      <c r="AP157" s="218"/>
      <c r="AQ157" s="218"/>
      <c r="AR157" s="220"/>
      <c r="AS157" s="220"/>
      <c r="AT157" s="220"/>
      <c r="AU157" s="220"/>
      <c r="AV157" s="220"/>
      <c r="AW157" s="220"/>
      <c r="AX157" s="220"/>
      <c r="AY157" s="220"/>
      <c r="AZ157" s="220"/>
    </row>
    <row r="158" ht="26.25" customHeight="1">
      <c r="A158" s="235"/>
      <c r="B158" s="236" t="s">
        <v>531</v>
      </c>
      <c r="C158" s="189">
        <v>30.0</v>
      </c>
      <c r="D158" s="189">
        <v>36.0</v>
      </c>
      <c r="E158" s="189">
        <v>36.0</v>
      </c>
      <c r="F158" s="231">
        <f>D170</f>
        <v>15225</v>
      </c>
      <c r="G158" s="189">
        <v>36.0</v>
      </c>
      <c r="H158" s="183">
        <f>D171</f>
        <v>38062.5</v>
      </c>
      <c r="I158" s="189">
        <v>36.0</v>
      </c>
      <c r="J158" s="190">
        <f>D172</f>
        <v>12180</v>
      </c>
      <c r="K158" s="189">
        <v>36.0</v>
      </c>
      <c r="L158" s="190">
        <f>D173</f>
        <v>6090</v>
      </c>
      <c r="M158" s="189">
        <v>36.0</v>
      </c>
      <c r="N158" s="190">
        <f>D174</f>
        <v>10657.5</v>
      </c>
      <c r="O158" s="189">
        <v>0.5</v>
      </c>
      <c r="P158" s="232">
        <f t="shared" si="15"/>
        <v>1479870</v>
      </c>
      <c r="Q158" s="232">
        <f t="shared" si="16"/>
        <v>44396100</v>
      </c>
      <c r="R158" s="237"/>
      <c r="S158" s="237"/>
      <c r="T158" s="218"/>
      <c r="U158" s="218"/>
      <c r="V158" s="218"/>
      <c r="W158" s="218"/>
      <c r="X158" s="218"/>
      <c r="Y158" s="218"/>
      <c r="Z158" s="218"/>
      <c r="AA158" s="218"/>
      <c r="AB158" s="218"/>
      <c r="AC158" s="218"/>
      <c r="AD158" s="218"/>
      <c r="AE158" s="218"/>
      <c r="AF158" s="218"/>
      <c r="AG158" s="218"/>
      <c r="AH158" s="218"/>
      <c r="AI158" s="218"/>
      <c r="AJ158" s="218"/>
      <c r="AK158" s="218"/>
      <c r="AL158" s="218"/>
      <c r="AM158" s="218"/>
      <c r="AN158" s="218"/>
      <c r="AO158" s="218"/>
      <c r="AP158" s="218"/>
      <c r="AQ158" s="218"/>
      <c r="AR158" s="220"/>
      <c r="AS158" s="220"/>
      <c r="AT158" s="220"/>
      <c r="AU158" s="220"/>
      <c r="AV158" s="220"/>
      <c r="AW158" s="220"/>
      <c r="AX158" s="220"/>
      <c r="AY158" s="220"/>
      <c r="AZ158" s="220"/>
    </row>
    <row r="159" ht="26.25" customHeight="1">
      <c r="A159" s="235"/>
      <c r="B159" s="236" t="s">
        <v>532</v>
      </c>
      <c r="C159" s="189">
        <v>31.0</v>
      </c>
      <c r="D159" s="189">
        <v>36.0</v>
      </c>
      <c r="E159" s="189">
        <v>36.0</v>
      </c>
      <c r="F159" s="231">
        <f>E170</f>
        <v>15225</v>
      </c>
      <c r="G159" s="189">
        <v>36.0</v>
      </c>
      <c r="H159" s="183">
        <f>E171</f>
        <v>38062.5</v>
      </c>
      <c r="I159" s="189">
        <v>36.0</v>
      </c>
      <c r="J159" s="190">
        <f>E172</f>
        <v>12180</v>
      </c>
      <c r="K159" s="189">
        <v>36.0</v>
      </c>
      <c r="L159" s="190">
        <f>E173</f>
        <v>6090</v>
      </c>
      <c r="M159" s="189">
        <v>36.0</v>
      </c>
      <c r="N159" s="190">
        <f>E174</f>
        <v>10657.5</v>
      </c>
      <c r="O159" s="189">
        <v>0.2</v>
      </c>
      <c r="P159" s="232">
        <f t="shared" si="15"/>
        <v>591948</v>
      </c>
      <c r="Q159" s="232">
        <f t="shared" si="16"/>
        <v>18350388</v>
      </c>
      <c r="R159" s="218"/>
      <c r="S159" s="218"/>
      <c r="T159" s="218"/>
      <c r="U159" s="218"/>
      <c r="V159" s="218"/>
      <c r="W159" s="218"/>
      <c r="X159" s="218"/>
      <c r="Y159" s="218"/>
      <c r="Z159" s="218"/>
      <c r="AA159" s="218"/>
      <c r="AB159" s="218"/>
      <c r="AC159" s="218"/>
      <c r="AD159" s="218"/>
      <c r="AE159" s="218"/>
      <c r="AF159" s="218"/>
      <c r="AG159" s="218"/>
      <c r="AH159" s="218"/>
      <c r="AI159" s="218"/>
      <c r="AJ159" s="218"/>
      <c r="AK159" s="218"/>
      <c r="AL159" s="218"/>
      <c r="AM159" s="218"/>
      <c r="AN159" s="218"/>
      <c r="AO159" s="218"/>
      <c r="AP159" s="218"/>
      <c r="AQ159" s="218"/>
      <c r="AR159" s="220"/>
      <c r="AS159" s="220"/>
      <c r="AT159" s="220"/>
      <c r="AU159" s="220"/>
      <c r="AV159" s="220"/>
      <c r="AW159" s="220"/>
      <c r="AX159" s="220"/>
      <c r="AY159" s="220"/>
      <c r="AZ159" s="220"/>
    </row>
    <row r="160" ht="26.25" customHeight="1">
      <c r="A160" s="235"/>
      <c r="B160" s="236" t="s">
        <v>533</v>
      </c>
      <c r="C160" s="189">
        <v>30.0</v>
      </c>
      <c r="D160" s="189">
        <v>36.0</v>
      </c>
      <c r="E160" s="189">
        <v>36.0</v>
      </c>
      <c r="F160" s="231">
        <f>E170</f>
        <v>15225</v>
      </c>
      <c r="G160" s="189">
        <v>36.0</v>
      </c>
      <c r="H160" s="183">
        <f>E171</f>
        <v>38062.5</v>
      </c>
      <c r="I160" s="189">
        <v>36.0</v>
      </c>
      <c r="J160" s="190">
        <f>D172</f>
        <v>12180</v>
      </c>
      <c r="K160" s="189">
        <v>36.0</v>
      </c>
      <c r="L160" s="190">
        <f>E173</f>
        <v>6090</v>
      </c>
      <c r="M160" s="189">
        <v>36.0</v>
      </c>
      <c r="N160" s="190">
        <f>E174</f>
        <v>10657.5</v>
      </c>
      <c r="O160" s="189">
        <v>0.2</v>
      </c>
      <c r="P160" s="232">
        <f t="shared" si="15"/>
        <v>591948</v>
      </c>
      <c r="Q160" s="232">
        <f t="shared" si="16"/>
        <v>17758440</v>
      </c>
      <c r="R160" s="218"/>
      <c r="S160" s="218"/>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c r="AO160" s="218"/>
      <c r="AP160" s="218"/>
      <c r="AQ160" s="218"/>
      <c r="AR160" s="220"/>
      <c r="AS160" s="220"/>
      <c r="AT160" s="220"/>
      <c r="AU160" s="220"/>
      <c r="AV160" s="220"/>
      <c r="AW160" s="220"/>
      <c r="AX160" s="220"/>
      <c r="AY160" s="220"/>
      <c r="AZ160" s="220"/>
    </row>
    <row r="161" ht="26.25" customHeight="1">
      <c r="A161" s="235"/>
      <c r="B161" s="236" t="s">
        <v>534</v>
      </c>
      <c r="C161" s="189">
        <v>31.0</v>
      </c>
      <c r="D161" s="189">
        <v>36.0</v>
      </c>
      <c r="E161" s="189">
        <v>36.0</v>
      </c>
      <c r="F161" s="231">
        <f>C170</f>
        <v>15225</v>
      </c>
      <c r="G161" s="189">
        <v>36.0</v>
      </c>
      <c r="H161" s="183">
        <f>C171</f>
        <v>38062.5</v>
      </c>
      <c r="I161" s="189">
        <v>36.0</v>
      </c>
      <c r="J161" s="190">
        <f>C172</f>
        <v>12180</v>
      </c>
      <c r="K161" s="189">
        <v>36.0</v>
      </c>
      <c r="L161" s="190">
        <f>C173</f>
        <v>6090</v>
      </c>
      <c r="M161" s="189">
        <v>36.0</v>
      </c>
      <c r="N161" s="190">
        <f>C174</f>
        <v>10657.5</v>
      </c>
      <c r="O161" s="189">
        <v>0.7</v>
      </c>
      <c r="P161" s="232">
        <f t="shared" si="15"/>
        <v>2071818</v>
      </c>
      <c r="Q161" s="232">
        <f t="shared" si="16"/>
        <v>64226358</v>
      </c>
      <c r="R161" s="218"/>
      <c r="S161" s="218"/>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c r="AO161" s="218"/>
      <c r="AP161" s="218"/>
      <c r="AQ161" s="218"/>
      <c r="AR161" s="220"/>
      <c r="AS161" s="220"/>
      <c r="AT161" s="220"/>
      <c r="AU161" s="220"/>
      <c r="AV161" s="220"/>
      <c r="AW161" s="220"/>
      <c r="AX161" s="220"/>
      <c r="AY161" s="220"/>
      <c r="AZ161" s="220"/>
    </row>
    <row r="162" ht="26.25" customHeight="1">
      <c r="A162" s="235"/>
      <c r="B162" s="236" t="s">
        <v>535</v>
      </c>
      <c r="C162" s="189">
        <v>31.0</v>
      </c>
      <c r="D162" s="189">
        <v>36.0</v>
      </c>
      <c r="E162" s="189">
        <v>36.0</v>
      </c>
      <c r="F162" s="231">
        <f>C170</f>
        <v>15225</v>
      </c>
      <c r="G162" s="189">
        <v>36.0</v>
      </c>
      <c r="H162" s="183">
        <f>C171</f>
        <v>38062.5</v>
      </c>
      <c r="I162" s="189">
        <v>36.0</v>
      </c>
      <c r="J162" s="190">
        <f>C172</f>
        <v>12180</v>
      </c>
      <c r="K162" s="189">
        <v>36.0</v>
      </c>
      <c r="L162" s="190">
        <f>C173</f>
        <v>6090</v>
      </c>
      <c r="M162" s="189">
        <v>36.0</v>
      </c>
      <c r="N162" s="190">
        <f>E174</f>
        <v>10657.5</v>
      </c>
      <c r="O162" s="189">
        <v>0.7</v>
      </c>
      <c r="P162" s="232">
        <f t="shared" si="15"/>
        <v>2071818</v>
      </c>
      <c r="Q162" s="232">
        <f t="shared" si="16"/>
        <v>64226358</v>
      </c>
      <c r="R162" s="218"/>
      <c r="S162" s="218"/>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c r="AO162" s="218"/>
      <c r="AP162" s="218"/>
      <c r="AQ162" s="218"/>
      <c r="AR162" s="220"/>
      <c r="AS162" s="220"/>
      <c r="AT162" s="220"/>
      <c r="AU162" s="220"/>
      <c r="AV162" s="220"/>
      <c r="AW162" s="220"/>
      <c r="AX162" s="220"/>
      <c r="AY162" s="220"/>
      <c r="AZ162" s="220"/>
    </row>
    <row r="163" ht="26.25" customHeight="1">
      <c r="A163" s="235"/>
      <c r="B163" s="236" t="s">
        <v>536</v>
      </c>
      <c r="C163" s="189">
        <v>30.0</v>
      </c>
      <c r="D163" s="189">
        <v>36.0</v>
      </c>
      <c r="E163" s="189">
        <v>36.0</v>
      </c>
      <c r="F163" s="231">
        <f>E170</f>
        <v>15225</v>
      </c>
      <c r="G163" s="189">
        <v>36.0</v>
      </c>
      <c r="H163" s="183">
        <f>E171</f>
        <v>38062.5</v>
      </c>
      <c r="I163" s="189">
        <v>36.0</v>
      </c>
      <c r="J163" s="190">
        <f>E172</f>
        <v>12180</v>
      </c>
      <c r="K163" s="189">
        <v>36.0</v>
      </c>
      <c r="L163" s="190">
        <f>E173</f>
        <v>6090</v>
      </c>
      <c r="M163" s="189">
        <v>36.0</v>
      </c>
      <c r="N163" s="190">
        <f>E174</f>
        <v>10657.5</v>
      </c>
      <c r="O163" s="189">
        <v>0.4</v>
      </c>
      <c r="P163" s="232">
        <f t="shared" si="15"/>
        <v>1183896</v>
      </c>
      <c r="Q163" s="232">
        <f t="shared" si="16"/>
        <v>35516880</v>
      </c>
      <c r="R163" s="218"/>
      <c r="S163" s="218"/>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c r="AO163" s="218"/>
      <c r="AP163" s="218"/>
      <c r="AQ163" s="218"/>
      <c r="AR163" s="220"/>
      <c r="AS163" s="220"/>
      <c r="AT163" s="220"/>
      <c r="AU163" s="220"/>
      <c r="AV163" s="220"/>
      <c r="AW163" s="220"/>
      <c r="AX163" s="220"/>
      <c r="AY163" s="220"/>
      <c r="AZ163" s="220"/>
    </row>
    <row r="164" ht="26.25" customHeight="1">
      <c r="A164" s="235"/>
      <c r="B164" s="236" t="s">
        <v>537</v>
      </c>
      <c r="C164" s="189">
        <v>31.0</v>
      </c>
      <c r="D164" s="189">
        <v>36.0</v>
      </c>
      <c r="E164" s="189">
        <v>36.0</v>
      </c>
      <c r="F164" s="231">
        <f>D170</f>
        <v>15225</v>
      </c>
      <c r="G164" s="189">
        <v>36.0</v>
      </c>
      <c r="H164" s="183">
        <f>D171</f>
        <v>38062.5</v>
      </c>
      <c r="I164" s="189">
        <v>36.0</v>
      </c>
      <c r="J164" s="190">
        <f>D172</f>
        <v>12180</v>
      </c>
      <c r="K164" s="189">
        <v>36.0</v>
      </c>
      <c r="L164" s="190">
        <f>D173</f>
        <v>6090</v>
      </c>
      <c r="M164" s="189">
        <v>36.0</v>
      </c>
      <c r="N164" s="190">
        <f>D174</f>
        <v>10657.5</v>
      </c>
      <c r="O164" s="189">
        <v>0.4</v>
      </c>
      <c r="P164" s="232">
        <f t="shared" si="15"/>
        <v>1183896</v>
      </c>
      <c r="Q164" s="232">
        <f t="shared" si="16"/>
        <v>36700776</v>
      </c>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20"/>
      <c r="AS164" s="220"/>
      <c r="AT164" s="220"/>
      <c r="AU164" s="220"/>
      <c r="AV164" s="220"/>
      <c r="AW164" s="220"/>
      <c r="AX164" s="220"/>
      <c r="AY164" s="220"/>
      <c r="AZ164" s="220"/>
    </row>
    <row r="165" ht="26.25" customHeight="1">
      <c r="A165" s="235"/>
      <c r="B165" s="236" t="s">
        <v>538</v>
      </c>
      <c r="C165" s="189">
        <v>30.0</v>
      </c>
      <c r="D165" s="189">
        <v>36.0</v>
      </c>
      <c r="E165" s="189">
        <v>36.0</v>
      </c>
      <c r="F165" s="231">
        <f>D170</f>
        <v>15225</v>
      </c>
      <c r="G165" s="189">
        <v>36.0</v>
      </c>
      <c r="H165" s="183">
        <f>D171</f>
        <v>38062.5</v>
      </c>
      <c r="I165" s="189">
        <v>36.0</v>
      </c>
      <c r="J165" s="190">
        <f>D172</f>
        <v>12180</v>
      </c>
      <c r="K165" s="189">
        <v>36.0</v>
      </c>
      <c r="L165" s="190">
        <f>D173</f>
        <v>6090</v>
      </c>
      <c r="M165" s="189">
        <v>36.0</v>
      </c>
      <c r="N165" s="190">
        <f>D174</f>
        <v>10657.5</v>
      </c>
      <c r="O165" s="189">
        <v>0.4</v>
      </c>
      <c r="P165" s="232">
        <f t="shared" si="15"/>
        <v>1183896</v>
      </c>
      <c r="Q165" s="232">
        <f t="shared" si="16"/>
        <v>35516880</v>
      </c>
      <c r="R165" s="218"/>
      <c r="S165" s="218"/>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c r="AO165" s="218"/>
      <c r="AP165" s="218"/>
      <c r="AQ165" s="218"/>
      <c r="AR165" s="220"/>
      <c r="AS165" s="220"/>
      <c r="AT165" s="220"/>
      <c r="AU165" s="220"/>
      <c r="AV165" s="220"/>
      <c r="AW165" s="220"/>
      <c r="AX165" s="220"/>
      <c r="AY165" s="220"/>
      <c r="AZ165" s="220"/>
    </row>
    <row r="166" ht="26.25" customHeight="1">
      <c r="A166" s="235"/>
      <c r="B166" s="236" t="s">
        <v>539</v>
      </c>
      <c r="C166" s="189">
        <v>31.0</v>
      </c>
      <c r="D166" s="189">
        <v>36.0</v>
      </c>
      <c r="E166" s="189">
        <v>36.0</v>
      </c>
      <c r="F166" s="231">
        <f>D170</f>
        <v>15225</v>
      </c>
      <c r="G166" s="189">
        <v>36.0</v>
      </c>
      <c r="H166" s="183">
        <f>D171</f>
        <v>38062.5</v>
      </c>
      <c r="I166" s="189">
        <v>36.0</v>
      </c>
      <c r="J166" s="190">
        <f>D172</f>
        <v>12180</v>
      </c>
      <c r="K166" s="189">
        <v>36.0</v>
      </c>
      <c r="L166" s="190">
        <f>D173</f>
        <v>6090</v>
      </c>
      <c r="M166" s="189">
        <v>36.0</v>
      </c>
      <c r="N166" s="190">
        <f>D174</f>
        <v>10657.5</v>
      </c>
      <c r="O166" s="189">
        <v>0.5</v>
      </c>
      <c r="P166" s="232">
        <f t="shared" si="15"/>
        <v>1479870</v>
      </c>
      <c r="Q166" s="232">
        <f t="shared" si="16"/>
        <v>45875970</v>
      </c>
      <c r="R166" s="218"/>
      <c r="S166" s="218"/>
      <c r="T166" s="218"/>
      <c r="U166" s="218"/>
      <c r="V166" s="218"/>
      <c r="W166" s="218"/>
      <c r="X166" s="218"/>
      <c r="Y166" s="218"/>
      <c r="Z166" s="218"/>
      <c r="AA166" s="218"/>
      <c r="AB166" s="218"/>
      <c r="AC166" s="218"/>
      <c r="AD166" s="218"/>
      <c r="AE166" s="218"/>
      <c r="AF166" s="218"/>
      <c r="AG166" s="218"/>
      <c r="AH166" s="218"/>
      <c r="AI166" s="218"/>
      <c r="AJ166" s="218"/>
      <c r="AK166" s="218"/>
      <c r="AL166" s="218"/>
      <c r="AM166" s="218"/>
      <c r="AN166" s="218"/>
      <c r="AO166" s="218"/>
      <c r="AP166" s="218"/>
      <c r="AQ166" s="218"/>
      <c r="AR166" s="220"/>
      <c r="AS166" s="220"/>
      <c r="AT166" s="220"/>
      <c r="AU166" s="220"/>
      <c r="AV166" s="220"/>
      <c r="AW166" s="220"/>
      <c r="AX166" s="220"/>
      <c r="AY166" s="220"/>
      <c r="AZ166" s="220"/>
    </row>
    <row r="167" ht="26.25" customHeight="1">
      <c r="A167" s="219"/>
      <c r="B167" s="218"/>
      <c r="C167" s="218"/>
      <c r="D167" s="218"/>
      <c r="E167" s="218"/>
      <c r="F167" s="218"/>
      <c r="G167" s="218"/>
      <c r="H167" s="218"/>
      <c r="I167" s="218"/>
      <c r="J167" s="218"/>
      <c r="K167" s="218"/>
      <c r="L167" s="218"/>
      <c r="M167" s="218"/>
      <c r="N167" s="218"/>
      <c r="O167" s="218"/>
      <c r="P167" s="240"/>
      <c r="Q167" s="218"/>
      <c r="R167" s="218"/>
      <c r="S167" s="218"/>
      <c r="T167" s="218"/>
      <c r="U167" s="218"/>
      <c r="V167" s="218"/>
      <c r="W167" s="218"/>
      <c r="X167" s="218"/>
      <c r="Y167" s="218"/>
      <c r="Z167" s="218"/>
      <c r="AA167" s="218"/>
      <c r="AB167" s="218"/>
      <c r="AC167" s="218"/>
      <c r="AD167" s="218"/>
      <c r="AE167" s="218"/>
      <c r="AF167" s="218"/>
      <c r="AG167" s="218"/>
      <c r="AH167" s="218"/>
      <c r="AI167" s="218"/>
      <c r="AJ167" s="218"/>
      <c r="AK167" s="218"/>
      <c r="AL167" s="218"/>
      <c r="AM167" s="218"/>
      <c r="AN167" s="218"/>
      <c r="AO167" s="218"/>
      <c r="AP167" s="218"/>
      <c r="AQ167" s="218"/>
      <c r="AR167" s="220"/>
      <c r="AS167" s="220"/>
      <c r="AT167" s="220"/>
      <c r="AU167" s="220"/>
      <c r="AV167" s="220"/>
      <c r="AW167" s="220"/>
      <c r="AX167" s="220"/>
      <c r="AY167" s="220"/>
      <c r="AZ167" s="220"/>
    </row>
    <row r="168" ht="26.25" customHeight="1">
      <c r="A168" s="243"/>
      <c r="B168" s="244" t="s">
        <v>540</v>
      </c>
      <c r="C168" s="260" t="s">
        <v>589</v>
      </c>
      <c r="D168" s="47"/>
      <c r="E168" s="12"/>
      <c r="F168" s="218"/>
      <c r="G168" s="218"/>
      <c r="H168" s="218"/>
      <c r="I168" s="218"/>
      <c r="J168" s="218"/>
      <c r="K168" s="218"/>
      <c r="L168" s="218"/>
      <c r="M168" s="218"/>
      <c r="N168" s="218"/>
      <c r="O168" s="218"/>
      <c r="P168" s="218"/>
      <c r="Q168" s="218"/>
      <c r="R168" s="218"/>
      <c r="S168" s="218"/>
      <c r="T168" s="218"/>
      <c r="U168" s="218"/>
      <c r="V168" s="218"/>
      <c r="W168" s="218"/>
      <c r="X168" s="218"/>
      <c r="Y168" s="218"/>
      <c r="Z168" s="218"/>
      <c r="AA168" s="218"/>
      <c r="AB168" s="218"/>
      <c r="AC168" s="218"/>
      <c r="AD168" s="218"/>
      <c r="AE168" s="218"/>
      <c r="AF168" s="218"/>
      <c r="AG168" s="218"/>
      <c r="AH168" s="218"/>
      <c r="AI168" s="218"/>
      <c r="AJ168" s="218"/>
      <c r="AK168" s="218"/>
      <c r="AL168" s="218"/>
      <c r="AM168" s="218"/>
      <c r="AN168" s="218"/>
      <c r="AO168" s="218"/>
      <c r="AP168" s="218"/>
      <c r="AQ168" s="218"/>
      <c r="AR168" s="220"/>
      <c r="AS168" s="220"/>
      <c r="AT168" s="220"/>
      <c r="AU168" s="220"/>
      <c r="AV168" s="220"/>
      <c r="AW168" s="220"/>
      <c r="AX168" s="220"/>
      <c r="AY168" s="220"/>
      <c r="AZ168" s="220"/>
    </row>
    <row r="169" ht="26.25" customHeight="1">
      <c r="A169" s="243"/>
      <c r="B169" s="33"/>
      <c r="C169" s="246" t="s">
        <v>542</v>
      </c>
      <c r="D169" s="247" t="s">
        <v>543</v>
      </c>
      <c r="E169" s="246" t="s">
        <v>544</v>
      </c>
      <c r="F169" s="218"/>
      <c r="G169" s="218"/>
      <c r="H169" s="218"/>
      <c r="I169" s="218"/>
      <c r="J169" s="218"/>
      <c r="K169" s="218"/>
      <c r="L169" s="218"/>
      <c r="M169" s="218"/>
      <c r="N169" s="218"/>
      <c r="O169" s="218"/>
      <c r="P169" s="218"/>
      <c r="Q169" s="218"/>
      <c r="R169" s="218"/>
      <c r="S169" s="218"/>
      <c r="T169" s="218"/>
      <c r="U169" s="218"/>
      <c r="V169" s="218"/>
      <c r="W169" s="218"/>
      <c r="X169" s="218"/>
      <c r="Y169" s="218"/>
      <c r="Z169" s="218"/>
      <c r="AA169" s="218"/>
      <c r="AB169" s="218"/>
      <c r="AC169" s="218"/>
      <c r="AD169" s="218"/>
      <c r="AE169" s="218"/>
      <c r="AF169" s="218"/>
      <c r="AG169" s="218"/>
      <c r="AH169" s="218"/>
      <c r="AI169" s="218"/>
      <c r="AJ169" s="218"/>
      <c r="AK169" s="218"/>
      <c r="AL169" s="218"/>
      <c r="AM169" s="218"/>
      <c r="AN169" s="218"/>
      <c r="AO169" s="218"/>
      <c r="AP169" s="218"/>
      <c r="AQ169" s="218"/>
      <c r="AR169" s="220"/>
      <c r="AS169" s="220"/>
      <c r="AT169" s="220"/>
      <c r="AU169" s="220"/>
      <c r="AV169" s="220"/>
      <c r="AW169" s="220"/>
      <c r="AX169" s="220"/>
      <c r="AY169" s="220"/>
      <c r="AZ169" s="220"/>
    </row>
    <row r="170" ht="26.25" customHeight="1">
      <c r="A170" s="261"/>
      <c r="B170" s="262" t="s">
        <v>581</v>
      </c>
      <c r="C170" s="231">
        <f>C146*G174</f>
        <v>15225</v>
      </c>
      <c r="D170" s="231">
        <f>D146*G174</f>
        <v>15225</v>
      </c>
      <c r="E170" s="231">
        <f>E146*G174</f>
        <v>15225</v>
      </c>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c r="AL170" s="218"/>
      <c r="AM170" s="218"/>
      <c r="AN170" s="218"/>
      <c r="AO170" s="218"/>
      <c r="AP170" s="218"/>
      <c r="AQ170" s="218"/>
      <c r="AR170" s="220"/>
      <c r="AS170" s="220"/>
      <c r="AT170" s="220"/>
      <c r="AU170" s="220"/>
      <c r="AV170" s="220"/>
      <c r="AW170" s="220"/>
      <c r="AX170" s="220"/>
      <c r="AY170" s="220"/>
      <c r="AZ170" s="220"/>
    </row>
    <row r="171" ht="26.25" customHeight="1">
      <c r="A171" s="261"/>
      <c r="B171" s="262" t="s">
        <v>582</v>
      </c>
      <c r="C171" s="262">
        <f>C147*G174</f>
        <v>38062.5</v>
      </c>
      <c r="D171" s="262">
        <f>D147*G174</f>
        <v>38062.5</v>
      </c>
      <c r="E171" s="262">
        <f>E147*G174</f>
        <v>38062.5</v>
      </c>
      <c r="F171" s="218"/>
      <c r="G171" s="218"/>
      <c r="H171" s="218"/>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c r="AO171" s="218"/>
      <c r="AP171" s="218"/>
      <c r="AQ171" s="218"/>
      <c r="AR171" s="220"/>
      <c r="AS171" s="220"/>
      <c r="AT171" s="220"/>
      <c r="AU171" s="220"/>
      <c r="AV171" s="220"/>
      <c r="AW171" s="220"/>
      <c r="AX171" s="220"/>
      <c r="AY171" s="220"/>
      <c r="AZ171" s="220"/>
    </row>
    <row r="172" ht="26.25" customHeight="1">
      <c r="A172" s="261"/>
      <c r="B172" s="262" t="s">
        <v>583</v>
      </c>
      <c r="C172" s="262">
        <f>C148*G174</f>
        <v>12180</v>
      </c>
      <c r="D172" s="262">
        <f>D148*G174</f>
        <v>12180</v>
      </c>
      <c r="E172" s="262">
        <f>E148*G174</f>
        <v>12180</v>
      </c>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20"/>
      <c r="AS172" s="220"/>
      <c r="AT172" s="220"/>
      <c r="AU172" s="220"/>
      <c r="AV172" s="220"/>
      <c r="AW172" s="220"/>
      <c r="AX172" s="220"/>
      <c r="AY172" s="220"/>
      <c r="AZ172" s="220"/>
    </row>
    <row r="173" ht="26.25" customHeight="1">
      <c r="A173" s="261"/>
      <c r="B173" s="262" t="s">
        <v>584</v>
      </c>
      <c r="C173" s="262">
        <f>C149*G174</f>
        <v>6090</v>
      </c>
      <c r="D173" s="262">
        <f>D149*G174</f>
        <v>6090</v>
      </c>
      <c r="E173" s="262">
        <f>E149*G174</f>
        <v>6090</v>
      </c>
      <c r="F173" s="218"/>
      <c r="G173" s="218"/>
      <c r="H173" s="218"/>
      <c r="I173" s="218"/>
      <c r="J173" s="218"/>
      <c r="K173" s="218"/>
      <c r="L173" s="218"/>
      <c r="M173" s="218"/>
      <c r="N173" s="218"/>
      <c r="O173" s="218"/>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c r="AR173" s="220"/>
      <c r="AS173" s="220"/>
      <c r="AT173" s="220"/>
      <c r="AU173" s="220"/>
      <c r="AV173" s="220"/>
      <c r="AW173" s="220"/>
      <c r="AX173" s="220"/>
      <c r="AY173" s="220"/>
      <c r="AZ173" s="220"/>
    </row>
    <row r="174" ht="26.25" customHeight="1">
      <c r="A174" s="261"/>
      <c r="B174" s="262" t="s">
        <v>585</v>
      </c>
      <c r="C174" s="262">
        <f>C150*G174</f>
        <v>10657.5</v>
      </c>
      <c r="D174" s="262">
        <f>D150*G174</f>
        <v>10657.5</v>
      </c>
      <c r="E174" s="262">
        <f>E150*G174</f>
        <v>10657.5</v>
      </c>
      <c r="F174" s="252" t="s">
        <v>586</v>
      </c>
      <c r="G174" s="253">
        <v>1.05</v>
      </c>
      <c r="H174" s="218"/>
      <c r="I174" s="218"/>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20"/>
      <c r="AS174" s="220"/>
      <c r="AT174" s="220"/>
      <c r="AU174" s="220"/>
      <c r="AV174" s="220"/>
      <c r="AW174" s="220"/>
      <c r="AX174" s="220"/>
      <c r="AY174" s="220"/>
      <c r="AZ174" s="220"/>
    </row>
    <row r="175" ht="26.25" customHeight="1">
      <c r="A175" s="219"/>
      <c r="B175" s="218"/>
      <c r="C175" s="218"/>
      <c r="D175" s="218"/>
      <c r="E175" s="218"/>
      <c r="F175" s="218"/>
      <c r="G175" s="218"/>
      <c r="H175" s="218"/>
      <c r="I175" s="218"/>
      <c r="J175" s="218"/>
      <c r="K175" s="218"/>
      <c r="L175" s="218"/>
      <c r="M175" s="218"/>
      <c r="N175" s="218"/>
      <c r="O175" s="218"/>
      <c r="P175" s="218"/>
      <c r="Q175" s="218"/>
      <c r="R175" s="218"/>
      <c r="S175" s="218"/>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c r="AO175" s="218"/>
      <c r="AP175" s="218"/>
      <c r="AQ175" s="218"/>
      <c r="AR175" s="220"/>
      <c r="AS175" s="220"/>
      <c r="AT175" s="220"/>
      <c r="AU175" s="220"/>
      <c r="AV175" s="220"/>
      <c r="AW175" s="220"/>
      <c r="AX175" s="220"/>
      <c r="AY175" s="220"/>
      <c r="AZ175" s="220"/>
    </row>
    <row r="176" ht="26.25" customHeight="1">
      <c r="A176" s="221"/>
      <c r="B176" s="263" t="s">
        <v>590</v>
      </c>
      <c r="C176" s="47"/>
      <c r="D176" s="47"/>
      <c r="E176" s="47"/>
      <c r="F176" s="47"/>
      <c r="G176" s="47"/>
      <c r="H176" s="47"/>
      <c r="I176" s="47"/>
      <c r="J176" s="47"/>
      <c r="K176" s="47"/>
      <c r="L176" s="47"/>
      <c r="M176" s="47"/>
      <c r="N176" s="47"/>
      <c r="O176" s="47"/>
      <c r="P176" s="47"/>
      <c r="Q176" s="12"/>
      <c r="R176" s="218"/>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8"/>
      <c r="AP176" s="218"/>
      <c r="AQ176" s="218"/>
      <c r="AR176" s="220"/>
      <c r="AS176" s="220"/>
      <c r="AT176" s="220"/>
      <c r="AU176" s="220"/>
      <c r="AV176" s="220"/>
      <c r="AW176" s="220"/>
      <c r="AX176" s="220"/>
      <c r="AY176" s="220"/>
      <c r="AZ176" s="220"/>
    </row>
    <row r="177" ht="26.25" customHeight="1">
      <c r="A177" s="223"/>
      <c r="B177" s="264" t="s">
        <v>591</v>
      </c>
      <c r="C177" s="47"/>
      <c r="D177" s="47"/>
      <c r="E177" s="47"/>
      <c r="F177" s="47"/>
      <c r="G177" s="47"/>
      <c r="H177" s="47"/>
      <c r="I177" s="47"/>
      <c r="J177" s="47"/>
      <c r="K177" s="47"/>
      <c r="L177" s="47"/>
      <c r="M177" s="47"/>
      <c r="N177" s="47"/>
      <c r="O177" s="47"/>
      <c r="P177" s="47"/>
      <c r="Q177" s="12"/>
      <c r="R177" s="218"/>
      <c r="S177" s="218"/>
      <c r="T177" s="218"/>
      <c r="U177" s="218"/>
      <c r="V177" s="218"/>
      <c r="W177" s="218"/>
      <c r="X177" s="218"/>
      <c r="Y177" s="218"/>
      <c r="Z177" s="218"/>
      <c r="AA177" s="218"/>
      <c r="AB177" s="218"/>
      <c r="AC177" s="218"/>
      <c r="AD177" s="218"/>
      <c r="AE177" s="218"/>
      <c r="AF177" s="218"/>
      <c r="AG177" s="218"/>
      <c r="AH177" s="218"/>
      <c r="AI177" s="218"/>
      <c r="AJ177" s="218"/>
      <c r="AK177" s="218"/>
      <c r="AL177" s="218"/>
      <c r="AM177" s="218"/>
      <c r="AN177" s="218"/>
      <c r="AO177" s="218"/>
      <c r="AP177" s="218"/>
      <c r="AQ177" s="218"/>
      <c r="AR177" s="220"/>
      <c r="AS177" s="220"/>
      <c r="AT177" s="220"/>
      <c r="AU177" s="220"/>
      <c r="AV177" s="220"/>
      <c r="AW177" s="220"/>
      <c r="AX177" s="220"/>
      <c r="AY177" s="220"/>
      <c r="AZ177" s="220"/>
    </row>
    <row r="178" ht="26.25" customHeight="1">
      <c r="A178" s="226"/>
      <c r="B178" s="265" t="s">
        <v>520</v>
      </c>
      <c r="C178" s="265" t="s">
        <v>521</v>
      </c>
      <c r="D178" s="266" t="s">
        <v>573</v>
      </c>
      <c r="E178" s="266" t="s">
        <v>574</v>
      </c>
      <c r="F178" s="266" t="s">
        <v>575</v>
      </c>
      <c r="G178" s="266" t="s">
        <v>576</v>
      </c>
      <c r="H178" s="266" t="s">
        <v>575</v>
      </c>
      <c r="I178" s="266" t="s">
        <v>577</v>
      </c>
      <c r="J178" s="266" t="s">
        <v>575</v>
      </c>
      <c r="K178" s="266" t="s">
        <v>578</v>
      </c>
      <c r="L178" s="266" t="s">
        <v>575</v>
      </c>
      <c r="M178" s="266" t="s">
        <v>579</v>
      </c>
      <c r="N178" s="266" t="s">
        <v>575</v>
      </c>
      <c r="O178" s="228" t="s">
        <v>525</v>
      </c>
      <c r="P178" s="265" t="s">
        <v>526</v>
      </c>
      <c r="Q178" s="265" t="s">
        <v>527</v>
      </c>
      <c r="R178" s="218"/>
      <c r="S178" s="218"/>
      <c r="T178" s="218"/>
      <c r="U178" s="218"/>
      <c r="V178" s="218"/>
      <c r="W178" s="218"/>
      <c r="X178" s="218"/>
      <c r="Y178" s="218"/>
      <c r="Z178" s="218"/>
      <c r="AA178" s="218"/>
      <c r="AB178" s="218"/>
      <c r="AC178" s="218"/>
      <c r="AD178" s="218"/>
      <c r="AE178" s="218"/>
      <c r="AF178" s="218"/>
      <c r="AG178" s="218"/>
      <c r="AH178" s="218"/>
      <c r="AI178" s="218"/>
      <c r="AJ178" s="218"/>
      <c r="AK178" s="218"/>
      <c r="AL178" s="218"/>
      <c r="AM178" s="218"/>
      <c r="AN178" s="218"/>
      <c r="AO178" s="218"/>
      <c r="AP178" s="218"/>
      <c r="AQ178" s="218"/>
      <c r="AR178" s="220"/>
      <c r="AS178" s="220"/>
      <c r="AT178" s="220"/>
      <c r="AU178" s="220"/>
      <c r="AV178" s="220"/>
      <c r="AW178" s="220"/>
      <c r="AX178" s="220"/>
      <c r="AY178" s="220"/>
      <c r="AZ178" s="220"/>
    </row>
    <row r="179" ht="26.25" customHeight="1">
      <c r="A179" s="226"/>
      <c r="B179" s="230" t="s">
        <v>528</v>
      </c>
      <c r="C179" s="180">
        <v>31.0</v>
      </c>
      <c r="D179" s="189">
        <v>36.0</v>
      </c>
      <c r="E179" s="189">
        <v>36.0</v>
      </c>
      <c r="F179" s="231">
        <f>C194</f>
        <v>15986.25</v>
      </c>
      <c r="G179" s="189">
        <v>36.0</v>
      </c>
      <c r="H179" s="183">
        <f>C195</f>
        <v>39965.625</v>
      </c>
      <c r="I179" s="189">
        <v>36.0</v>
      </c>
      <c r="J179" s="193">
        <f>C196</f>
        <v>12789</v>
      </c>
      <c r="K179" s="189">
        <v>36.0</v>
      </c>
      <c r="L179" s="193">
        <f>C197</f>
        <v>6394.5</v>
      </c>
      <c r="M179" s="189">
        <v>36.0</v>
      </c>
      <c r="N179" s="193">
        <f>C198</f>
        <v>11190.375</v>
      </c>
      <c r="O179" s="189">
        <v>0.8</v>
      </c>
      <c r="P179" s="232">
        <f t="shared" ref="P179:P190" si="17">(E179*F179*O179)+(G179*H179*O179)+(I179*J179*O179)+(K179*L179*O179)+(M179*N179*O179)</f>
        <v>2486181.6</v>
      </c>
      <c r="Q179" s="232">
        <f t="shared" ref="Q179:Q190" si="18">P179*C179</f>
        <v>77071629.6</v>
      </c>
      <c r="R179" s="218"/>
      <c r="S179" s="218"/>
      <c r="T179" s="218"/>
      <c r="U179" s="218"/>
      <c r="V179" s="218"/>
      <c r="W179" s="218"/>
      <c r="X179" s="218"/>
      <c r="Y179" s="218"/>
      <c r="Z179" s="218"/>
      <c r="AA179" s="218"/>
      <c r="AB179" s="218"/>
      <c r="AC179" s="218"/>
      <c r="AD179" s="218"/>
      <c r="AE179" s="218"/>
      <c r="AF179" s="218"/>
      <c r="AG179" s="218"/>
      <c r="AH179" s="218"/>
      <c r="AI179" s="218"/>
      <c r="AJ179" s="218"/>
      <c r="AK179" s="218"/>
      <c r="AL179" s="218"/>
      <c r="AM179" s="218"/>
      <c r="AN179" s="218"/>
      <c r="AO179" s="218"/>
      <c r="AP179" s="218"/>
      <c r="AQ179" s="218"/>
      <c r="AR179" s="220"/>
      <c r="AS179" s="220"/>
      <c r="AT179" s="220"/>
      <c r="AU179" s="220"/>
      <c r="AV179" s="220"/>
      <c r="AW179" s="220"/>
      <c r="AX179" s="220"/>
      <c r="AY179" s="220"/>
      <c r="AZ179" s="220"/>
    </row>
    <row r="180" ht="26.25" customHeight="1">
      <c r="A180" s="235"/>
      <c r="B180" s="236" t="s">
        <v>529</v>
      </c>
      <c r="C180" s="180">
        <v>28.0</v>
      </c>
      <c r="D180" s="189">
        <v>36.0</v>
      </c>
      <c r="E180" s="189">
        <v>36.0</v>
      </c>
      <c r="F180" s="231">
        <f>C194</f>
        <v>15986.25</v>
      </c>
      <c r="G180" s="189">
        <v>36.0</v>
      </c>
      <c r="H180" s="183">
        <f>C195</f>
        <v>39965.625</v>
      </c>
      <c r="I180" s="189">
        <v>36.0</v>
      </c>
      <c r="J180" s="193">
        <f>C196</f>
        <v>12789</v>
      </c>
      <c r="K180" s="189">
        <v>36.0</v>
      </c>
      <c r="L180" s="193">
        <f>C197</f>
        <v>6394.5</v>
      </c>
      <c r="M180" s="189">
        <v>36.0</v>
      </c>
      <c r="N180" s="193">
        <f>C198</f>
        <v>11190.375</v>
      </c>
      <c r="O180" s="189">
        <v>0.8</v>
      </c>
      <c r="P180" s="232">
        <f t="shared" si="17"/>
        <v>2486181.6</v>
      </c>
      <c r="Q180" s="232">
        <f t="shared" si="18"/>
        <v>69613084.8</v>
      </c>
      <c r="R180" s="218"/>
      <c r="S180" s="218"/>
      <c r="T180" s="218"/>
      <c r="U180" s="218"/>
      <c r="V180" s="218"/>
      <c r="W180" s="218"/>
      <c r="X180" s="218"/>
      <c r="Y180" s="218"/>
      <c r="Z180" s="218"/>
      <c r="AA180" s="218"/>
      <c r="AB180" s="218"/>
      <c r="AC180" s="218"/>
      <c r="AD180" s="218"/>
      <c r="AE180" s="218"/>
      <c r="AF180" s="218"/>
      <c r="AG180" s="218"/>
      <c r="AH180" s="218"/>
      <c r="AI180" s="218"/>
      <c r="AJ180" s="218"/>
      <c r="AK180" s="218"/>
      <c r="AL180" s="218"/>
      <c r="AM180" s="218"/>
      <c r="AN180" s="218"/>
      <c r="AO180" s="218"/>
      <c r="AP180" s="218"/>
      <c r="AQ180" s="218"/>
      <c r="AR180" s="220"/>
      <c r="AS180" s="220"/>
      <c r="AT180" s="220"/>
      <c r="AU180" s="220"/>
      <c r="AV180" s="220"/>
      <c r="AW180" s="220"/>
      <c r="AX180" s="220"/>
      <c r="AY180" s="220"/>
      <c r="AZ180" s="220"/>
    </row>
    <row r="181" ht="26.25" customHeight="1">
      <c r="A181" s="235"/>
      <c r="B181" s="236" t="s">
        <v>530</v>
      </c>
      <c r="C181" s="180">
        <v>31.0</v>
      </c>
      <c r="D181" s="189">
        <v>36.0</v>
      </c>
      <c r="E181" s="189">
        <v>36.0</v>
      </c>
      <c r="F181" s="231">
        <f>D194</f>
        <v>15986.25</v>
      </c>
      <c r="G181" s="189">
        <v>36.0</v>
      </c>
      <c r="H181" s="183">
        <f>D195</f>
        <v>39965.625</v>
      </c>
      <c r="I181" s="189">
        <v>36.0</v>
      </c>
      <c r="J181" s="190">
        <f>D196</f>
        <v>12789</v>
      </c>
      <c r="K181" s="189">
        <v>36.0</v>
      </c>
      <c r="L181" s="190">
        <f>D197</f>
        <v>6394.5</v>
      </c>
      <c r="M181" s="189">
        <v>36.0</v>
      </c>
      <c r="N181" s="190">
        <f>D198</f>
        <v>11190.375</v>
      </c>
      <c r="O181" s="189">
        <v>0.6</v>
      </c>
      <c r="P181" s="232">
        <f t="shared" si="17"/>
        <v>1864636.2</v>
      </c>
      <c r="Q181" s="232">
        <f t="shared" si="18"/>
        <v>57803722.2</v>
      </c>
      <c r="R181" s="218"/>
      <c r="S181" s="218"/>
      <c r="T181" s="218"/>
      <c r="U181" s="218"/>
      <c r="V181" s="218"/>
      <c r="W181" s="218"/>
      <c r="X181" s="218"/>
      <c r="Y181" s="218"/>
      <c r="Z181" s="218"/>
      <c r="AA181" s="218"/>
      <c r="AB181" s="218"/>
      <c r="AC181" s="218"/>
      <c r="AD181" s="218"/>
      <c r="AE181" s="218"/>
      <c r="AF181" s="218"/>
      <c r="AG181" s="218"/>
      <c r="AH181" s="218"/>
      <c r="AI181" s="218"/>
      <c r="AJ181" s="218"/>
      <c r="AK181" s="218"/>
      <c r="AL181" s="218"/>
      <c r="AM181" s="218"/>
      <c r="AN181" s="218"/>
      <c r="AO181" s="218"/>
      <c r="AP181" s="218"/>
      <c r="AQ181" s="218"/>
      <c r="AR181" s="220"/>
      <c r="AS181" s="220"/>
      <c r="AT181" s="220"/>
      <c r="AU181" s="220"/>
      <c r="AV181" s="220"/>
      <c r="AW181" s="220"/>
      <c r="AX181" s="220"/>
      <c r="AY181" s="220"/>
      <c r="AZ181" s="220"/>
    </row>
    <row r="182" ht="26.25" customHeight="1">
      <c r="A182" s="235"/>
      <c r="B182" s="236" t="s">
        <v>531</v>
      </c>
      <c r="C182" s="189">
        <v>30.0</v>
      </c>
      <c r="D182" s="189">
        <v>36.0</v>
      </c>
      <c r="E182" s="189">
        <v>36.0</v>
      </c>
      <c r="F182" s="231">
        <f>D194</f>
        <v>15986.25</v>
      </c>
      <c r="G182" s="189">
        <v>36.0</v>
      </c>
      <c r="H182" s="183">
        <f>D195</f>
        <v>39965.625</v>
      </c>
      <c r="I182" s="189">
        <v>36.0</v>
      </c>
      <c r="J182" s="190">
        <f>D196</f>
        <v>12789</v>
      </c>
      <c r="K182" s="189">
        <v>36.0</v>
      </c>
      <c r="L182" s="190">
        <f>D197</f>
        <v>6394.5</v>
      </c>
      <c r="M182" s="189">
        <v>36.0</v>
      </c>
      <c r="N182" s="190">
        <f>D198</f>
        <v>11190.375</v>
      </c>
      <c r="O182" s="189">
        <v>0.6</v>
      </c>
      <c r="P182" s="232">
        <f t="shared" si="17"/>
        <v>1864636.2</v>
      </c>
      <c r="Q182" s="232">
        <f t="shared" si="18"/>
        <v>55939086</v>
      </c>
      <c r="R182" s="218"/>
      <c r="S182" s="218"/>
      <c r="T182" s="218"/>
      <c r="U182" s="218"/>
      <c r="V182" s="218"/>
      <c r="W182" s="218"/>
      <c r="X182" s="218"/>
      <c r="Y182" s="218"/>
      <c r="Z182" s="218"/>
      <c r="AA182" s="218"/>
      <c r="AB182" s="218"/>
      <c r="AC182" s="218"/>
      <c r="AD182" s="218"/>
      <c r="AE182" s="218"/>
      <c r="AF182" s="218"/>
      <c r="AG182" s="218"/>
      <c r="AH182" s="218"/>
      <c r="AI182" s="218"/>
      <c r="AJ182" s="218"/>
      <c r="AK182" s="218"/>
      <c r="AL182" s="218"/>
      <c r="AM182" s="218"/>
      <c r="AN182" s="218"/>
      <c r="AO182" s="218"/>
      <c r="AP182" s="218"/>
      <c r="AQ182" s="218"/>
      <c r="AR182" s="220"/>
      <c r="AS182" s="220"/>
      <c r="AT182" s="220"/>
      <c r="AU182" s="220"/>
      <c r="AV182" s="220"/>
      <c r="AW182" s="220"/>
      <c r="AX182" s="220"/>
      <c r="AY182" s="220"/>
      <c r="AZ182" s="220"/>
    </row>
    <row r="183" ht="26.25" customHeight="1">
      <c r="A183" s="235"/>
      <c r="B183" s="236" t="s">
        <v>532</v>
      </c>
      <c r="C183" s="189">
        <v>31.0</v>
      </c>
      <c r="D183" s="189">
        <v>36.0</v>
      </c>
      <c r="E183" s="189">
        <v>36.0</v>
      </c>
      <c r="F183" s="231">
        <f>E194</f>
        <v>15986.25</v>
      </c>
      <c r="G183" s="189">
        <v>36.0</v>
      </c>
      <c r="H183" s="183">
        <f>E195</f>
        <v>39965.625</v>
      </c>
      <c r="I183" s="189">
        <v>36.0</v>
      </c>
      <c r="J183" s="190">
        <f>E196</f>
        <v>12789</v>
      </c>
      <c r="K183" s="189">
        <v>36.0</v>
      </c>
      <c r="L183" s="190">
        <f>E197</f>
        <v>6394.5</v>
      </c>
      <c r="M183" s="189">
        <v>36.0</v>
      </c>
      <c r="N183" s="190">
        <f>E198</f>
        <v>11190.375</v>
      </c>
      <c r="O183" s="189">
        <v>0.4</v>
      </c>
      <c r="P183" s="232">
        <f t="shared" si="17"/>
        <v>1243090.8</v>
      </c>
      <c r="Q183" s="232">
        <f t="shared" si="18"/>
        <v>38535814.8</v>
      </c>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218"/>
      <c r="AM183" s="218"/>
      <c r="AN183" s="218"/>
      <c r="AO183" s="218"/>
      <c r="AP183" s="218"/>
      <c r="AQ183" s="218"/>
      <c r="AR183" s="220"/>
      <c r="AS183" s="220"/>
      <c r="AT183" s="220"/>
      <c r="AU183" s="220"/>
      <c r="AV183" s="220"/>
      <c r="AW183" s="220"/>
      <c r="AX183" s="220"/>
      <c r="AY183" s="220"/>
      <c r="AZ183" s="220"/>
    </row>
    <row r="184" ht="26.25" customHeight="1">
      <c r="A184" s="235"/>
      <c r="B184" s="236" t="s">
        <v>533</v>
      </c>
      <c r="C184" s="189">
        <v>30.0</v>
      </c>
      <c r="D184" s="189">
        <v>36.0</v>
      </c>
      <c r="E184" s="189">
        <v>36.0</v>
      </c>
      <c r="F184" s="231">
        <f>E194</f>
        <v>15986.25</v>
      </c>
      <c r="G184" s="189">
        <v>36.0</v>
      </c>
      <c r="H184" s="183">
        <f>E195</f>
        <v>39965.625</v>
      </c>
      <c r="I184" s="189">
        <v>36.0</v>
      </c>
      <c r="J184" s="190">
        <f>D196</f>
        <v>12789</v>
      </c>
      <c r="K184" s="189">
        <v>36.0</v>
      </c>
      <c r="L184" s="190">
        <f>E197</f>
        <v>6394.5</v>
      </c>
      <c r="M184" s="189">
        <v>36.0</v>
      </c>
      <c r="N184" s="190">
        <f>E198</f>
        <v>11190.375</v>
      </c>
      <c r="O184" s="189">
        <v>0.4</v>
      </c>
      <c r="P184" s="232">
        <f t="shared" si="17"/>
        <v>1243090.8</v>
      </c>
      <c r="Q184" s="232">
        <f t="shared" si="18"/>
        <v>37292724</v>
      </c>
      <c r="R184" s="218"/>
      <c r="S184" s="218"/>
      <c r="T184" s="218"/>
      <c r="U184" s="218"/>
      <c r="V184" s="218"/>
      <c r="W184" s="218"/>
      <c r="X184" s="218"/>
      <c r="Y184" s="218"/>
      <c r="Z184" s="218"/>
      <c r="AA184" s="218"/>
      <c r="AB184" s="218"/>
      <c r="AC184" s="218"/>
      <c r="AD184" s="218"/>
      <c r="AE184" s="218"/>
      <c r="AF184" s="218"/>
      <c r="AG184" s="218"/>
      <c r="AH184" s="218"/>
      <c r="AI184" s="218"/>
      <c r="AJ184" s="218"/>
      <c r="AK184" s="218"/>
      <c r="AL184" s="218"/>
      <c r="AM184" s="218"/>
      <c r="AN184" s="218"/>
      <c r="AO184" s="218"/>
      <c r="AP184" s="218"/>
      <c r="AQ184" s="218"/>
      <c r="AR184" s="220"/>
      <c r="AS184" s="220"/>
      <c r="AT184" s="220"/>
      <c r="AU184" s="220"/>
      <c r="AV184" s="220"/>
      <c r="AW184" s="220"/>
      <c r="AX184" s="220"/>
      <c r="AY184" s="220"/>
      <c r="AZ184" s="220"/>
    </row>
    <row r="185" ht="26.25" customHeight="1">
      <c r="A185" s="235"/>
      <c r="B185" s="236" t="s">
        <v>534</v>
      </c>
      <c r="C185" s="189">
        <v>31.0</v>
      </c>
      <c r="D185" s="189">
        <v>36.0</v>
      </c>
      <c r="E185" s="189">
        <v>36.0</v>
      </c>
      <c r="F185" s="231">
        <f>C194</f>
        <v>15986.25</v>
      </c>
      <c r="G185" s="189">
        <v>36.0</v>
      </c>
      <c r="H185" s="183">
        <f>C195</f>
        <v>39965.625</v>
      </c>
      <c r="I185" s="189">
        <v>36.0</v>
      </c>
      <c r="J185" s="190">
        <f>C196</f>
        <v>12789</v>
      </c>
      <c r="K185" s="189">
        <v>36.0</v>
      </c>
      <c r="L185" s="190">
        <f>C197</f>
        <v>6394.5</v>
      </c>
      <c r="M185" s="189">
        <v>36.0</v>
      </c>
      <c r="N185" s="190">
        <f>C198</f>
        <v>11190.375</v>
      </c>
      <c r="O185" s="189">
        <v>0.8</v>
      </c>
      <c r="P185" s="232">
        <f t="shared" si="17"/>
        <v>2486181.6</v>
      </c>
      <c r="Q185" s="232">
        <f t="shared" si="18"/>
        <v>77071629.6</v>
      </c>
      <c r="R185" s="218"/>
      <c r="S185" s="218"/>
      <c r="T185" s="218"/>
      <c r="U185" s="218"/>
      <c r="V185" s="218"/>
      <c r="W185" s="218"/>
      <c r="X185" s="218"/>
      <c r="Y185" s="218"/>
      <c r="Z185" s="218"/>
      <c r="AA185" s="218"/>
      <c r="AB185" s="218"/>
      <c r="AC185" s="218"/>
      <c r="AD185" s="218"/>
      <c r="AE185" s="218"/>
      <c r="AF185" s="218"/>
      <c r="AG185" s="218"/>
      <c r="AH185" s="218"/>
      <c r="AI185" s="218"/>
      <c r="AJ185" s="218"/>
      <c r="AK185" s="218"/>
      <c r="AL185" s="218"/>
      <c r="AM185" s="218"/>
      <c r="AN185" s="218"/>
      <c r="AO185" s="218"/>
      <c r="AP185" s="218"/>
      <c r="AQ185" s="218"/>
      <c r="AR185" s="220"/>
      <c r="AS185" s="220"/>
      <c r="AT185" s="220"/>
      <c r="AU185" s="220"/>
      <c r="AV185" s="220"/>
      <c r="AW185" s="220"/>
      <c r="AX185" s="220"/>
      <c r="AY185" s="220"/>
      <c r="AZ185" s="220"/>
    </row>
    <row r="186" ht="26.25" customHeight="1">
      <c r="A186" s="235"/>
      <c r="B186" s="236" t="s">
        <v>535</v>
      </c>
      <c r="C186" s="189">
        <v>31.0</v>
      </c>
      <c r="D186" s="189">
        <v>36.0</v>
      </c>
      <c r="E186" s="189">
        <v>36.0</v>
      </c>
      <c r="F186" s="231">
        <f>C194</f>
        <v>15986.25</v>
      </c>
      <c r="G186" s="189">
        <v>36.0</v>
      </c>
      <c r="H186" s="183">
        <f>C195</f>
        <v>39965.625</v>
      </c>
      <c r="I186" s="189">
        <v>36.0</v>
      </c>
      <c r="J186" s="190">
        <f>C196</f>
        <v>12789</v>
      </c>
      <c r="K186" s="189">
        <v>36.0</v>
      </c>
      <c r="L186" s="190">
        <f>C197</f>
        <v>6394.5</v>
      </c>
      <c r="M186" s="189">
        <v>36.0</v>
      </c>
      <c r="N186" s="190">
        <f>E198</f>
        <v>11190.375</v>
      </c>
      <c r="O186" s="189">
        <v>0.9</v>
      </c>
      <c r="P186" s="232">
        <f t="shared" si="17"/>
        <v>2796954.3</v>
      </c>
      <c r="Q186" s="232">
        <f t="shared" si="18"/>
        <v>86705583.3</v>
      </c>
      <c r="R186" s="218"/>
      <c r="S186" s="218"/>
      <c r="T186" s="218"/>
      <c r="U186" s="218"/>
      <c r="V186" s="218"/>
      <c r="W186" s="218"/>
      <c r="X186" s="218"/>
      <c r="Y186" s="218"/>
      <c r="Z186" s="218"/>
      <c r="AA186" s="218"/>
      <c r="AB186" s="218"/>
      <c r="AC186" s="218"/>
      <c r="AD186" s="218"/>
      <c r="AE186" s="218"/>
      <c r="AF186" s="218"/>
      <c r="AG186" s="218"/>
      <c r="AH186" s="218"/>
      <c r="AI186" s="218"/>
      <c r="AJ186" s="218"/>
      <c r="AK186" s="218"/>
      <c r="AL186" s="218"/>
      <c r="AM186" s="218"/>
      <c r="AN186" s="218"/>
      <c r="AO186" s="218"/>
      <c r="AP186" s="218"/>
      <c r="AQ186" s="218"/>
      <c r="AR186" s="220"/>
      <c r="AS186" s="220"/>
      <c r="AT186" s="220"/>
      <c r="AU186" s="220"/>
      <c r="AV186" s="220"/>
      <c r="AW186" s="220"/>
      <c r="AX186" s="220"/>
      <c r="AY186" s="220"/>
      <c r="AZ186" s="220"/>
    </row>
    <row r="187" ht="26.25" customHeight="1">
      <c r="A187" s="235"/>
      <c r="B187" s="236" t="s">
        <v>536</v>
      </c>
      <c r="C187" s="189">
        <v>30.0</v>
      </c>
      <c r="D187" s="189">
        <v>36.0</v>
      </c>
      <c r="E187" s="189">
        <v>36.0</v>
      </c>
      <c r="F187" s="231">
        <f>E194</f>
        <v>15986.25</v>
      </c>
      <c r="G187" s="189">
        <v>36.0</v>
      </c>
      <c r="H187" s="183">
        <f>E195</f>
        <v>39965.625</v>
      </c>
      <c r="I187" s="189">
        <v>36.0</v>
      </c>
      <c r="J187" s="190">
        <f>E196</f>
        <v>12789</v>
      </c>
      <c r="K187" s="189">
        <v>36.0</v>
      </c>
      <c r="L187" s="190">
        <f>E197</f>
        <v>6394.5</v>
      </c>
      <c r="M187" s="189">
        <v>36.0</v>
      </c>
      <c r="N187" s="190">
        <f>E198</f>
        <v>11190.375</v>
      </c>
      <c r="O187" s="189">
        <v>0.4</v>
      </c>
      <c r="P187" s="232">
        <f t="shared" si="17"/>
        <v>1243090.8</v>
      </c>
      <c r="Q187" s="232">
        <f t="shared" si="18"/>
        <v>37292724</v>
      </c>
      <c r="R187" s="218"/>
      <c r="S187" s="218"/>
      <c r="T187" s="218"/>
      <c r="U187" s="218"/>
      <c r="V187" s="218"/>
      <c r="W187" s="218"/>
      <c r="X187" s="218"/>
      <c r="Y187" s="218"/>
      <c r="Z187" s="218"/>
      <c r="AA187" s="218"/>
      <c r="AB187" s="218"/>
      <c r="AC187" s="218"/>
      <c r="AD187" s="218"/>
      <c r="AE187" s="218"/>
      <c r="AF187" s="218"/>
      <c r="AG187" s="218"/>
      <c r="AH187" s="218"/>
      <c r="AI187" s="218"/>
      <c r="AJ187" s="218"/>
      <c r="AK187" s="218"/>
      <c r="AL187" s="218"/>
      <c r="AM187" s="218"/>
      <c r="AN187" s="218"/>
      <c r="AO187" s="218"/>
      <c r="AP187" s="218"/>
      <c r="AQ187" s="218"/>
      <c r="AR187" s="220"/>
      <c r="AS187" s="220"/>
      <c r="AT187" s="220"/>
      <c r="AU187" s="220"/>
      <c r="AV187" s="220"/>
      <c r="AW187" s="220"/>
      <c r="AX187" s="220"/>
      <c r="AY187" s="220"/>
      <c r="AZ187" s="220"/>
    </row>
    <row r="188" ht="26.25" customHeight="1">
      <c r="A188" s="235"/>
      <c r="B188" s="236" t="s">
        <v>537</v>
      </c>
      <c r="C188" s="189">
        <v>31.0</v>
      </c>
      <c r="D188" s="189">
        <v>36.0</v>
      </c>
      <c r="E188" s="189">
        <v>36.0</v>
      </c>
      <c r="F188" s="231">
        <f>D194</f>
        <v>15986.25</v>
      </c>
      <c r="G188" s="189">
        <v>36.0</v>
      </c>
      <c r="H188" s="183">
        <f>D195</f>
        <v>39965.625</v>
      </c>
      <c r="I188" s="189">
        <v>36.0</v>
      </c>
      <c r="J188" s="190">
        <f>D196</f>
        <v>12789</v>
      </c>
      <c r="K188" s="189">
        <v>36.0</v>
      </c>
      <c r="L188" s="190">
        <f>D197</f>
        <v>6394.5</v>
      </c>
      <c r="M188" s="189">
        <v>36.0</v>
      </c>
      <c r="N188" s="190">
        <f>D198</f>
        <v>11190.375</v>
      </c>
      <c r="O188" s="189">
        <v>0.5</v>
      </c>
      <c r="P188" s="232">
        <f t="shared" si="17"/>
        <v>1553863.5</v>
      </c>
      <c r="Q188" s="232">
        <f t="shared" si="18"/>
        <v>48169768.5</v>
      </c>
      <c r="R188" s="218"/>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8"/>
      <c r="AP188" s="218"/>
      <c r="AQ188" s="218"/>
      <c r="AR188" s="220"/>
      <c r="AS188" s="220"/>
      <c r="AT188" s="220"/>
      <c r="AU188" s="220"/>
      <c r="AV188" s="220"/>
      <c r="AW188" s="220"/>
      <c r="AX188" s="220"/>
      <c r="AY188" s="220"/>
      <c r="AZ188" s="220"/>
    </row>
    <row r="189" ht="26.25" customHeight="1">
      <c r="A189" s="235"/>
      <c r="B189" s="236" t="s">
        <v>538</v>
      </c>
      <c r="C189" s="189">
        <v>30.0</v>
      </c>
      <c r="D189" s="189">
        <v>36.0</v>
      </c>
      <c r="E189" s="189">
        <v>36.0</v>
      </c>
      <c r="F189" s="231">
        <f>D194</f>
        <v>15986.25</v>
      </c>
      <c r="G189" s="189">
        <v>36.0</v>
      </c>
      <c r="H189" s="183">
        <f>D195</f>
        <v>39965.625</v>
      </c>
      <c r="I189" s="189">
        <v>36.0</v>
      </c>
      <c r="J189" s="190">
        <f>D196</f>
        <v>12789</v>
      </c>
      <c r="K189" s="189">
        <v>36.0</v>
      </c>
      <c r="L189" s="190">
        <f>D197</f>
        <v>6394.5</v>
      </c>
      <c r="M189" s="189">
        <v>36.0</v>
      </c>
      <c r="N189" s="190">
        <f>D198</f>
        <v>11190.375</v>
      </c>
      <c r="O189" s="189">
        <v>0.5</v>
      </c>
      <c r="P189" s="232">
        <f t="shared" si="17"/>
        <v>1553863.5</v>
      </c>
      <c r="Q189" s="232">
        <f t="shared" si="18"/>
        <v>46615905</v>
      </c>
      <c r="R189" s="218"/>
      <c r="S189" s="218"/>
      <c r="T189" s="218"/>
      <c r="U189" s="218"/>
      <c r="V189" s="218"/>
      <c r="W189" s="218"/>
      <c r="X189" s="218"/>
      <c r="Y189" s="218"/>
      <c r="Z189" s="218"/>
      <c r="AA189" s="218"/>
      <c r="AB189" s="218"/>
      <c r="AC189" s="218"/>
      <c r="AD189" s="218"/>
      <c r="AE189" s="218"/>
      <c r="AF189" s="218"/>
      <c r="AG189" s="218"/>
      <c r="AH189" s="218"/>
      <c r="AI189" s="218"/>
      <c r="AJ189" s="218"/>
      <c r="AK189" s="218"/>
      <c r="AL189" s="218"/>
      <c r="AM189" s="218"/>
      <c r="AN189" s="218"/>
      <c r="AO189" s="218"/>
      <c r="AP189" s="218"/>
      <c r="AQ189" s="218"/>
      <c r="AR189" s="220"/>
      <c r="AS189" s="220"/>
      <c r="AT189" s="220"/>
      <c r="AU189" s="220"/>
      <c r="AV189" s="220"/>
      <c r="AW189" s="220"/>
      <c r="AX189" s="220"/>
      <c r="AY189" s="220"/>
      <c r="AZ189" s="220"/>
    </row>
    <row r="190" ht="26.25" customHeight="1">
      <c r="A190" s="235"/>
      <c r="B190" s="236" t="s">
        <v>539</v>
      </c>
      <c r="C190" s="189">
        <v>31.0</v>
      </c>
      <c r="D190" s="189">
        <v>36.0</v>
      </c>
      <c r="E190" s="189">
        <v>36.0</v>
      </c>
      <c r="F190" s="231">
        <f>D194</f>
        <v>15986.25</v>
      </c>
      <c r="G190" s="189">
        <v>36.0</v>
      </c>
      <c r="H190" s="183">
        <f>D195</f>
        <v>39965.625</v>
      </c>
      <c r="I190" s="189">
        <v>36.0</v>
      </c>
      <c r="J190" s="190">
        <f>D196</f>
        <v>12789</v>
      </c>
      <c r="K190" s="189">
        <v>36.0</v>
      </c>
      <c r="L190" s="190">
        <f>D197</f>
        <v>6394.5</v>
      </c>
      <c r="M190" s="189">
        <v>36.0</v>
      </c>
      <c r="N190" s="190">
        <f>D198</f>
        <v>11190.375</v>
      </c>
      <c r="O190" s="189">
        <v>0.6</v>
      </c>
      <c r="P190" s="232">
        <f t="shared" si="17"/>
        <v>1864636.2</v>
      </c>
      <c r="Q190" s="232">
        <f t="shared" si="18"/>
        <v>57803722.2</v>
      </c>
      <c r="R190" s="218"/>
      <c r="S190" s="218"/>
      <c r="T190" s="218"/>
      <c r="U190" s="218"/>
      <c r="V190" s="218"/>
      <c r="W190" s="218"/>
      <c r="X190" s="218"/>
      <c r="Y190" s="218"/>
      <c r="Z190" s="218"/>
      <c r="AA190" s="218"/>
      <c r="AB190" s="218"/>
      <c r="AC190" s="218"/>
      <c r="AD190" s="218"/>
      <c r="AE190" s="218"/>
      <c r="AF190" s="218"/>
      <c r="AG190" s="218"/>
      <c r="AH190" s="218"/>
      <c r="AI190" s="218"/>
      <c r="AJ190" s="218"/>
      <c r="AK190" s="218"/>
      <c r="AL190" s="218"/>
      <c r="AM190" s="218"/>
      <c r="AN190" s="218"/>
      <c r="AO190" s="218"/>
      <c r="AP190" s="218"/>
      <c r="AQ190" s="218"/>
      <c r="AR190" s="220"/>
      <c r="AS190" s="220"/>
      <c r="AT190" s="220"/>
      <c r="AU190" s="220"/>
      <c r="AV190" s="220"/>
      <c r="AW190" s="220"/>
      <c r="AX190" s="220"/>
      <c r="AY190" s="220"/>
      <c r="AZ190" s="220"/>
    </row>
    <row r="191" ht="26.25" customHeight="1">
      <c r="A191" s="219"/>
      <c r="B191" s="218"/>
      <c r="C191" s="218"/>
      <c r="D191" s="218"/>
      <c r="E191" s="218"/>
      <c r="F191" s="218"/>
      <c r="G191" s="218"/>
      <c r="H191" s="218"/>
      <c r="I191" s="218"/>
      <c r="J191" s="218"/>
      <c r="K191" s="218"/>
      <c r="L191" s="218"/>
      <c r="M191" s="218"/>
      <c r="N191" s="218"/>
      <c r="O191" s="218"/>
      <c r="P191" s="240"/>
      <c r="Q191" s="218"/>
      <c r="R191" s="218"/>
      <c r="S191" s="218"/>
      <c r="T191" s="218"/>
      <c r="U191" s="218"/>
      <c r="V191" s="218"/>
      <c r="W191" s="218"/>
      <c r="X191" s="218"/>
      <c r="Y191" s="218"/>
      <c r="Z191" s="218"/>
      <c r="AA191" s="218"/>
      <c r="AB191" s="218"/>
      <c r="AC191" s="218"/>
      <c r="AD191" s="218"/>
      <c r="AE191" s="218"/>
      <c r="AF191" s="218"/>
      <c r="AG191" s="218"/>
      <c r="AH191" s="218"/>
      <c r="AI191" s="218"/>
      <c r="AJ191" s="218"/>
      <c r="AK191" s="218"/>
      <c r="AL191" s="218"/>
      <c r="AM191" s="218"/>
      <c r="AN191" s="218"/>
      <c r="AO191" s="218"/>
      <c r="AP191" s="218"/>
      <c r="AQ191" s="218"/>
      <c r="AR191" s="220"/>
      <c r="AS191" s="220"/>
      <c r="AT191" s="220"/>
      <c r="AU191" s="220"/>
      <c r="AV191" s="220"/>
      <c r="AW191" s="220"/>
      <c r="AX191" s="220"/>
      <c r="AY191" s="220"/>
      <c r="AZ191" s="220"/>
    </row>
    <row r="192" ht="26.25" customHeight="1">
      <c r="A192" s="243"/>
      <c r="B192" s="244" t="s">
        <v>540</v>
      </c>
      <c r="C192" s="260" t="s">
        <v>592</v>
      </c>
      <c r="D192" s="47"/>
      <c r="E192" s="12"/>
      <c r="F192" s="218"/>
      <c r="G192" s="218"/>
      <c r="H192" s="218"/>
      <c r="I192" s="218"/>
      <c r="J192" s="218"/>
      <c r="K192" s="218"/>
      <c r="L192" s="218"/>
      <c r="M192" s="218"/>
      <c r="N192" s="218"/>
      <c r="O192" s="218"/>
      <c r="P192" s="218"/>
      <c r="Q192" s="218"/>
      <c r="R192" s="218"/>
      <c r="S192" s="218"/>
      <c r="T192" s="218"/>
      <c r="U192" s="218"/>
      <c r="V192" s="218"/>
      <c r="W192" s="218"/>
      <c r="X192" s="218"/>
      <c r="Y192" s="218"/>
      <c r="Z192" s="218"/>
      <c r="AA192" s="218"/>
      <c r="AB192" s="218"/>
      <c r="AC192" s="218"/>
      <c r="AD192" s="218"/>
      <c r="AE192" s="218"/>
      <c r="AF192" s="218"/>
      <c r="AG192" s="218"/>
      <c r="AH192" s="218"/>
      <c r="AI192" s="218"/>
      <c r="AJ192" s="218"/>
      <c r="AK192" s="218"/>
      <c r="AL192" s="218"/>
      <c r="AM192" s="218"/>
      <c r="AN192" s="218"/>
      <c r="AO192" s="218"/>
      <c r="AP192" s="218"/>
      <c r="AQ192" s="218"/>
      <c r="AR192" s="220"/>
      <c r="AS192" s="220"/>
      <c r="AT192" s="220"/>
      <c r="AU192" s="220"/>
      <c r="AV192" s="220"/>
      <c r="AW192" s="220"/>
      <c r="AX192" s="220"/>
      <c r="AY192" s="220"/>
      <c r="AZ192" s="220"/>
    </row>
    <row r="193" ht="26.25" customHeight="1">
      <c r="A193" s="243"/>
      <c r="B193" s="33"/>
      <c r="C193" s="246" t="s">
        <v>542</v>
      </c>
      <c r="D193" s="247" t="s">
        <v>543</v>
      </c>
      <c r="E193" s="246" t="s">
        <v>544</v>
      </c>
      <c r="F193" s="218"/>
      <c r="G193" s="218"/>
      <c r="H193" s="218"/>
      <c r="I193" s="218"/>
      <c r="J193" s="218"/>
      <c r="K193" s="218"/>
      <c r="L193" s="218"/>
      <c r="M193" s="218"/>
      <c r="N193" s="218"/>
      <c r="O193" s="218"/>
      <c r="P193" s="218"/>
      <c r="Q193" s="218"/>
      <c r="R193" s="218"/>
      <c r="S193" s="218"/>
      <c r="T193" s="218"/>
      <c r="U193" s="218"/>
      <c r="V193" s="218"/>
      <c r="W193" s="218"/>
      <c r="X193" s="218"/>
      <c r="Y193" s="218"/>
      <c r="Z193" s="218"/>
      <c r="AA193" s="218"/>
      <c r="AB193" s="218"/>
      <c r="AC193" s="218"/>
      <c r="AD193" s="218"/>
      <c r="AE193" s="218"/>
      <c r="AF193" s="218"/>
      <c r="AG193" s="218"/>
      <c r="AH193" s="218"/>
      <c r="AI193" s="218"/>
      <c r="AJ193" s="218"/>
      <c r="AK193" s="218"/>
      <c r="AL193" s="218"/>
      <c r="AM193" s="218"/>
      <c r="AN193" s="218"/>
      <c r="AO193" s="218"/>
      <c r="AP193" s="218"/>
      <c r="AQ193" s="218"/>
      <c r="AR193" s="220"/>
      <c r="AS193" s="220"/>
      <c r="AT193" s="220"/>
      <c r="AU193" s="220"/>
      <c r="AV193" s="220"/>
      <c r="AW193" s="220"/>
      <c r="AX193" s="220"/>
      <c r="AY193" s="220"/>
      <c r="AZ193" s="220"/>
    </row>
    <row r="194" ht="26.25" customHeight="1">
      <c r="A194" s="261"/>
      <c r="B194" s="262" t="s">
        <v>581</v>
      </c>
      <c r="C194" s="231">
        <f>C170*G198</f>
        <v>15986.25</v>
      </c>
      <c r="D194" s="231">
        <f>D170*G198</f>
        <v>15986.25</v>
      </c>
      <c r="E194" s="231">
        <f>E170*G198</f>
        <v>15986.25</v>
      </c>
      <c r="F194" s="218"/>
      <c r="G194" s="218"/>
      <c r="H194" s="218"/>
      <c r="I194" s="218"/>
      <c r="J194" s="218"/>
      <c r="K194" s="218"/>
      <c r="L194" s="218"/>
      <c r="M194" s="218"/>
      <c r="N194" s="218"/>
      <c r="O194" s="218"/>
      <c r="P194" s="218"/>
      <c r="Q194" s="218"/>
      <c r="R194" s="218"/>
      <c r="S194" s="218"/>
      <c r="T194" s="218"/>
      <c r="U194" s="218"/>
      <c r="V194" s="218"/>
      <c r="W194" s="218"/>
      <c r="X194" s="218"/>
      <c r="Y194" s="218"/>
      <c r="Z194" s="218"/>
      <c r="AA194" s="218"/>
      <c r="AB194" s="218"/>
      <c r="AC194" s="218"/>
      <c r="AD194" s="218"/>
      <c r="AE194" s="218"/>
      <c r="AF194" s="218"/>
      <c r="AG194" s="218"/>
      <c r="AH194" s="218"/>
      <c r="AI194" s="218"/>
      <c r="AJ194" s="218"/>
      <c r="AK194" s="218"/>
      <c r="AL194" s="218"/>
      <c r="AM194" s="218"/>
      <c r="AN194" s="218"/>
      <c r="AO194" s="218"/>
      <c r="AP194" s="218"/>
      <c r="AQ194" s="218"/>
      <c r="AR194" s="220"/>
      <c r="AS194" s="220"/>
      <c r="AT194" s="220"/>
      <c r="AU194" s="220"/>
      <c r="AV194" s="220"/>
      <c r="AW194" s="220"/>
      <c r="AX194" s="220"/>
      <c r="AY194" s="220"/>
      <c r="AZ194" s="220"/>
    </row>
    <row r="195" ht="26.25" customHeight="1">
      <c r="A195" s="261"/>
      <c r="B195" s="262" t="s">
        <v>582</v>
      </c>
      <c r="C195" s="262">
        <f>C171*G198</f>
        <v>39965.625</v>
      </c>
      <c r="D195" s="262">
        <f>D171*G198</f>
        <v>39965.625</v>
      </c>
      <c r="E195" s="262">
        <f>E171*G198</f>
        <v>39965.625</v>
      </c>
      <c r="F195" s="218"/>
      <c r="G195" s="218"/>
      <c r="H195" s="218"/>
      <c r="I195" s="218"/>
      <c r="J195" s="218"/>
      <c r="K195" s="218"/>
      <c r="L195" s="218"/>
      <c r="M195" s="218"/>
      <c r="N195" s="218"/>
      <c r="O195" s="218"/>
      <c r="P195" s="218"/>
      <c r="Q195" s="218"/>
      <c r="R195" s="218"/>
      <c r="S195" s="218"/>
      <c r="T195" s="218"/>
      <c r="U195" s="218"/>
      <c r="V195" s="218"/>
      <c r="W195" s="218"/>
      <c r="X195" s="218"/>
      <c r="Y195" s="218"/>
      <c r="Z195" s="218"/>
      <c r="AA195" s="218"/>
      <c r="AB195" s="218"/>
      <c r="AC195" s="218"/>
      <c r="AD195" s="218"/>
      <c r="AE195" s="218"/>
      <c r="AF195" s="218"/>
      <c r="AG195" s="218"/>
      <c r="AH195" s="218"/>
      <c r="AI195" s="218"/>
      <c r="AJ195" s="218"/>
      <c r="AK195" s="218"/>
      <c r="AL195" s="218"/>
      <c r="AM195" s="218"/>
      <c r="AN195" s="218"/>
      <c r="AO195" s="218"/>
      <c r="AP195" s="218"/>
      <c r="AQ195" s="218"/>
      <c r="AR195" s="220"/>
      <c r="AS195" s="220"/>
      <c r="AT195" s="220"/>
      <c r="AU195" s="220"/>
      <c r="AV195" s="220"/>
      <c r="AW195" s="220"/>
      <c r="AX195" s="220"/>
      <c r="AY195" s="220"/>
      <c r="AZ195" s="220"/>
    </row>
    <row r="196" ht="26.25" customHeight="1">
      <c r="A196" s="261"/>
      <c r="B196" s="262" t="s">
        <v>583</v>
      </c>
      <c r="C196" s="262">
        <f>C172*G198</f>
        <v>12789</v>
      </c>
      <c r="D196" s="262">
        <f>D172*G198</f>
        <v>12789</v>
      </c>
      <c r="E196" s="262">
        <f>E172*G198</f>
        <v>12789</v>
      </c>
      <c r="F196" s="218"/>
      <c r="G196" s="218"/>
      <c r="H196" s="218"/>
      <c r="I196" s="218"/>
      <c r="J196" s="218"/>
      <c r="K196" s="218"/>
      <c r="L196" s="218"/>
      <c r="M196" s="218"/>
      <c r="N196" s="218"/>
      <c r="O196" s="218"/>
      <c r="P196" s="218"/>
      <c r="Q196" s="218"/>
      <c r="R196" s="218"/>
      <c r="S196" s="218"/>
      <c r="T196" s="218"/>
      <c r="U196" s="218"/>
      <c r="V196" s="218"/>
      <c r="W196" s="218"/>
      <c r="X196" s="218"/>
      <c r="Y196" s="218"/>
      <c r="Z196" s="218"/>
      <c r="AA196" s="218"/>
      <c r="AB196" s="218"/>
      <c r="AC196" s="218"/>
      <c r="AD196" s="218"/>
      <c r="AE196" s="218"/>
      <c r="AF196" s="218"/>
      <c r="AG196" s="218"/>
      <c r="AH196" s="218"/>
      <c r="AI196" s="218"/>
      <c r="AJ196" s="218"/>
      <c r="AK196" s="218"/>
      <c r="AL196" s="218"/>
      <c r="AM196" s="218"/>
      <c r="AN196" s="218"/>
      <c r="AO196" s="218"/>
      <c r="AP196" s="218"/>
      <c r="AQ196" s="218"/>
      <c r="AR196" s="220"/>
      <c r="AS196" s="220"/>
      <c r="AT196" s="220"/>
      <c r="AU196" s="220"/>
      <c r="AV196" s="220"/>
      <c r="AW196" s="220"/>
      <c r="AX196" s="220"/>
      <c r="AY196" s="220"/>
      <c r="AZ196" s="220"/>
    </row>
    <row r="197" ht="26.25" customHeight="1">
      <c r="A197" s="261"/>
      <c r="B197" s="262" t="s">
        <v>584</v>
      </c>
      <c r="C197" s="262">
        <f>C173*G198</f>
        <v>6394.5</v>
      </c>
      <c r="D197" s="262">
        <f>D173*G198</f>
        <v>6394.5</v>
      </c>
      <c r="E197" s="262">
        <f>E173*G198</f>
        <v>6394.5</v>
      </c>
      <c r="F197" s="218"/>
      <c r="G197" s="218"/>
      <c r="H197" s="218"/>
      <c r="I197" s="218"/>
      <c r="J197" s="218"/>
      <c r="K197" s="218"/>
      <c r="L197" s="218"/>
      <c r="M197" s="218"/>
      <c r="N197" s="218"/>
      <c r="O197" s="218"/>
      <c r="P197" s="218"/>
      <c r="Q197" s="218"/>
      <c r="R197" s="218"/>
      <c r="S197" s="218"/>
      <c r="T197" s="218"/>
      <c r="U197" s="218"/>
      <c r="V197" s="218"/>
      <c r="W197" s="218"/>
      <c r="X197" s="218"/>
      <c r="Y197" s="218"/>
      <c r="Z197" s="218"/>
      <c r="AA197" s="218"/>
      <c r="AB197" s="218"/>
      <c r="AC197" s="218"/>
      <c r="AD197" s="218"/>
      <c r="AE197" s="218"/>
      <c r="AF197" s="218"/>
      <c r="AG197" s="218"/>
      <c r="AH197" s="218"/>
      <c r="AI197" s="218"/>
      <c r="AJ197" s="218"/>
      <c r="AK197" s="218"/>
      <c r="AL197" s="218"/>
      <c r="AM197" s="218"/>
      <c r="AN197" s="218"/>
      <c r="AO197" s="218"/>
      <c r="AP197" s="218"/>
      <c r="AQ197" s="218"/>
      <c r="AR197" s="220"/>
      <c r="AS197" s="220"/>
      <c r="AT197" s="220"/>
      <c r="AU197" s="220"/>
      <c r="AV197" s="220"/>
      <c r="AW197" s="220"/>
      <c r="AX197" s="220"/>
      <c r="AY197" s="220"/>
      <c r="AZ197" s="220"/>
    </row>
    <row r="198" ht="26.25" customHeight="1">
      <c r="A198" s="261"/>
      <c r="B198" s="262" t="s">
        <v>585</v>
      </c>
      <c r="C198" s="262">
        <f>C174*G198</f>
        <v>11190.375</v>
      </c>
      <c r="D198" s="262">
        <f>D174*G198</f>
        <v>11190.375</v>
      </c>
      <c r="E198" s="262">
        <f>E174*G198</f>
        <v>11190.375</v>
      </c>
      <c r="F198" s="252" t="s">
        <v>550</v>
      </c>
      <c r="G198" s="253">
        <v>1.05</v>
      </c>
      <c r="H198" s="218"/>
      <c r="I198" s="218"/>
      <c r="J198" s="218"/>
      <c r="K198" s="218"/>
      <c r="L198" s="218"/>
      <c r="M198" s="218"/>
      <c r="N198" s="218"/>
      <c r="O198" s="218"/>
      <c r="P198" s="218"/>
      <c r="Q198" s="218"/>
      <c r="R198" s="218"/>
      <c r="S198" s="218"/>
      <c r="T198" s="218"/>
      <c r="U198" s="218"/>
      <c r="V198" s="218"/>
      <c r="W198" s="218"/>
      <c r="X198" s="218"/>
      <c r="Y198" s="218"/>
      <c r="Z198" s="218"/>
      <c r="AA198" s="218"/>
      <c r="AB198" s="218"/>
      <c r="AC198" s="218"/>
      <c r="AD198" s="218"/>
      <c r="AE198" s="218"/>
      <c r="AF198" s="218"/>
      <c r="AG198" s="218"/>
      <c r="AH198" s="218"/>
      <c r="AI198" s="218"/>
      <c r="AJ198" s="218"/>
      <c r="AK198" s="218"/>
      <c r="AL198" s="218"/>
      <c r="AM198" s="218"/>
      <c r="AN198" s="218"/>
      <c r="AO198" s="218"/>
      <c r="AP198" s="218"/>
      <c r="AQ198" s="218"/>
      <c r="AR198" s="220"/>
      <c r="AS198" s="220"/>
      <c r="AT198" s="220"/>
      <c r="AU198" s="220"/>
      <c r="AV198" s="220"/>
      <c r="AW198" s="220"/>
      <c r="AX198" s="220"/>
      <c r="AY198" s="220"/>
      <c r="AZ198" s="220"/>
    </row>
    <row r="199" ht="26.25" customHeight="1">
      <c r="A199" s="219"/>
      <c r="B199" s="218"/>
      <c r="C199" s="218"/>
      <c r="D199" s="218"/>
      <c r="E199" s="218"/>
      <c r="F199" s="218"/>
      <c r="G199" s="218"/>
      <c r="H199" s="218"/>
      <c r="I199" s="218"/>
      <c r="J199" s="218"/>
      <c r="K199" s="218"/>
      <c r="L199" s="218"/>
      <c r="M199" s="218"/>
      <c r="N199" s="218"/>
      <c r="O199" s="218"/>
      <c r="P199" s="218"/>
      <c r="Q199" s="218"/>
      <c r="R199" s="218"/>
      <c r="S199" s="218"/>
      <c r="T199" s="218"/>
      <c r="U199" s="218"/>
      <c r="V199" s="218"/>
      <c r="W199" s="218"/>
      <c r="X199" s="218"/>
      <c r="Y199" s="218"/>
      <c r="Z199" s="218"/>
      <c r="AA199" s="218"/>
      <c r="AB199" s="218"/>
      <c r="AC199" s="218"/>
      <c r="AD199" s="218"/>
      <c r="AE199" s="218"/>
      <c r="AF199" s="218"/>
      <c r="AG199" s="218"/>
      <c r="AH199" s="218"/>
      <c r="AI199" s="218"/>
      <c r="AJ199" s="218"/>
      <c r="AK199" s="218"/>
      <c r="AL199" s="218"/>
      <c r="AM199" s="218"/>
      <c r="AN199" s="218"/>
      <c r="AO199" s="218"/>
      <c r="AP199" s="218"/>
      <c r="AQ199" s="218"/>
      <c r="AR199" s="220"/>
      <c r="AS199" s="220"/>
      <c r="AT199" s="220"/>
      <c r="AU199" s="220"/>
      <c r="AV199" s="220"/>
      <c r="AW199" s="220"/>
      <c r="AX199" s="220"/>
      <c r="AY199" s="220"/>
      <c r="AZ199" s="220"/>
    </row>
    <row r="200" ht="26.25" customHeight="1">
      <c r="A200" s="219"/>
      <c r="B200" s="268" t="s">
        <v>593</v>
      </c>
      <c r="C200" s="47"/>
      <c r="D200" s="47"/>
      <c r="E200" s="47"/>
      <c r="F200" s="47"/>
      <c r="G200" s="47"/>
      <c r="H200" s="47"/>
      <c r="I200" s="218"/>
      <c r="J200" s="218"/>
      <c r="K200" s="218"/>
      <c r="L200" s="218"/>
      <c r="M200" s="218"/>
      <c r="N200" s="218"/>
      <c r="O200" s="218"/>
      <c r="P200" s="218"/>
      <c r="Q200" s="218"/>
      <c r="R200" s="218"/>
      <c r="S200" s="218"/>
      <c r="T200" s="218"/>
      <c r="U200" s="218"/>
      <c r="V200" s="218"/>
      <c r="W200" s="218"/>
      <c r="X200" s="218"/>
      <c r="Y200" s="218"/>
      <c r="Z200" s="218"/>
      <c r="AA200" s="218"/>
      <c r="AB200" s="218"/>
      <c r="AC200" s="218"/>
      <c r="AD200" s="218"/>
      <c r="AE200" s="218"/>
      <c r="AF200" s="218"/>
      <c r="AG200" s="218"/>
      <c r="AH200" s="218"/>
      <c r="AI200" s="218"/>
      <c r="AJ200" s="218"/>
      <c r="AK200" s="218"/>
      <c r="AL200" s="218"/>
      <c r="AM200" s="218"/>
      <c r="AN200" s="218"/>
      <c r="AO200" s="218"/>
      <c r="AP200" s="218"/>
      <c r="AQ200" s="218"/>
      <c r="AR200" s="220"/>
      <c r="AS200" s="220"/>
      <c r="AT200" s="220"/>
      <c r="AU200" s="220"/>
      <c r="AV200" s="220"/>
      <c r="AW200" s="220"/>
      <c r="AX200" s="220"/>
      <c r="AY200" s="220"/>
      <c r="AZ200" s="220"/>
    </row>
    <row r="201" ht="45.75" customHeight="1">
      <c r="A201" s="219"/>
      <c r="B201" s="269" t="s">
        <v>520</v>
      </c>
      <c r="C201" s="269" t="s">
        <v>521</v>
      </c>
      <c r="D201" s="270" t="s">
        <v>594</v>
      </c>
      <c r="E201" s="270" t="s">
        <v>595</v>
      </c>
      <c r="F201" s="270" t="s">
        <v>596</v>
      </c>
      <c r="G201" s="270" t="s">
        <v>597</v>
      </c>
      <c r="H201" s="269" t="s">
        <v>527</v>
      </c>
      <c r="I201" s="218"/>
      <c r="J201" s="218"/>
      <c r="K201" s="218"/>
      <c r="L201" s="218"/>
      <c r="M201" s="218"/>
      <c r="N201" s="218"/>
      <c r="O201" s="218"/>
      <c r="P201" s="218"/>
      <c r="Q201" s="218"/>
      <c r="R201" s="218"/>
      <c r="S201" s="218"/>
      <c r="T201" s="218"/>
      <c r="U201" s="218"/>
      <c r="V201" s="218"/>
      <c r="W201" s="218"/>
      <c r="X201" s="218"/>
      <c r="Y201" s="218"/>
      <c r="Z201" s="218"/>
      <c r="AA201" s="218"/>
      <c r="AB201" s="218"/>
      <c r="AC201" s="218"/>
      <c r="AD201" s="218"/>
      <c r="AE201" s="218"/>
      <c r="AF201" s="218"/>
      <c r="AG201" s="218"/>
      <c r="AH201" s="218"/>
      <c r="AI201" s="218"/>
      <c r="AJ201" s="218"/>
      <c r="AK201" s="218"/>
      <c r="AL201" s="218"/>
      <c r="AM201" s="218"/>
      <c r="AN201" s="218"/>
      <c r="AO201" s="218"/>
      <c r="AP201" s="218"/>
      <c r="AQ201" s="218"/>
      <c r="AR201" s="220"/>
      <c r="AS201" s="220"/>
      <c r="AT201" s="220"/>
      <c r="AU201" s="220"/>
      <c r="AV201" s="220"/>
      <c r="AW201" s="220"/>
      <c r="AX201" s="220"/>
      <c r="AY201" s="220"/>
      <c r="AZ201" s="220"/>
    </row>
    <row r="202" ht="26.25" customHeight="1">
      <c r="A202" s="219"/>
      <c r="B202" s="236" t="s">
        <v>598</v>
      </c>
      <c r="C202" s="189">
        <v>19.0</v>
      </c>
      <c r="D202" s="190">
        <f t="shared" ref="D202:D213" si="19">$C$216</f>
        <v>2175000</v>
      </c>
      <c r="E202" s="189">
        <v>0.0</v>
      </c>
      <c r="F202" s="231">
        <f t="shared" ref="F202:F213" si="20">$C$217</f>
        <v>1450000</v>
      </c>
      <c r="G202" s="189">
        <v>0.0</v>
      </c>
      <c r="H202" s="231">
        <f t="shared" ref="H202:H213" si="21">D202*E202+F202*G202</f>
        <v>0</v>
      </c>
      <c r="I202" s="218"/>
      <c r="J202" s="218"/>
      <c r="K202" s="218"/>
      <c r="L202" s="218"/>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8"/>
      <c r="AM202" s="218"/>
      <c r="AN202" s="218"/>
      <c r="AO202" s="218"/>
      <c r="AP202" s="218"/>
      <c r="AQ202" s="218"/>
      <c r="AR202" s="220"/>
      <c r="AS202" s="220"/>
      <c r="AT202" s="220"/>
      <c r="AU202" s="220"/>
      <c r="AV202" s="220"/>
      <c r="AW202" s="220"/>
      <c r="AX202" s="220"/>
      <c r="AY202" s="220"/>
      <c r="AZ202" s="220"/>
    </row>
    <row r="203" ht="26.25" customHeight="1">
      <c r="A203" s="219"/>
      <c r="B203" s="236" t="s">
        <v>599</v>
      </c>
      <c r="C203" s="189">
        <v>16.0</v>
      </c>
      <c r="D203" s="190">
        <f t="shared" si="19"/>
        <v>2175000</v>
      </c>
      <c r="E203" s="189">
        <v>0.0</v>
      </c>
      <c r="F203" s="231">
        <f t="shared" si="20"/>
        <v>1450000</v>
      </c>
      <c r="G203" s="189">
        <v>0.0</v>
      </c>
      <c r="H203" s="231">
        <f t="shared" si="21"/>
        <v>0</v>
      </c>
      <c r="I203" s="218"/>
      <c r="J203" s="218"/>
      <c r="K203" s="218"/>
      <c r="L203" s="218"/>
      <c r="M203" s="218"/>
      <c r="N203" s="218"/>
      <c r="O203" s="218"/>
      <c r="P203" s="218"/>
      <c r="Q203" s="218"/>
      <c r="R203" s="218"/>
      <c r="S203" s="218"/>
      <c r="T203" s="218"/>
      <c r="U203" s="218"/>
      <c r="V203" s="218"/>
      <c r="W203" s="218"/>
      <c r="X203" s="218"/>
      <c r="Y203" s="218"/>
      <c r="Z203" s="218"/>
      <c r="AA203" s="218"/>
      <c r="AB203" s="218"/>
      <c r="AC203" s="218"/>
      <c r="AD203" s="218"/>
      <c r="AE203" s="218"/>
      <c r="AF203" s="218"/>
      <c r="AG203" s="218"/>
      <c r="AH203" s="218"/>
      <c r="AI203" s="218"/>
      <c r="AJ203" s="218"/>
      <c r="AK203" s="218"/>
      <c r="AL203" s="218"/>
      <c r="AM203" s="218"/>
      <c r="AN203" s="218"/>
      <c r="AO203" s="218"/>
      <c r="AP203" s="218"/>
      <c r="AQ203" s="218"/>
      <c r="AR203" s="220"/>
      <c r="AS203" s="220"/>
      <c r="AT203" s="220"/>
      <c r="AU203" s="220"/>
      <c r="AV203" s="220"/>
      <c r="AW203" s="220"/>
      <c r="AX203" s="220"/>
      <c r="AY203" s="220"/>
      <c r="AZ203" s="220"/>
    </row>
    <row r="204" ht="26.25" customHeight="1">
      <c r="A204" s="219"/>
      <c r="B204" s="236" t="s">
        <v>600</v>
      </c>
      <c r="C204" s="189">
        <v>19.0</v>
      </c>
      <c r="D204" s="190">
        <f t="shared" si="19"/>
        <v>2175000</v>
      </c>
      <c r="E204" s="189">
        <v>0.0</v>
      </c>
      <c r="F204" s="231">
        <f t="shared" si="20"/>
        <v>1450000</v>
      </c>
      <c r="G204" s="189">
        <v>0.0</v>
      </c>
      <c r="H204" s="231">
        <f t="shared" si="21"/>
        <v>0</v>
      </c>
      <c r="I204" s="218"/>
      <c r="J204" s="218"/>
      <c r="K204" s="218"/>
      <c r="L204" s="218"/>
      <c r="M204" s="218"/>
      <c r="N204" s="218"/>
      <c r="O204" s="218"/>
      <c r="P204" s="218"/>
      <c r="Q204" s="218"/>
      <c r="R204" s="218"/>
      <c r="S204" s="218"/>
      <c r="T204" s="218"/>
      <c r="U204" s="218"/>
      <c r="V204" s="218"/>
      <c r="W204" s="218"/>
      <c r="X204" s="218"/>
      <c r="Y204" s="218"/>
      <c r="Z204" s="218"/>
      <c r="AA204" s="218"/>
      <c r="AB204" s="218"/>
      <c r="AC204" s="218"/>
      <c r="AD204" s="218"/>
      <c r="AE204" s="218"/>
      <c r="AF204" s="218"/>
      <c r="AG204" s="218"/>
      <c r="AH204" s="218"/>
      <c r="AI204" s="218"/>
      <c r="AJ204" s="218"/>
      <c r="AK204" s="218"/>
      <c r="AL204" s="218"/>
      <c r="AM204" s="218"/>
      <c r="AN204" s="218"/>
      <c r="AO204" s="218"/>
      <c r="AP204" s="218"/>
      <c r="AQ204" s="218"/>
      <c r="AR204" s="220"/>
      <c r="AS204" s="220"/>
      <c r="AT204" s="220"/>
      <c r="AU204" s="220"/>
      <c r="AV204" s="220"/>
      <c r="AW204" s="220"/>
      <c r="AX204" s="220"/>
      <c r="AY204" s="220"/>
      <c r="AZ204" s="220"/>
    </row>
    <row r="205" ht="26.25" customHeight="1">
      <c r="A205" s="219"/>
      <c r="B205" s="236" t="s">
        <v>531</v>
      </c>
      <c r="C205" s="189">
        <v>17.0</v>
      </c>
      <c r="D205" s="190">
        <f t="shared" si="19"/>
        <v>2175000</v>
      </c>
      <c r="E205" s="189">
        <v>0.0</v>
      </c>
      <c r="F205" s="231">
        <f t="shared" si="20"/>
        <v>1450000</v>
      </c>
      <c r="G205" s="189">
        <v>1.0</v>
      </c>
      <c r="H205" s="231">
        <f t="shared" si="21"/>
        <v>1450000</v>
      </c>
      <c r="I205" s="218"/>
      <c r="J205" s="218"/>
      <c r="K205" s="218"/>
      <c r="L205" s="218"/>
      <c r="M205" s="218"/>
      <c r="N205" s="218"/>
      <c r="O205" s="218"/>
      <c r="P205" s="218"/>
      <c r="Q205" s="218"/>
      <c r="R205" s="218"/>
      <c r="S205" s="218"/>
      <c r="T205" s="218"/>
      <c r="U205" s="218"/>
      <c r="V205" s="218"/>
      <c r="W205" s="218"/>
      <c r="X205" s="218"/>
      <c r="Y205" s="218"/>
      <c r="Z205" s="218"/>
      <c r="AA205" s="218"/>
      <c r="AB205" s="218"/>
      <c r="AC205" s="218"/>
      <c r="AD205" s="218"/>
      <c r="AE205" s="218"/>
      <c r="AF205" s="218"/>
      <c r="AG205" s="218"/>
      <c r="AH205" s="218"/>
      <c r="AI205" s="218"/>
      <c r="AJ205" s="218"/>
      <c r="AK205" s="218"/>
      <c r="AL205" s="218"/>
      <c r="AM205" s="218"/>
      <c r="AN205" s="218"/>
      <c r="AO205" s="218"/>
      <c r="AP205" s="218"/>
      <c r="AQ205" s="218"/>
      <c r="AR205" s="220"/>
      <c r="AS205" s="220"/>
      <c r="AT205" s="220"/>
      <c r="AU205" s="220"/>
      <c r="AV205" s="220"/>
      <c r="AW205" s="220"/>
      <c r="AX205" s="220"/>
      <c r="AY205" s="220"/>
      <c r="AZ205" s="220"/>
    </row>
    <row r="206" ht="26.25" customHeight="1">
      <c r="A206" s="219"/>
      <c r="B206" s="236" t="s">
        <v>601</v>
      </c>
      <c r="C206" s="189">
        <v>17.0</v>
      </c>
      <c r="D206" s="190">
        <f t="shared" si="19"/>
        <v>2175000</v>
      </c>
      <c r="E206" s="189">
        <v>0.0</v>
      </c>
      <c r="F206" s="231">
        <f t="shared" si="20"/>
        <v>1450000</v>
      </c>
      <c r="G206" s="189">
        <v>1.0</v>
      </c>
      <c r="H206" s="231">
        <f t="shared" si="21"/>
        <v>1450000</v>
      </c>
      <c r="I206" s="218"/>
      <c r="J206" s="218"/>
      <c r="K206" s="218"/>
      <c r="L206" s="218"/>
      <c r="M206" s="218"/>
      <c r="N206" s="218"/>
      <c r="O206" s="218"/>
      <c r="P206" s="218"/>
      <c r="Q206" s="218"/>
      <c r="R206" s="218"/>
      <c r="S206" s="218"/>
      <c r="T206" s="218"/>
      <c r="U206" s="218"/>
      <c r="V206" s="218"/>
      <c r="W206" s="218"/>
      <c r="X206" s="218"/>
      <c r="Y206" s="218"/>
      <c r="Z206" s="218"/>
      <c r="AA206" s="218"/>
      <c r="AB206" s="218"/>
      <c r="AC206" s="218"/>
      <c r="AD206" s="218"/>
      <c r="AE206" s="218"/>
      <c r="AF206" s="218"/>
      <c r="AG206" s="218"/>
      <c r="AH206" s="218"/>
      <c r="AI206" s="218"/>
      <c r="AJ206" s="218"/>
      <c r="AK206" s="218"/>
      <c r="AL206" s="218"/>
      <c r="AM206" s="218"/>
      <c r="AN206" s="218"/>
      <c r="AO206" s="218"/>
      <c r="AP206" s="218"/>
      <c r="AQ206" s="218"/>
      <c r="AR206" s="220"/>
      <c r="AS206" s="220"/>
      <c r="AT206" s="220"/>
      <c r="AU206" s="220"/>
      <c r="AV206" s="220"/>
      <c r="AW206" s="220"/>
      <c r="AX206" s="220"/>
      <c r="AY206" s="220"/>
      <c r="AZ206" s="220"/>
    </row>
    <row r="207" ht="26.25" customHeight="1">
      <c r="A207" s="219"/>
      <c r="B207" s="236" t="s">
        <v>602</v>
      </c>
      <c r="C207" s="189">
        <v>19.0</v>
      </c>
      <c r="D207" s="190">
        <f t="shared" si="19"/>
        <v>2175000</v>
      </c>
      <c r="E207" s="189">
        <v>0.0</v>
      </c>
      <c r="F207" s="231">
        <f t="shared" si="20"/>
        <v>1450000</v>
      </c>
      <c r="G207" s="189">
        <v>1.0</v>
      </c>
      <c r="H207" s="231">
        <f t="shared" si="21"/>
        <v>1450000</v>
      </c>
      <c r="I207" s="218"/>
      <c r="J207" s="218"/>
      <c r="K207" s="218"/>
      <c r="L207" s="218"/>
      <c r="M207" s="218"/>
      <c r="N207" s="218"/>
      <c r="O207" s="218"/>
      <c r="P207" s="218"/>
      <c r="Q207" s="218"/>
      <c r="R207" s="218"/>
      <c r="S207" s="218"/>
      <c r="T207" s="218"/>
      <c r="U207" s="218"/>
      <c r="V207" s="218"/>
      <c r="W207" s="218"/>
      <c r="X207" s="218"/>
      <c r="Y207" s="218"/>
      <c r="Z207" s="218"/>
      <c r="AA207" s="218"/>
      <c r="AB207" s="218"/>
      <c r="AC207" s="218"/>
      <c r="AD207" s="218"/>
      <c r="AE207" s="218"/>
      <c r="AF207" s="218"/>
      <c r="AG207" s="218"/>
      <c r="AH207" s="218"/>
      <c r="AI207" s="218"/>
      <c r="AJ207" s="218"/>
      <c r="AK207" s="218"/>
      <c r="AL207" s="218"/>
      <c r="AM207" s="218"/>
      <c r="AN207" s="218"/>
      <c r="AO207" s="218"/>
      <c r="AP207" s="218"/>
      <c r="AQ207" s="218"/>
      <c r="AR207" s="220"/>
      <c r="AS207" s="220"/>
      <c r="AT207" s="220"/>
      <c r="AU207" s="220"/>
      <c r="AV207" s="220"/>
      <c r="AW207" s="220"/>
      <c r="AX207" s="220"/>
      <c r="AY207" s="220"/>
      <c r="AZ207" s="220"/>
    </row>
    <row r="208" ht="26.25" customHeight="1">
      <c r="A208" s="219"/>
      <c r="B208" s="236" t="s">
        <v>603</v>
      </c>
      <c r="C208" s="189">
        <v>17.0</v>
      </c>
      <c r="D208" s="190">
        <f t="shared" si="19"/>
        <v>2175000</v>
      </c>
      <c r="E208" s="189">
        <v>0.0</v>
      </c>
      <c r="F208" s="231">
        <f t="shared" si="20"/>
        <v>1450000</v>
      </c>
      <c r="G208" s="189">
        <v>0.0</v>
      </c>
      <c r="H208" s="231">
        <f t="shared" si="21"/>
        <v>0</v>
      </c>
      <c r="I208" s="218"/>
      <c r="J208" s="218"/>
      <c r="K208" s="218"/>
      <c r="L208" s="218"/>
      <c r="M208" s="218"/>
      <c r="N208" s="218"/>
      <c r="O208" s="218"/>
      <c r="P208" s="218"/>
      <c r="Q208" s="218"/>
      <c r="R208" s="218"/>
      <c r="S208" s="218"/>
      <c r="T208" s="218"/>
      <c r="U208" s="218"/>
      <c r="V208" s="218"/>
      <c r="W208" s="218"/>
      <c r="X208" s="218"/>
      <c r="Y208" s="218"/>
      <c r="Z208" s="218"/>
      <c r="AA208" s="218"/>
      <c r="AB208" s="218"/>
      <c r="AC208" s="218"/>
      <c r="AD208" s="218"/>
      <c r="AE208" s="218"/>
      <c r="AF208" s="218"/>
      <c r="AG208" s="218"/>
      <c r="AH208" s="218"/>
      <c r="AI208" s="218"/>
      <c r="AJ208" s="218"/>
      <c r="AK208" s="218"/>
      <c r="AL208" s="218"/>
      <c r="AM208" s="218"/>
      <c r="AN208" s="218"/>
      <c r="AO208" s="218"/>
      <c r="AP208" s="218"/>
      <c r="AQ208" s="218"/>
      <c r="AR208" s="220"/>
      <c r="AS208" s="220"/>
      <c r="AT208" s="220"/>
      <c r="AU208" s="220"/>
      <c r="AV208" s="220"/>
      <c r="AW208" s="220"/>
      <c r="AX208" s="220"/>
      <c r="AY208" s="220"/>
      <c r="AZ208" s="220"/>
    </row>
    <row r="209" ht="26.25" customHeight="1">
      <c r="A209" s="219"/>
      <c r="B209" s="236" t="s">
        <v>604</v>
      </c>
      <c r="C209" s="189">
        <v>18.0</v>
      </c>
      <c r="D209" s="190">
        <f t="shared" si="19"/>
        <v>2175000</v>
      </c>
      <c r="E209" s="189">
        <v>1.0</v>
      </c>
      <c r="F209" s="231">
        <f t="shared" si="20"/>
        <v>1450000</v>
      </c>
      <c r="G209" s="189">
        <v>2.0</v>
      </c>
      <c r="H209" s="231">
        <f t="shared" si="21"/>
        <v>5075000</v>
      </c>
      <c r="I209" s="218"/>
      <c r="J209" s="218"/>
      <c r="K209" s="218"/>
      <c r="L209" s="218"/>
      <c r="M209" s="218"/>
      <c r="N209" s="218"/>
      <c r="O209" s="218"/>
      <c r="P209" s="218"/>
      <c r="Q209" s="218"/>
      <c r="R209" s="218"/>
      <c r="S209" s="218"/>
      <c r="T209" s="218"/>
      <c r="U209" s="218"/>
      <c r="V209" s="218"/>
      <c r="W209" s="218"/>
      <c r="X209" s="218"/>
      <c r="Y209" s="218"/>
      <c r="Z209" s="218"/>
      <c r="AA209" s="218"/>
      <c r="AB209" s="218"/>
      <c r="AC209" s="218"/>
      <c r="AD209" s="218"/>
      <c r="AE209" s="218"/>
      <c r="AF209" s="218"/>
      <c r="AG209" s="218"/>
      <c r="AH209" s="218"/>
      <c r="AI209" s="218"/>
      <c r="AJ209" s="218"/>
      <c r="AK209" s="218"/>
      <c r="AL209" s="218"/>
      <c r="AM209" s="218"/>
      <c r="AN209" s="218"/>
      <c r="AO209" s="218"/>
      <c r="AP209" s="218"/>
      <c r="AQ209" s="218"/>
      <c r="AR209" s="220"/>
      <c r="AS209" s="220"/>
      <c r="AT209" s="220"/>
      <c r="AU209" s="220"/>
      <c r="AV209" s="220"/>
      <c r="AW209" s="220"/>
      <c r="AX209" s="220"/>
      <c r="AY209" s="220"/>
      <c r="AZ209" s="220"/>
    </row>
    <row r="210" ht="26.25" customHeight="1">
      <c r="A210" s="219"/>
      <c r="B210" s="236" t="s">
        <v>605</v>
      </c>
      <c r="C210" s="189">
        <v>19.0</v>
      </c>
      <c r="D210" s="190">
        <f t="shared" si="19"/>
        <v>2175000</v>
      </c>
      <c r="E210" s="189">
        <v>2.0</v>
      </c>
      <c r="F210" s="231">
        <f t="shared" si="20"/>
        <v>1450000</v>
      </c>
      <c r="G210" s="189">
        <v>3.0</v>
      </c>
      <c r="H210" s="231">
        <f t="shared" si="21"/>
        <v>8700000</v>
      </c>
      <c r="I210" s="218"/>
      <c r="J210" s="218"/>
      <c r="K210" s="218"/>
      <c r="L210" s="218"/>
      <c r="M210" s="218"/>
      <c r="N210" s="218"/>
      <c r="O210" s="218"/>
      <c r="P210" s="218"/>
      <c r="Q210" s="218"/>
      <c r="R210" s="218"/>
      <c r="S210" s="218"/>
      <c r="T210" s="218"/>
      <c r="U210" s="218"/>
      <c r="V210" s="218"/>
      <c r="W210" s="218"/>
      <c r="X210" s="218"/>
      <c r="Y210" s="218"/>
      <c r="Z210" s="218"/>
      <c r="AA210" s="218"/>
      <c r="AB210" s="218"/>
      <c r="AC210" s="218"/>
      <c r="AD210" s="218"/>
      <c r="AE210" s="218"/>
      <c r="AF210" s="218"/>
      <c r="AG210" s="218"/>
      <c r="AH210" s="218"/>
      <c r="AI210" s="218"/>
      <c r="AJ210" s="218"/>
      <c r="AK210" s="218"/>
      <c r="AL210" s="218"/>
      <c r="AM210" s="218"/>
      <c r="AN210" s="218"/>
      <c r="AO210" s="218"/>
      <c r="AP210" s="218"/>
      <c r="AQ210" s="218"/>
      <c r="AR210" s="220"/>
      <c r="AS210" s="220"/>
      <c r="AT210" s="220"/>
      <c r="AU210" s="220"/>
      <c r="AV210" s="220"/>
      <c r="AW210" s="220"/>
      <c r="AX210" s="220"/>
      <c r="AY210" s="220"/>
      <c r="AZ210" s="220"/>
    </row>
    <row r="211" ht="26.25" customHeight="1">
      <c r="A211" s="219"/>
      <c r="B211" s="236" t="s">
        <v>606</v>
      </c>
      <c r="C211" s="189">
        <v>16.0</v>
      </c>
      <c r="D211" s="190">
        <f t="shared" si="19"/>
        <v>2175000</v>
      </c>
      <c r="E211" s="189">
        <v>2.0</v>
      </c>
      <c r="F211" s="231">
        <f t="shared" si="20"/>
        <v>1450000</v>
      </c>
      <c r="G211" s="189">
        <v>3.0</v>
      </c>
      <c r="H211" s="231">
        <f t="shared" si="21"/>
        <v>8700000</v>
      </c>
      <c r="I211" s="218"/>
      <c r="J211" s="218"/>
      <c r="K211" s="218"/>
      <c r="L211" s="218"/>
      <c r="M211" s="218"/>
      <c r="N211" s="218"/>
      <c r="O211" s="218"/>
      <c r="P211" s="218"/>
      <c r="Q211" s="218"/>
      <c r="R211" s="218"/>
      <c r="S211" s="218"/>
      <c r="T211" s="218"/>
      <c r="U211" s="218"/>
      <c r="V211" s="218"/>
      <c r="W211" s="218"/>
      <c r="X211" s="218"/>
      <c r="Y211" s="218"/>
      <c r="Z211" s="218"/>
      <c r="AA211" s="218"/>
      <c r="AB211" s="218"/>
      <c r="AC211" s="218"/>
      <c r="AD211" s="218"/>
      <c r="AE211" s="218"/>
      <c r="AF211" s="218"/>
      <c r="AG211" s="218"/>
      <c r="AH211" s="218"/>
      <c r="AI211" s="218"/>
      <c r="AJ211" s="218"/>
      <c r="AK211" s="218"/>
      <c r="AL211" s="218"/>
      <c r="AM211" s="218"/>
      <c r="AN211" s="218"/>
      <c r="AO211" s="218"/>
      <c r="AP211" s="218"/>
      <c r="AQ211" s="218"/>
      <c r="AR211" s="220"/>
      <c r="AS211" s="220"/>
      <c r="AT211" s="220"/>
      <c r="AU211" s="220"/>
      <c r="AV211" s="220"/>
      <c r="AW211" s="220"/>
      <c r="AX211" s="220"/>
      <c r="AY211" s="220"/>
      <c r="AZ211" s="220"/>
    </row>
    <row r="212" ht="26.25" customHeight="1">
      <c r="A212" s="219"/>
      <c r="B212" s="236" t="s">
        <v>607</v>
      </c>
      <c r="C212" s="189">
        <v>18.0</v>
      </c>
      <c r="D212" s="190">
        <f t="shared" si="19"/>
        <v>2175000</v>
      </c>
      <c r="E212" s="189">
        <v>2.0</v>
      </c>
      <c r="F212" s="231">
        <f t="shared" si="20"/>
        <v>1450000</v>
      </c>
      <c r="G212" s="189">
        <v>3.0</v>
      </c>
      <c r="H212" s="231">
        <f t="shared" si="21"/>
        <v>8700000</v>
      </c>
      <c r="I212" s="218"/>
      <c r="J212" s="218"/>
      <c r="K212" s="218"/>
      <c r="L212" s="218"/>
      <c r="M212" s="218"/>
      <c r="N212" s="218"/>
      <c r="O212" s="218"/>
      <c r="P212" s="218"/>
      <c r="Q212" s="218"/>
      <c r="R212" s="218"/>
      <c r="S212" s="218"/>
      <c r="T212" s="218"/>
      <c r="U212" s="218"/>
      <c r="V212" s="218"/>
      <c r="W212" s="218"/>
      <c r="X212" s="218"/>
      <c r="Y212" s="218"/>
      <c r="Z212" s="218"/>
      <c r="AA212" s="218"/>
      <c r="AB212" s="218"/>
      <c r="AC212" s="218"/>
      <c r="AD212" s="218"/>
      <c r="AE212" s="218"/>
      <c r="AF212" s="218"/>
      <c r="AG212" s="218"/>
      <c r="AH212" s="218"/>
      <c r="AI212" s="218"/>
      <c r="AJ212" s="218"/>
      <c r="AK212" s="218"/>
      <c r="AL212" s="218"/>
      <c r="AM212" s="218"/>
      <c r="AN212" s="218"/>
      <c r="AO212" s="218"/>
      <c r="AP212" s="218"/>
      <c r="AQ212" s="218"/>
      <c r="AR212" s="220"/>
      <c r="AS212" s="220"/>
      <c r="AT212" s="220"/>
      <c r="AU212" s="220"/>
      <c r="AV212" s="220"/>
      <c r="AW212" s="220"/>
      <c r="AX212" s="220"/>
      <c r="AY212" s="220"/>
      <c r="AZ212" s="220"/>
    </row>
    <row r="213" ht="26.25" customHeight="1">
      <c r="A213" s="219"/>
      <c r="B213" s="236" t="s">
        <v>608</v>
      </c>
      <c r="C213" s="189">
        <v>16.0</v>
      </c>
      <c r="D213" s="190">
        <f t="shared" si="19"/>
        <v>2175000</v>
      </c>
      <c r="E213" s="189">
        <v>2.0</v>
      </c>
      <c r="F213" s="231">
        <f t="shared" si="20"/>
        <v>1450000</v>
      </c>
      <c r="G213" s="189">
        <v>3.0</v>
      </c>
      <c r="H213" s="231">
        <f t="shared" si="21"/>
        <v>8700000</v>
      </c>
      <c r="I213" s="218"/>
      <c r="J213" s="218"/>
      <c r="K213" s="218"/>
      <c r="L213" s="218"/>
      <c r="M213" s="218"/>
      <c r="N213" s="218"/>
      <c r="O213" s="218"/>
      <c r="P213" s="218"/>
      <c r="Q213" s="218"/>
      <c r="R213" s="218"/>
      <c r="S213" s="218"/>
      <c r="T213" s="218"/>
      <c r="U213" s="218"/>
      <c r="V213" s="218"/>
      <c r="W213" s="218"/>
      <c r="X213" s="218"/>
      <c r="Y213" s="218"/>
      <c r="Z213" s="218"/>
      <c r="AA213" s="218"/>
      <c r="AB213" s="218"/>
      <c r="AC213" s="218"/>
      <c r="AD213" s="218"/>
      <c r="AE213" s="218"/>
      <c r="AF213" s="218"/>
      <c r="AG213" s="218"/>
      <c r="AH213" s="218"/>
      <c r="AI213" s="218"/>
      <c r="AJ213" s="218"/>
      <c r="AK213" s="218"/>
      <c r="AL213" s="218"/>
      <c r="AM213" s="218"/>
      <c r="AN213" s="218"/>
      <c r="AO213" s="218"/>
      <c r="AP213" s="218"/>
      <c r="AQ213" s="218"/>
      <c r="AR213" s="220"/>
      <c r="AS213" s="220"/>
      <c r="AT213" s="220"/>
      <c r="AU213" s="220"/>
      <c r="AV213" s="220"/>
      <c r="AW213" s="220"/>
      <c r="AX213" s="220"/>
      <c r="AY213" s="220"/>
      <c r="AZ213" s="220"/>
    </row>
    <row r="214" ht="26.25" customHeight="1">
      <c r="A214" s="219"/>
      <c r="B214" s="218"/>
      <c r="C214" s="218"/>
      <c r="D214" s="218"/>
      <c r="E214" s="218"/>
      <c r="F214" s="218"/>
      <c r="G214" s="218"/>
      <c r="H214" s="218"/>
      <c r="I214" s="218"/>
      <c r="J214" s="218"/>
      <c r="K214" s="218"/>
      <c r="L214" s="218"/>
      <c r="M214" s="218"/>
      <c r="N214" s="218"/>
      <c r="O214" s="218"/>
      <c r="P214" s="218"/>
      <c r="Q214" s="218"/>
      <c r="R214" s="218"/>
      <c r="S214" s="218"/>
      <c r="T214" s="218"/>
      <c r="U214" s="218"/>
      <c r="V214" s="218"/>
      <c r="W214" s="218"/>
      <c r="X214" s="218"/>
      <c r="Y214" s="218"/>
      <c r="Z214" s="218"/>
      <c r="AA214" s="218"/>
      <c r="AB214" s="218"/>
      <c r="AC214" s="218"/>
      <c r="AD214" s="218"/>
      <c r="AE214" s="218"/>
      <c r="AF214" s="218"/>
      <c r="AG214" s="218"/>
      <c r="AH214" s="218"/>
      <c r="AI214" s="218"/>
      <c r="AJ214" s="218"/>
      <c r="AK214" s="218"/>
      <c r="AL214" s="218"/>
      <c r="AM214" s="218"/>
      <c r="AN214" s="218"/>
      <c r="AO214" s="218"/>
      <c r="AP214" s="218"/>
      <c r="AQ214" s="218"/>
      <c r="AR214" s="220"/>
      <c r="AS214" s="220"/>
      <c r="AT214" s="220"/>
      <c r="AU214" s="220"/>
      <c r="AV214" s="220"/>
      <c r="AW214" s="220"/>
      <c r="AX214" s="220"/>
      <c r="AY214" s="220"/>
      <c r="AZ214" s="220"/>
    </row>
    <row r="215" ht="26.25" customHeight="1">
      <c r="A215" s="219"/>
      <c r="B215" s="271" t="s">
        <v>540</v>
      </c>
      <c r="C215" s="271" t="s">
        <v>609</v>
      </c>
      <c r="D215" s="218"/>
      <c r="E215" s="218"/>
      <c r="F215" s="218"/>
      <c r="G215" s="218"/>
      <c r="H215" s="218"/>
      <c r="I215" s="218"/>
      <c r="J215" s="218"/>
      <c r="K215" s="218"/>
      <c r="L215" s="218"/>
      <c r="M215" s="218"/>
      <c r="N215" s="218"/>
      <c r="O215" s="218"/>
      <c r="P215" s="218"/>
      <c r="Q215" s="218"/>
      <c r="R215" s="218"/>
      <c r="S215" s="218"/>
      <c r="T215" s="218"/>
      <c r="U215" s="218"/>
      <c r="V215" s="218"/>
      <c r="W215" s="218"/>
      <c r="X215" s="218"/>
      <c r="Y215" s="218"/>
      <c r="Z215" s="218"/>
      <c r="AA215" s="218"/>
      <c r="AB215" s="218"/>
      <c r="AC215" s="218"/>
      <c r="AD215" s="218"/>
      <c r="AE215" s="218"/>
      <c r="AF215" s="218"/>
      <c r="AG215" s="218"/>
      <c r="AH215" s="218"/>
      <c r="AI215" s="218"/>
      <c r="AJ215" s="218"/>
      <c r="AK215" s="218"/>
      <c r="AL215" s="218"/>
      <c r="AM215" s="218"/>
      <c r="AN215" s="218"/>
      <c r="AO215" s="218"/>
      <c r="AP215" s="218"/>
      <c r="AQ215" s="218"/>
      <c r="AR215" s="220"/>
      <c r="AS215" s="220"/>
      <c r="AT215" s="220"/>
      <c r="AU215" s="220"/>
      <c r="AV215" s="220"/>
      <c r="AW215" s="220"/>
      <c r="AX215" s="220"/>
      <c r="AY215" s="220"/>
      <c r="AZ215" s="220"/>
    </row>
    <row r="216" ht="26.25" customHeight="1">
      <c r="A216" s="219"/>
      <c r="B216" s="262" t="s">
        <v>610</v>
      </c>
      <c r="C216" s="262">
        <f>1500*C1</f>
        <v>2175000</v>
      </c>
      <c r="D216" s="218"/>
      <c r="E216" s="218"/>
      <c r="F216" s="218"/>
      <c r="G216" s="218"/>
      <c r="H216" s="218"/>
      <c r="I216" s="218"/>
      <c r="J216" s="218"/>
      <c r="K216" s="218"/>
      <c r="L216" s="218"/>
      <c r="M216" s="218"/>
      <c r="N216" s="218"/>
      <c r="O216" s="218"/>
      <c r="P216" s="218"/>
      <c r="Q216" s="218"/>
      <c r="R216" s="218"/>
      <c r="S216" s="218"/>
      <c r="T216" s="218"/>
      <c r="U216" s="218"/>
      <c r="V216" s="218"/>
      <c r="W216" s="218"/>
      <c r="X216" s="218"/>
      <c r="Y216" s="218"/>
      <c r="Z216" s="218"/>
      <c r="AA216" s="218"/>
      <c r="AB216" s="218"/>
      <c r="AC216" s="218"/>
      <c r="AD216" s="218"/>
      <c r="AE216" s="218"/>
      <c r="AF216" s="218"/>
      <c r="AG216" s="218"/>
      <c r="AH216" s="218"/>
      <c r="AI216" s="218"/>
      <c r="AJ216" s="218"/>
      <c r="AK216" s="218"/>
      <c r="AL216" s="218"/>
      <c r="AM216" s="218"/>
      <c r="AN216" s="218"/>
      <c r="AO216" s="218"/>
      <c r="AP216" s="218"/>
      <c r="AQ216" s="218"/>
      <c r="AR216" s="220"/>
      <c r="AS216" s="220"/>
      <c r="AT216" s="220"/>
      <c r="AU216" s="220"/>
      <c r="AV216" s="220"/>
      <c r="AW216" s="220"/>
      <c r="AX216" s="220"/>
      <c r="AY216" s="220"/>
      <c r="AZ216" s="220"/>
    </row>
    <row r="217" ht="26.25" customHeight="1">
      <c r="A217" s="219"/>
      <c r="B217" s="262" t="s">
        <v>611</v>
      </c>
      <c r="C217" s="262">
        <f>1000*C1</f>
        <v>1450000</v>
      </c>
      <c r="D217" s="218"/>
      <c r="E217" s="218"/>
      <c r="F217" s="218"/>
      <c r="G217" s="218"/>
      <c r="H217" s="218"/>
      <c r="I217" s="218"/>
      <c r="J217" s="218"/>
      <c r="K217" s="218"/>
      <c r="L217" s="218"/>
      <c r="M217" s="218"/>
      <c r="N217" s="218"/>
      <c r="O217" s="218"/>
      <c r="P217" s="218"/>
      <c r="Q217" s="218"/>
      <c r="R217" s="218"/>
      <c r="S217" s="218"/>
      <c r="T217" s="218"/>
      <c r="U217" s="218"/>
      <c r="V217" s="218"/>
      <c r="W217" s="218"/>
      <c r="X217" s="218"/>
      <c r="Y217" s="218"/>
      <c r="Z217" s="218"/>
      <c r="AA217" s="218"/>
      <c r="AB217" s="218"/>
      <c r="AC217" s="218"/>
      <c r="AD217" s="218"/>
      <c r="AE217" s="218"/>
      <c r="AF217" s="218"/>
      <c r="AG217" s="218"/>
      <c r="AH217" s="218"/>
      <c r="AI217" s="218"/>
      <c r="AJ217" s="218"/>
      <c r="AK217" s="218"/>
      <c r="AL217" s="218"/>
      <c r="AM217" s="218"/>
      <c r="AN217" s="218"/>
      <c r="AO217" s="218"/>
      <c r="AP217" s="218"/>
      <c r="AQ217" s="218"/>
      <c r="AR217" s="220"/>
      <c r="AS217" s="220"/>
      <c r="AT217" s="220"/>
      <c r="AU217" s="220"/>
      <c r="AV217" s="220"/>
      <c r="AW217" s="220"/>
      <c r="AX217" s="220"/>
      <c r="AY217" s="220"/>
      <c r="AZ217" s="220"/>
    </row>
    <row r="218" ht="26.25" customHeight="1">
      <c r="A218" s="219"/>
      <c r="B218" s="218"/>
      <c r="C218" s="218"/>
      <c r="D218" s="218"/>
      <c r="E218" s="218"/>
      <c r="F218" s="218"/>
      <c r="G218" s="218"/>
      <c r="H218" s="218"/>
      <c r="I218" s="218"/>
      <c r="J218" s="218"/>
      <c r="K218" s="218"/>
      <c r="L218" s="218"/>
      <c r="M218" s="218"/>
      <c r="N218" s="218"/>
      <c r="O218" s="218"/>
      <c r="P218" s="218"/>
      <c r="Q218" s="218"/>
      <c r="R218" s="218"/>
      <c r="S218" s="218"/>
      <c r="T218" s="218"/>
      <c r="U218" s="218"/>
      <c r="V218" s="218"/>
      <c r="W218" s="218"/>
      <c r="X218" s="218"/>
      <c r="Y218" s="218"/>
      <c r="Z218" s="218"/>
      <c r="AA218" s="218"/>
      <c r="AB218" s="218"/>
      <c r="AC218" s="218"/>
      <c r="AD218" s="218"/>
      <c r="AE218" s="218"/>
      <c r="AF218" s="218"/>
      <c r="AG218" s="218"/>
      <c r="AH218" s="218"/>
      <c r="AI218" s="218"/>
      <c r="AJ218" s="218"/>
      <c r="AK218" s="218"/>
      <c r="AL218" s="218"/>
      <c r="AM218" s="218"/>
      <c r="AN218" s="218"/>
      <c r="AO218" s="218"/>
      <c r="AP218" s="218"/>
      <c r="AQ218" s="218"/>
      <c r="AR218" s="220"/>
      <c r="AS218" s="220"/>
      <c r="AT218" s="220"/>
      <c r="AU218" s="220"/>
      <c r="AV218" s="220"/>
      <c r="AW218" s="220"/>
      <c r="AX218" s="220"/>
      <c r="AY218" s="220"/>
      <c r="AZ218" s="220"/>
    </row>
    <row r="219" ht="26.25" customHeight="1">
      <c r="A219" s="219"/>
      <c r="B219" s="268" t="s">
        <v>612</v>
      </c>
      <c r="C219" s="47"/>
      <c r="D219" s="47"/>
      <c r="E219" s="47"/>
      <c r="F219" s="47"/>
      <c r="G219" s="47"/>
      <c r="H219" s="47"/>
      <c r="I219" s="218"/>
      <c r="J219" s="218"/>
      <c r="K219" s="218"/>
      <c r="L219" s="218"/>
      <c r="M219" s="218"/>
      <c r="N219" s="218"/>
      <c r="O219" s="218"/>
      <c r="P219" s="218"/>
      <c r="Q219" s="218"/>
      <c r="R219" s="218"/>
      <c r="S219" s="218"/>
      <c r="T219" s="218"/>
      <c r="U219" s="218"/>
      <c r="V219" s="218"/>
      <c r="W219" s="218"/>
      <c r="X219" s="218"/>
      <c r="Y219" s="218"/>
      <c r="Z219" s="218"/>
      <c r="AA219" s="218"/>
      <c r="AB219" s="218"/>
      <c r="AC219" s="218"/>
      <c r="AD219" s="218"/>
      <c r="AE219" s="218"/>
      <c r="AF219" s="218"/>
      <c r="AG219" s="218"/>
      <c r="AH219" s="218"/>
      <c r="AI219" s="218"/>
      <c r="AJ219" s="218"/>
      <c r="AK219" s="218"/>
      <c r="AL219" s="218"/>
      <c r="AM219" s="218"/>
      <c r="AN219" s="218"/>
      <c r="AO219" s="218"/>
      <c r="AP219" s="218"/>
      <c r="AQ219" s="218"/>
      <c r="AR219" s="220"/>
      <c r="AS219" s="220"/>
      <c r="AT219" s="220"/>
      <c r="AU219" s="220"/>
      <c r="AV219" s="220"/>
      <c r="AW219" s="220"/>
      <c r="AX219" s="220"/>
      <c r="AY219" s="220"/>
      <c r="AZ219" s="220"/>
    </row>
    <row r="220" ht="26.25" customHeight="1">
      <c r="A220" s="219"/>
      <c r="B220" s="269" t="s">
        <v>520</v>
      </c>
      <c r="C220" s="269" t="s">
        <v>521</v>
      </c>
      <c r="D220" s="270" t="s">
        <v>594</v>
      </c>
      <c r="E220" s="270" t="s">
        <v>595</v>
      </c>
      <c r="F220" s="270" t="s">
        <v>596</v>
      </c>
      <c r="G220" s="270" t="s">
        <v>597</v>
      </c>
      <c r="H220" s="269" t="s">
        <v>527</v>
      </c>
      <c r="I220" s="218"/>
      <c r="J220" s="218"/>
      <c r="K220" s="218"/>
      <c r="L220" s="218"/>
      <c r="M220" s="218"/>
      <c r="N220" s="218"/>
      <c r="O220" s="218"/>
      <c r="P220" s="218"/>
      <c r="Q220" s="218"/>
      <c r="R220" s="218"/>
      <c r="S220" s="218"/>
      <c r="T220" s="218"/>
      <c r="U220" s="218"/>
      <c r="V220" s="218"/>
      <c r="W220" s="218"/>
      <c r="X220" s="218"/>
      <c r="Y220" s="218"/>
      <c r="Z220" s="218"/>
      <c r="AA220" s="218"/>
      <c r="AB220" s="218"/>
      <c r="AC220" s="218"/>
      <c r="AD220" s="218"/>
      <c r="AE220" s="218"/>
      <c r="AF220" s="218"/>
      <c r="AG220" s="218"/>
      <c r="AH220" s="218"/>
      <c r="AI220" s="218"/>
      <c r="AJ220" s="218"/>
      <c r="AK220" s="218"/>
      <c r="AL220" s="218"/>
      <c r="AM220" s="218"/>
      <c r="AN220" s="218"/>
      <c r="AO220" s="218"/>
      <c r="AP220" s="218"/>
      <c r="AQ220" s="218"/>
      <c r="AR220" s="220"/>
      <c r="AS220" s="220"/>
      <c r="AT220" s="220"/>
      <c r="AU220" s="220"/>
      <c r="AV220" s="220"/>
      <c r="AW220" s="220"/>
      <c r="AX220" s="220"/>
      <c r="AY220" s="220"/>
      <c r="AZ220" s="220"/>
    </row>
    <row r="221" ht="26.25" customHeight="1">
      <c r="A221" s="219"/>
      <c r="B221" s="236" t="s">
        <v>598</v>
      </c>
      <c r="C221" s="189">
        <v>19.0</v>
      </c>
      <c r="D221" s="190">
        <f t="shared" ref="D221:D232" si="22">$C$235</f>
        <v>2830500</v>
      </c>
      <c r="E221" s="189">
        <v>0.0</v>
      </c>
      <c r="F221" s="231">
        <f t="shared" ref="F221:F232" si="23">$C$236</f>
        <v>1887000</v>
      </c>
      <c r="G221" s="189">
        <v>0.0</v>
      </c>
      <c r="H221" s="231">
        <f t="shared" ref="H221:H232" si="24">D221*E221+F221*G221</f>
        <v>0</v>
      </c>
      <c r="I221" s="218"/>
      <c r="J221" s="218"/>
      <c r="K221" s="218"/>
      <c r="L221" s="218"/>
      <c r="M221" s="218"/>
      <c r="N221" s="218"/>
      <c r="O221" s="218"/>
      <c r="P221" s="218"/>
      <c r="Q221" s="218"/>
      <c r="R221" s="218"/>
      <c r="S221" s="218"/>
      <c r="T221" s="218"/>
      <c r="U221" s="218"/>
      <c r="V221" s="218"/>
      <c r="W221" s="218"/>
      <c r="X221" s="218"/>
      <c r="Y221" s="218"/>
      <c r="Z221" s="218"/>
      <c r="AA221" s="218"/>
      <c r="AB221" s="218"/>
      <c r="AC221" s="218"/>
      <c r="AD221" s="218"/>
      <c r="AE221" s="218"/>
      <c r="AF221" s="218"/>
      <c r="AG221" s="218"/>
      <c r="AH221" s="218"/>
      <c r="AI221" s="218"/>
      <c r="AJ221" s="218"/>
      <c r="AK221" s="218"/>
      <c r="AL221" s="218"/>
      <c r="AM221" s="218"/>
      <c r="AN221" s="218"/>
      <c r="AO221" s="218"/>
      <c r="AP221" s="218"/>
      <c r="AQ221" s="218"/>
      <c r="AR221" s="220"/>
      <c r="AS221" s="220"/>
      <c r="AT221" s="220"/>
      <c r="AU221" s="220"/>
      <c r="AV221" s="220"/>
      <c r="AW221" s="220"/>
      <c r="AX221" s="220"/>
      <c r="AY221" s="220"/>
      <c r="AZ221" s="220"/>
    </row>
    <row r="222" ht="26.25" customHeight="1">
      <c r="A222" s="219"/>
      <c r="B222" s="236" t="s">
        <v>599</v>
      </c>
      <c r="C222" s="189">
        <v>16.0</v>
      </c>
      <c r="D222" s="190">
        <f t="shared" si="22"/>
        <v>2830500</v>
      </c>
      <c r="E222" s="189">
        <v>0.0</v>
      </c>
      <c r="F222" s="231">
        <f t="shared" si="23"/>
        <v>1887000</v>
      </c>
      <c r="G222" s="189">
        <v>0.0</v>
      </c>
      <c r="H222" s="231">
        <f t="shared" si="24"/>
        <v>0</v>
      </c>
      <c r="I222" s="218"/>
      <c r="J222" s="218"/>
      <c r="K222" s="218"/>
      <c r="L222" s="218"/>
      <c r="M222" s="218"/>
      <c r="N222" s="218"/>
      <c r="O222" s="218"/>
      <c r="P222" s="218"/>
      <c r="Q222" s="218"/>
      <c r="R222" s="218"/>
      <c r="S222" s="218"/>
      <c r="T222" s="218"/>
      <c r="U222" s="218"/>
      <c r="V222" s="218"/>
      <c r="W222" s="218"/>
      <c r="X222" s="218"/>
      <c r="Y222" s="218"/>
      <c r="Z222" s="218"/>
      <c r="AA222" s="218"/>
      <c r="AB222" s="218"/>
      <c r="AC222" s="218"/>
      <c r="AD222" s="218"/>
      <c r="AE222" s="218"/>
      <c r="AF222" s="218"/>
      <c r="AG222" s="218"/>
      <c r="AH222" s="218"/>
      <c r="AI222" s="218"/>
      <c r="AJ222" s="218"/>
      <c r="AK222" s="218"/>
      <c r="AL222" s="218"/>
      <c r="AM222" s="218"/>
      <c r="AN222" s="218"/>
      <c r="AO222" s="218"/>
      <c r="AP222" s="218"/>
      <c r="AQ222" s="218"/>
      <c r="AR222" s="220"/>
      <c r="AS222" s="220"/>
      <c r="AT222" s="220"/>
      <c r="AU222" s="220"/>
      <c r="AV222" s="220"/>
      <c r="AW222" s="220"/>
      <c r="AX222" s="220"/>
      <c r="AY222" s="220"/>
      <c r="AZ222" s="220"/>
    </row>
    <row r="223" ht="26.25" customHeight="1">
      <c r="A223" s="219"/>
      <c r="B223" s="236" t="s">
        <v>600</v>
      </c>
      <c r="C223" s="189">
        <v>19.0</v>
      </c>
      <c r="D223" s="190">
        <f t="shared" si="22"/>
        <v>2830500</v>
      </c>
      <c r="E223" s="189">
        <v>0.0</v>
      </c>
      <c r="F223" s="231">
        <f t="shared" si="23"/>
        <v>1887000</v>
      </c>
      <c r="G223" s="189">
        <v>0.0</v>
      </c>
      <c r="H223" s="231">
        <f t="shared" si="24"/>
        <v>0</v>
      </c>
      <c r="I223" s="218"/>
      <c r="J223" s="218"/>
      <c r="K223" s="218"/>
      <c r="L223" s="218"/>
      <c r="M223" s="218"/>
      <c r="N223" s="218"/>
      <c r="O223" s="218"/>
      <c r="P223" s="218"/>
      <c r="Q223" s="218"/>
      <c r="R223" s="218"/>
      <c r="S223" s="218"/>
      <c r="T223" s="218"/>
      <c r="U223" s="218"/>
      <c r="V223" s="218"/>
      <c r="W223" s="218"/>
      <c r="X223" s="218"/>
      <c r="Y223" s="218"/>
      <c r="Z223" s="218"/>
      <c r="AA223" s="218"/>
      <c r="AB223" s="218"/>
      <c r="AC223" s="218"/>
      <c r="AD223" s="218"/>
      <c r="AE223" s="218"/>
      <c r="AF223" s="218"/>
      <c r="AG223" s="218"/>
      <c r="AH223" s="218"/>
      <c r="AI223" s="218"/>
      <c r="AJ223" s="218"/>
      <c r="AK223" s="218"/>
      <c r="AL223" s="218"/>
      <c r="AM223" s="218"/>
      <c r="AN223" s="218"/>
      <c r="AO223" s="218"/>
      <c r="AP223" s="218"/>
      <c r="AQ223" s="218"/>
      <c r="AR223" s="220"/>
      <c r="AS223" s="220"/>
      <c r="AT223" s="220"/>
      <c r="AU223" s="220"/>
      <c r="AV223" s="220"/>
      <c r="AW223" s="220"/>
      <c r="AX223" s="220"/>
      <c r="AY223" s="220"/>
      <c r="AZ223" s="220"/>
    </row>
    <row r="224" ht="26.25" customHeight="1">
      <c r="A224" s="219"/>
      <c r="B224" s="236" t="s">
        <v>531</v>
      </c>
      <c r="C224" s="189">
        <v>17.0</v>
      </c>
      <c r="D224" s="190">
        <f t="shared" si="22"/>
        <v>2830500</v>
      </c>
      <c r="E224" s="189">
        <v>1.0</v>
      </c>
      <c r="F224" s="231">
        <f t="shared" si="23"/>
        <v>1887000</v>
      </c>
      <c r="G224" s="189">
        <v>2.0</v>
      </c>
      <c r="H224" s="231">
        <f t="shared" si="24"/>
        <v>6604500</v>
      </c>
      <c r="I224" s="218"/>
      <c r="J224" s="218"/>
      <c r="K224" s="218"/>
      <c r="L224" s="218"/>
      <c r="M224" s="218"/>
      <c r="N224" s="218"/>
      <c r="O224" s="218"/>
      <c r="P224" s="218"/>
      <c r="Q224" s="218"/>
      <c r="R224" s="218"/>
      <c r="S224" s="218"/>
      <c r="T224" s="218"/>
      <c r="U224" s="218"/>
      <c r="V224" s="218"/>
      <c r="W224" s="218"/>
      <c r="X224" s="218"/>
      <c r="Y224" s="218"/>
      <c r="Z224" s="218"/>
      <c r="AA224" s="218"/>
      <c r="AB224" s="218"/>
      <c r="AC224" s="218"/>
      <c r="AD224" s="218"/>
      <c r="AE224" s="218"/>
      <c r="AF224" s="218"/>
      <c r="AG224" s="218"/>
      <c r="AH224" s="218"/>
      <c r="AI224" s="218"/>
      <c r="AJ224" s="218"/>
      <c r="AK224" s="218"/>
      <c r="AL224" s="218"/>
      <c r="AM224" s="218"/>
      <c r="AN224" s="218"/>
      <c r="AO224" s="218"/>
      <c r="AP224" s="218"/>
      <c r="AQ224" s="218"/>
      <c r="AR224" s="220"/>
      <c r="AS224" s="220"/>
      <c r="AT224" s="220"/>
      <c r="AU224" s="220"/>
      <c r="AV224" s="220"/>
      <c r="AW224" s="220"/>
      <c r="AX224" s="220"/>
      <c r="AY224" s="220"/>
      <c r="AZ224" s="220"/>
    </row>
    <row r="225" ht="26.25" customHeight="1">
      <c r="A225" s="219"/>
      <c r="B225" s="236" t="s">
        <v>601</v>
      </c>
      <c r="C225" s="189">
        <v>17.0</v>
      </c>
      <c r="D225" s="190">
        <f t="shared" si="22"/>
        <v>2830500</v>
      </c>
      <c r="E225" s="189">
        <v>1.0</v>
      </c>
      <c r="F225" s="231">
        <f t="shared" si="23"/>
        <v>1887000</v>
      </c>
      <c r="G225" s="189">
        <v>2.0</v>
      </c>
      <c r="H225" s="231">
        <f t="shared" si="24"/>
        <v>6604500</v>
      </c>
      <c r="I225" s="218"/>
      <c r="J225" s="218"/>
      <c r="K225" s="218"/>
      <c r="L225" s="218"/>
      <c r="M225" s="218"/>
      <c r="N225" s="218"/>
      <c r="O225" s="218"/>
      <c r="P225" s="218"/>
      <c r="Q225" s="218"/>
      <c r="R225" s="218"/>
      <c r="S225" s="218"/>
      <c r="T225" s="218"/>
      <c r="U225" s="218"/>
      <c r="V225" s="218"/>
      <c r="W225" s="218"/>
      <c r="X225" s="218"/>
      <c r="Y225" s="218"/>
      <c r="Z225" s="218"/>
      <c r="AA225" s="218"/>
      <c r="AB225" s="218"/>
      <c r="AC225" s="218"/>
      <c r="AD225" s="218"/>
      <c r="AE225" s="218"/>
      <c r="AF225" s="218"/>
      <c r="AG225" s="218"/>
      <c r="AH225" s="218"/>
      <c r="AI225" s="218"/>
      <c r="AJ225" s="218"/>
      <c r="AK225" s="218"/>
      <c r="AL225" s="218"/>
      <c r="AM225" s="218"/>
      <c r="AN225" s="218"/>
      <c r="AO225" s="218"/>
      <c r="AP225" s="218"/>
      <c r="AQ225" s="218"/>
      <c r="AR225" s="220"/>
      <c r="AS225" s="220"/>
      <c r="AT225" s="220"/>
      <c r="AU225" s="220"/>
      <c r="AV225" s="220"/>
      <c r="AW225" s="220"/>
      <c r="AX225" s="220"/>
      <c r="AY225" s="220"/>
      <c r="AZ225" s="220"/>
    </row>
    <row r="226" ht="26.25" customHeight="1">
      <c r="A226" s="219"/>
      <c r="B226" s="236" t="s">
        <v>602</v>
      </c>
      <c r="C226" s="189">
        <v>19.0</v>
      </c>
      <c r="D226" s="190">
        <f t="shared" si="22"/>
        <v>2830500</v>
      </c>
      <c r="E226" s="189">
        <v>1.0</v>
      </c>
      <c r="F226" s="231">
        <f t="shared" si="23"/>
        <v>1887000</v>
      </c>
      <c r="G226" s="189">
        <v>2.0</v>
      </c>
      <c r="H226" s="231">
        <f t="shared" si="24"/>
        <v>6604500</v>
      </c>
      <c r="I226" s="218"/>
      <c r="J226" s="218"/>
      <c r="K226" s="218"/>
      <c r="L226" s="218"/>
      <c r="M226" s="218"/>
      <c r="N226" s="218"/>
      <c r="O226" s="218"/>
      <c r="P226" s="218"/>
      <c r="Q226" s="218"/>
      <c r="R226" s="218"/>
      <c r="S226" s="218"/>
      <c r="T226" s="218"/>
      <c r="U226" s="218"/>
      <c r="V226" s="218"/>
      <c r="W226" s="218"/>
      <c r="X226" s="218"/>
      <c r="Y226" s="218"/>
      <c r="Z226" s="218"/>
      <c r="AA226" s="218"/>
      <c r="AB226" s="218"/>
      <c r="AC226" s="218"/>
      <c r="AD226" s="218"/>
      <c r="AE226" s="218"/>
      <c r="AF226" s="218"/>
      <c r="AG226" s="218"/>
      <c r="AH226" s="218"/>
      <c r="AI226" s="218"/>
      <c r="AJ226" s="218"/>
      <c r="AK226" s="218"/>
      <c r="AL226" s="218"/>
      <c r="AM226" s="218"/>
      <c r="AN226" s="218"/>
      <c r="AO226" s="218"/>
      <c r="AP226" s="218"/>
      <c r="AQ226" s="218"/>
      <c r="AR226" s="220"/>
      <c r="AS226" s="220"/>
      <c r="AT226" s="220"/>
      <c r="AU226" s="220"/>
      <c r="AV226" s="220"/>
      <c r="AW226" s="220"/>
      <c r="AX226" s="220"/>
      <c r="AY226" s="220"/>
      <c r="AZ226" s="220"/>
    </row>
    <row r="227" ht="26.25" customHeight="1">
      <c r="A227" s="219"/>
      <c r="B227" s="236" t="s">
        <v>603</v>
      </c>
      <c r="C227" s="189">
        <v>17.0</v>
      </c>
      <c r="D227" s="190">
        <f t="shared" si="22"/>
        <v>2830500</v>
      </c>
      <c r="E227" s="189">
        <v>0.0</v>
      </c>
      <c r="F227" s="231">
        <f t="shared" si="23"/>
        <v>1887000</v>
      </c>
      <c r="G227" s="189">
        <v>0.0</v>
      </c>
      <c r="H227" s="231">
        <f t="shared" si="24"/>
        <v>0</v>
      </c>
      <c r="I227" s="218"/>
      <c r="J227" s="218"/>
      <c r="K227" s="218"/>
      <c r="L227" s="218"/>
      <c r="M227" s="218"/>
      <c r="N227" s="218"/>
      <c r="O227" s="218"/>
      <c r="P227" s="218"/>
      <c r="Q227" s="218"/>
      <c r="R227" s="218"/>
      <c r="S227" s="218"/>
      <c r="T227" s="218"/>
      <c r="U227" s="218"/>
      <c r="V227" s="218"/>
      <c r="W227" s="218"/>
      <c r="X227" s="218"/>
      <c r="Y227" s="218"/>
      <c r="Z227" s="218"/>
      <c r="AA227" s="218"/>
      <c r="AB227" s="218"/>
      <c r="AC227" s="218"/>
      <c r="AD227" s="218"/>
      <c r="AE227" s="218"/>
      <c r="AF227" s="218"/>
      <c r="AG227" s="218"/>
      <c r="AH227" s="218"/>
      <c r="AI227" s="218"/>
      <c r="AJ227" s="218"/>
      <c r="AK227" s="218"/>
      <c r="AL227" s="218"/>
      <c r="AM227" s="218"/>
      <c r="AN227" s="218"/>
      <c r="AO227" s="218"/>
      <c r="AP227" s="218"/>
      <c r="AQ227" s="218"/>
      <c r="AR227" s="220"/>
      <c r="AS227" s="220"/>
      <c r="AT227" s="220"/>
      <c r="AU227" s="220"/>
      <c r="AV227" s="220"/>
      <c r="AW227" s="220"/>
      <c r="AX227" s="220"/>
      <c r="AY227" s="220"/>
      <c r="AZ227" s="220"/>
    </row>
    <row r="228" ht="26.25" customHeight="1">
      <c r="A228" s="219"/>
      <c r="B228" s="236" t="s">
        <v>604</v>
      </c>
      <c r="C228" s="189">
        <v>18.0</v>
      </c>
      <c r="D228" s="190">
        <f t="shared" si="22"/>
        <v>2830500</v>
      </c>
      <c r="E228" s="189">
        <v>2.0</v>
      </c>
      <c r="F228" s="231">
        <f t="shared" si="23"/>
        <v>1887000</v>
      </c>
      <c r="G228" s="189">
        <v>2.0</v>
      </c>
      <c r="H228" s="231">
        <f t="shared" si="24"/>
        <v>9435000</v>
      </c>
      <c r="I228" s="218"/>
      <c r="J228" s="218"/>
      <c r="K228" s="218"/>
      <c r="L228" s="218"/>
      <c r="M228" s="218"/>
      <c r="N228" s="218"/>
      <c r="O228" s="218"/>
      <c r="P228" s="218"/>
      <c r="Q228" s="218"/>
      <c r="R228" s="218"/>
      <c r="S228" s="218"/>
      <c r="T228" s="218"/>
      <c r="U228" s="218"/>
      <c r="V228" s="218"/>
      <c r="W228" s="218"/>
      <c r="X228" s="218"/>
      <c r="Y228" s="218"/>
      <c r="Z228" s="218"/>
      <c r="AA228" s="218"/>
      <c r="AB228" s="218"/>
      <c r="AC228" s="218"/>
      <c r="AD228" s="218"/>
      <c r="AE228" s="218"/>
      <c r="AF228" s="218"/>
      <c r="AG228" s="218"/>
      <c r="AH228" s="218"/>
      <c r="AI228" s="218"/>
      <c r="AJ228" s="218"/>
      <c r="AK228" s="218"/>
      <c r="AL228" s="218"/>
      <c r="AM228" s="218"/>
      <c r="AN228" s="218"/>
      <c r="AO228" s="218"/>
      <c r="AP228" s="218"/>
      <c r="AQ228" s="218"/>
      <c r="AR228" s="220"/>
      <c r="AS228" s="220"/>
      <c r="AT228" s="220"/>
      <c r="AU228" s="220"/>
      <c r="AV228" s="220"/>
      <c r="AW228" s="220"/>
      <c r="AX228" s="220"/>
      <c r="AY228" s="220"/>
      <c r="AZ228" s="220"/>
    </row>
    <row r="229" ht="26.25" customHeight="1">
      <c r="A229" s="219"/>
      <c r="B229" s="236" t="s">
        <v>605</v>
      </c>
      <c r="C229" s="189">
        <v>19.0</v>
      </c>
      <c r="D229" s="190">
        <f t="shared" si="22"/>
        <v>2830500</v>
      </c>
      <c r="E229" s="189">
        <v>3.0</v>
      </c>
      <c r="F229" s="231">
        <f t="shared" si="23"/>
        <v>1887000</v>
      </c>
      <c r="G229" s="189">
        <v>4.0</v>
      </c>
      <c r="H229" s="231">
        <f t="shared" si="24"/>
        <v>16039500</v>
      </c>
      <c r="I229" s="218"/>
      <c r="J229" s="218"/>
      <c r="K229" s="218"/>
      <c r="L229" s="218"/>
      <c r="M229" s="218"/>
      <c r="N229" s="218"/>
      <c r="O229" s="218"/>
      <c r="P229" s="218"/>
      <c r="Q229" s="218"/>
      <c r="R229" s="218"/>
      <c r="S229" s="218"/>
      <c r="T229" s="218"/>
      <c r="U229" s="218"/>
      <c r="V229" s="218"/>
      <c r="W229" s="218"/>
      <c r="X229" s="218"/>
      <c r="Y229" s="218"/>
      <c r="Z229" s="218"/>
      <c r="AA229" s="218"/>
      <c r="AB229" s="218"/>
      <c r="AC229" s="218"/>
      <c r="AD229" s="218"/>
      <c r="AE229" s="218"/>
      <c r="AF229" s="218"/>
      <c r="AG229" s="218"/>
      <c r="AH229" s="218"/>
      <c r="AI229" s="218"/>
      <c r="AJ229" s="218"/>
      <c r="AK229" s="218"/>
      <c r="AL229" s="218"/>
      <c r="AM229" s="218"/>
      <c r="AN229" s="218"/>
      <c r="AO229" s="218"/>
      <c r="AP229" s="218"/>
      <c r="AQ229" s="218"/>
      <c r="AR229" s="220"/>
      <c r="AS229" s="220"/>
      <c r="AT229" s="220"/>
      <c r="AU229" s="220"/>
      <c r="AV229" s="220"/>
      <c r="AW229" s="220"/>
      <c r="AX229" s="220"/>
      <c r="AY229" s="220"/>
      <c r="AZ229" s="220"/>
    </row>
    <row r="230" ht="26.25" customHeight="1">
      <c r="A230" s="219"/>
      <c r="B230" s="236" t="s">
        <v>606</v>
      </c>
      <c r="C230" s="189">
        <v>16.0</v>
      </c>
      <c r="D230" s="190">
        <f t="shared" si="22"/>
        <v>2830500</v>
      </c>
      <c r="E230" s="189">
        <v>3.0</v>
      </c>
      <c r="F230" s="231">
        <f t="shared" si="23"/>
        <v>1887000</v>
      </c>
      <c r="G230" s="189">
        <v>4.0</v>
      </c>
      <c r="H230" s="231">
        <f t="shared" si="24"/>
        <v>16039500</v>
      </c>
      <c r="I230" s="218"/>
      <c r="J230" s="218"/>
      <c r="K230" s="218"/>
      <c r="L230" s="218"/>
      <c r="M230" s="218"/>
      <c r="N230" s="218"/>
      <c r="O230" s="218"/>
      <c r="P230" s="218"/>
      <c r="Q230" s="218"/>
      <c r="R230" s="218"/>
      <c r="S230" s="218"/>
      <c r="T230" s="218"/>
      <c r="U230" s="218"/>
      <c r="V230" s="218"/>
      <c r="W230" s="218"/>
      <c r="X230" s="218"/>
      <c r="Y230" s="218"/>
      <c r="Z230" s="218"/>
      <c r="AA230" s="218"/>
      <c r="AB230" s="218"/>
      <c r="AC230" s="218"/>
      <c r="AD230" s="218"/>
      <c r="AE230" s="218"/>
      <c r="AF230" s="218"/>
      <c r="AG230" s="218"/>
      <c r="AH230" s="218"/>
      <c r="AI230" s="218"/>
      <c r="AJ230" s="218"/>
      <c r="AK230" s="218"/>
      <c r="AL230" s="218"/>
      <c r="AM230" s="218"/>
      <c r="AN230" s="218"/>
      <c r="AO230" s="218"/>
      <c r="AP230" s="218"/>
      <c r="AQ230" s="218"/>
      <c r="AR230" s="220"/>
      <c r="AS230" s="220"/>
      <c r="AT230" s="220"/>
      <c r="AU230" s="220"/>
      <c r="AV230" s="220"/>
      <c r="AW230" s="220"/>
      <c r="AX230" s="220"/>
      <c r="AY230" s="220"/>
      <c r="AZ230" s="220"/>
    </row>
    <row r="231" ht="26.25" customHeight="1">
      <c r="A231" s="219"/>
      <c r="B231" s="236" t="s">
        <v>607</v>
      </c>
      <c r="C231" s="189">
        <v>18.0</v>
      </c>
      <c r="D231" s="190">
        <f t="shared" si="22"/>
        <v>2830500</v>
      </c>
      <c r="E231" s="189">
        <v>3.0</v>
      </c>
      <c r="F231" s="231">
        <f t="shared" si="23"/>
        <v>1887000</v>
      </c>
      <c r="G231" s="189">
        <v>4.0</v>
      </c>
      <c r="H231" s="231">
        <f t="shared" si="24"/>
        <v>16039500</v>
      </c>
      <c r="I231" s="218"/>
      <c r="J231" s="218"/>
      <c r="K231" s="218"/>
      <c r="L231" s="218"/>
      <c r="M231" s="218"/>
      <c r="N231" s="218"/>
      <c r="O231" s="218"/>
      <c r="P231" s="218"/>
      <c r="Q231" s="218"/>
      <c r="R231" s="218"/>
      <c r="S231" s="218"/>
      <c r="T231" s="218"/>
      <c r="U231" s="218"/>
      <c r="V231" s="218"/>
      <c r="W231" s="218"/>
      <c r="X231" s="218"/>
      <c r="Y231" s="218"/>
      <c r="Z231" s="218"/>
      <c r="AA231" s="218"/>
      <c r="AB231" s="218"/>
      <c r="AC231" s="218"/>
      <c r="AD231" s="218"/>
      <c r="AE231" s="218"/>
      <c r="AF231" s="218"/>
      <c r="AG231" s="218"/>
      <c r="AH231" s="218"/>
      <c r="AI231" s="218"/>
      <c r="AJ231" s="218"/>
      <c r="AK231" s="218"/>
      <c r="AL231" s="218"/>
      <c r="AM231" s="218"/>
      <c r="AN231" s="218"/>
      <c r="AO231" s="218"/>
      <c r="AP231" s="218"/>
      <c r="AQ231" s="218"/>
      <c r="AR231" s="220"/>
      <c r="AS231" s="220"/>
      <c r="AT231" s="220"/>
      <c r="AU231" s="220"/>
      <c r="AV231" s="220"/>
      <c r="AW231" s="220"/>
      <c r="AX231" s="220"/>
      <c r="AY231" s="220"/>
      <c r="AZ231" s="220"/>
    </row>
    <row r="232" ht="26.25" customHeight="1">
      <c r="A232" s="219"/>
      <c r="B232" s="236" t="s">
        <v>608</v>
      </c>
      <c r="C232" s="189">
        <v>16.0</v>
      </c>
      <c r="D232" s="190">
        <f t="shared" si="22"/>
        <v>2830500</v>
      </c>
      <c r="E232" s="189">
        <v>3.0</v>
      </c>
      <c r="F232" s="231">
        <f t="shared" si="23"/>
        <v>1887000</v>
      </c>
      <c r="G232" s="189">
        <v>4.0</v>
      </c>
      <c r="H232" s="231">
        <f t="shared" si="24"/>
        <v>16039500</v>
      </c>
      <c r="I232" s="218"/>
      <c r="J232" s="218"/>
      <c r="K232" s="218"/>
      <c r="L232" s="218"/>
      <c r="M232" s="218"/>
      <c r="N232" s="218"/>
      <c r="O232" s="218"/>
      <c r="P232" s="218"/>
      <c r="Q232" s="218"/>
      <c r="R232" s="218"/>
      <c r="S232" s="218"/>
      <c r="T232" s="218"/>
      <c r="U232" s="218"/>
      <c r="V232" s="218"/>
      <c r="W232" s="218"/>
      <c r="X232" s="218"/>
      <c r="Y232" s="218"/>
      <c r="Z232" s="218"/>
      <c r="AA232" s="218"/>
      <c r="AB232" s="218"/>
      <c r="AC232" s="218"/>
      <c r="AD232" s="218"/>
      <c r="AE232" s="218"/>
      <c r="AF232" s="218"/>
      <c r="AG232" s="218"/>
      <c r="AH232" s="218"/>
      <c r="AI232" s="218"/>
      <c r="AJ232" s="218"/>
      <c r="AK232" s="218"/>
      <c r="AL232" s="218"/>
      <c r="AM232" s="218"/>
      <c r="AN232" s="218"/>
      <c r="AO232" s="218"/>
      <c r="AP232" s="218"/>
      <c r="AQ232" s="218"/>
      <c r="AR232" s="220"/>
      <c r="AS232" s="220"/>
      <c r="AT232" s="220"/>
      <c r="AU232" s="220"/>
      <c r="AV232" s="220"/>
      <c r="AW232" s="220"/>
      <c r="AX232" s="220"/>
      <c r="AY232" s="220"/>
      <c r="AZ232" s="220"/>
    </row>
    <row r="233" ht="26.25" customHeight="1">
      <c r="A233" s="219"/>
      <c r="B233" s="218"/>
      <c r="C233" s="218"/>
      <c r="D233" s="218"/>
      <c r="E233" s="218"/>
      <c r="F233" s="218"/>
      <c r="G233" s="218"/>
      <c r="H233" s="218"/>
      <c r="I233" s="218"/>
      <c r="J233" s="218"/>
      <c r="K233" s="218"/>
      <c r="L233" s="218"/>
      <c r="M233" s="218"/>
      <c r="N233" s="218"/>
      <c r="O233" s="218"/>
      <c r="P233" s="218"/>
      <c r="Q233" s="218"/>
      <c r="R233" s="218"/>
      <c r="S233" s="218"/>
      <c r="T233" s="218"/>
      <c r="U233" s="218"/>
      <c r="V233" s="218"/>
      <c r="W233" s="218"/>
      <c r="X233" s="218"/>
      <c r="Y233" s="218"/>
      <c r="Z233" s="218"/>
      <c r="AA233" s="218"/>
      <c r="AB233" s="218"/>
      <c r="AC233" s="218"/>
      <c r="AD233" s="218"/>
      <c r="AE233" s="218"/>
      <c r="AF233" s="218"/>
      <c r="AG233" s="218"/>
      <c r="AH233" s="218"/>
      <c r="AI233" s="218"/>
      <c r="AJ233" s="218"/>
      <c r="AK233" s="218"/>
      <c r="AL233" s="218"/>
      <c r="AM233" s="218"/>
      <c r="AN233" s="218"/>
      <c r="AO233" s="218"/>
      <c r="AP233" s="218"/>
      <c r="AQ233" s="218"/>
      <c r="AR233" s="220"/>
      <c r="AS233" s="220"/>
      <c r="AT233" s="220"/>
      <c r="AU233" s="220"/>
      <c r="AV233" s="220"/>
      <c r="AW233" s="220"/>
      <c r="AX233" s="220"/>
      <c r="AY233" s="220"/>
      <c r="AZ233" s="220"/>
    </row>
    <row r="234" ht="26.25" customHeight="1">
      <c r="A234" s="219"/>
      <c r="B234" s="271" t="s">
        <v>540</v>
      </c>
      <c r="C234" s="271" t="s">
        <v>609</v>
      </c>
      <c r="D234" s="250" t="s">
        <v>549</v>
      </c>
      <c r="E234" s="251">
        <v>1850.0</v>
      </c>
      <c r="F234" s="218"/>
      <c r="G234" s="218"/>
      <c r="H234" s="218"/>
      <c r="I234" s="218"/>
      <c r="J234" s="218"/>
      <c r="K234" s="218"/>
      <c r="L234" s="218"/>
      <c r="M234" s="218"/>
      <c r="N234" s="218"/>
      <c r="O234" s="218"/>
      <c r="P234" s="218"/>
      <c r="Q234" s="218"/>
      <c r="R234" s="218"/>
      <c r="S234" s="218"/>
      <c r="T234" s="218"/>
      <c r="U234" s="218"/>
      <c r="V234" s="218"/>
      <c r="W234" s="218"/>
      <c r="X234" s="218"/>
      <c r="Y234" s="218"/>
      <c r="Z234" s="218"/>
      <c r="AA234" s="218"/>
      <c r="AB234" s="218"/>
      <c r="AC234" s="218"/>
      <c r="AD234" s="218"/>
      <c r="AE234" s="218"/>
      <c r="AF234" s="218"/>
      <c r="AG234" s="218"/>
      <c r="AH234" s="218"/>
      <c r="AI234" s="218"/>
      <c r="AJ234" s="218"/>
      <c r="AK234" s="218"/>
      <c r="AL234" s="218"/>
      <c r="AM234" s="218"/>
      <c r="AN234" s="218"/>
      <c r="AO234" s="218"/>
      <c r="AP234" s="218"/>
      <c r="AQ234" s="218"/>
      <c r="AR234" s="220"/>
      <c r="AS234" s="220"/>
      <c r="AT234" s="220"/>
      <c r="AU234" s="220"/>
      <c r="AV234" s="220"/>
      <c r="AW234" s="220"/>
      <c r="AX234" s="220"/>
      <c r="AY234" s="220"/>
      <c r="AZ234" s="220"/>
    </row>
    <row r="235" ht="26.25" customHeight="1">
      <c r="A235" s="219"/>
      <c r="B235" s="262" t="s">
        <v>610</v>
      </c>
      <c r="C235" s="262">
        <f>1500*E234*E236</f>
        <v>2830500</v>
      </c>
      <c r="D235" s="218"/>
      <c r="E235" s="218"/>
      <c r="F235" s="218"/>
      <c r="G235" s="218"/>
      <c r="H235" s="218"/>
      <c r="I235" s="218"/>
      <c r="J235" s="218"/>
      <c r="K235" s="218"/>
      <c r="L235" s="218"/>
      <c r="M235" s="218"/>
      <c r="N235" s="218"/>
      <c r="O235" s="218"/>
      <c r="P235" s="218"/>
      <c r="Q235" s="218"/>
      <c r="R235" s="218"/>
      <c r="S235" s="218"/>
      <c r="T235" s="218"/>
      <c r="U235" s="218"/>
      <c r="V235" s="218"/>
      <c r="W235" s="218"/>
      <c r="X235" s="218"/>
      <c r="Y235" s="218"/>
      <c r="Z235" s="218"/>
      <c r="AA235" s="218"/>
      <c r="AB235" s="218"/>
      <c r="AC235" s="218"/>
      <c r="AD235" s="218"/>
      <c r="AE235" s="218"/>
      <c r="AF235" s="218"/>
      <c r="AG235" s="218"/>
      <c r="AH235" s="218"/>
      <c r="AI235" s="218"/>
      <c r="AJ235" s="218"/>
      <c r="AK235" s="218"/>
      <c r="AL235" s="218"/>
      <c r="AM235" s="218"/>
      <c r="AN235" s="218"/>
      <c r="AO235" s="218"/>
      <c r="AP235" s="218"/>
      <c r="AQ235" s="218"/>
      <c r="AR235" s="220"/>
      <c r="AS235" s="220"/>
      <c r="AT235" s="220"/>
      <c r="AU235" s="220"/>
      <c r="AV235" s="220"/>
      <c r="AW235" s="220"/>
      <c r="AX235" s="220"/>
      <c r="AY235" s="220"/>
      <c r="AZ235" s="220"/>
    </row>
    <row r="236" ht="26.25" customHeight="1">
      <c r="A236" s="219"/>
      <c r="B236" s="262" t="s">
        <v>611</v>
      </c>
      <c r="C236" s="262">
        <f>1000*E234*E236</f>
        <v>1887000</v>
      </c>
      <c r="D236" s="252" t="s">
        <v>613</v>
      </c>
      <c r="E236" s="253">
        <v>1.02</v>
      </c>
      <c r="F236" s="218"/>
      <c r="G236" s="218"/>
      <c r="H236" s="218"/>
      <c r="I236" s="218"/>
      <c r="J236" s="218"/>
      <c r="K236" s="218"/>
      <c r="L236" s="218"/>
      <c r="M236" s="218"/>
      <c r="N236" s="218"/>
      <c r="O236" s="218"/>
      <c r="P236" s="218"/>
      <c r="Q236" s="218"/>
      <c r="R236" s="218"/>
      <c r="S236" s="218"/>
      <c r="T236" s="218"/>
      <c r="U236" s="218"/>
      <c r="V236" s="218"/>
      <c r="W236" s="218"/>
      <c r="X236" s="218"/>
      <c r="Y236" s="218"/>
      <c r="Z236" s="218"/>
      <c r="AA236" s="218"/>
      <c r="AB236" s="218"/>
      <c r="AC236" s="218"/>
      <c r="AD236" s="218"/>
      <c r="AE236" s="218"/>
      <c r="AF236" s="218"/>
      <c r="AG236" s="218"/>
      <c r="AH236" s="218"/>
      <c r="AI236" s="218"/>
      <c r="AJ236" s="218"/>
      <c r="AK236" s="218"/>
      <c r="AL236" s="218"/>
      <c r="AM236" s="218"/>
      <c r="AN236" s="218"/>
      <c r="AO236" s="218"/>
      <c r="AP236" s="218"/>
      <c r="AQ236" s="218"/>
      <c r="AR236" s="220"/>
      <c r="AS236" s="220"/>
      <c r="AT236" s="220"/>
      <c r="AU236" s="220"/>
      <c r="AV236" s="220"/>
      <c r="AW236" s="220"/>
      <c r="AX236" s="220"/>
      <c r="AY236" s="220"/>
      <c r="AZ236" s="220"/>
    </row>
    <row r="237" ht="26.25" customHeight="1">
      <c r="A237" s="219"/>
      <c r="B237" s="218"/>
      <c r="C237" s="218"/>
      <c r="D237" s="218"/>
      <c r="E237" s="218"/>
      <c r="F237" s="218"/>
      <c r="G237" s="218"/>
      <c r="H237" s="218"/>
      <c r="I237" s="218"/>
      <c r="J237" s="218"/>
      <c r="K237" s="218"/>
      <c r="L237" s="218"/>
      <c r="M237" s="218"/>
      <c r="N237" s="218"/>
      <c r="O237" s="218"/>
      <c r="P237" s="218"/>
      <c r="Q237" s="218"/>
      <c r="R237" s="218"/>
      <c r="S237" s="218"/>
      <c r="T237" s="218"/>
      <c r="U237" s="218"/>
      <c r="V237" s="218"/>
      <c r="W237" s="218"/>
      <c r="X237" s="218"/>
      <c r="Y237" s="218"/>
      <c r="Z237" s="218"/>
      <c r="AA237" s="218"/>
      <c r="AB237" s="218"/>
      <c r="AC237" s="218"/>
      <c r="AD237" s="218"/>
      <c r="AE237" s="218"/>
      <c r="AF237" s="218"/>
      <c r="AG237" s="218"/>
      <c r="AH237" s="218"/>
      <c r="AI237" s="218"/>
      <c r="AJ237" s="218"/>
      <c r="AK237" s="218"/>
      <c r="AL237" s="218"/>
      <c r="AM237" s="218"/>
      <c r="AN237" s="218"/>
      <c r="AO237" s="218"/>
      <c r="AP237" s="218"/>
      <c r="AQ237" s="218"/>
      <c r="AR237" s="220"/>
      <c r="AS237" s="220"/>
      <c r="AT237" s="220"/>
      <c r="AU237" s="220"/>
      <c r="AV237" s="220"/>
      <c r="AW237" s="220"/>
      <c r="AX237" s="220"/>
      <c r="AY237" s="220"/>
      <c r="AZ237" s="220"/>
    </row>
    <row r="238" ht="24.0" customHeight="1">
      <c r="A238" s="272"/>
      <c r="B238" s="268" t="s">
        <v>614</v>
      </c>
      <c r="C238" s="47"/>
      <c r="D238" s="47"/>
      <c r="E238" s="47"/>
      <c r="F238" s="47"/>
      <c r="G238" s="47"/>
      <c r="H238" s="47"/>
      <c r="I238" s="220"/>
      <c r="J238" s="220"/>
      <c r="K238" s="220"/>
      <c r="L238" s="220"/>
      <c r="M238" s="220"/>
      <c r="N238" s="220"/>
      <c r="O238" s="220"/>
      <c r="P238" s="220"/>
      <c r="Q238" s="220"/>
      <c r="R238" s="220"/>
      <c r="S238" s="220"/>
      <c r="T238" s="220"/>
      <c r="U238" s="220"/>
      <c r="V238" s="220"/>
      <c r="W238" s="220"/>
      <c r="X238" s="220"/>
      <c r="Y238" s="220"/>
      <c r="Z238" s="220"/>
      <c r="AA238" s="220"/>
      <c r="AB238" s="220"/>
      <c r="AC238" s="220"/>
      <c r="AD238" s="220"/>
      <c r="AE238" s="220"/>
      <c r="AF238" s="220"/>
      <c r="AG238" s="220"/>
      <c r="AH238" s="220"/>
      <c r="AI238" s="220"/>
      <c r="AJ238" s="220"/>
      <c r="AK238" s="220"/>
      <c r="AL238" s="220"/>
      <c r="AM238" s="220"/>
      <c r="AN238" s="220"/>
      <c r="AO238" s="220"/>
      <c r="AP238" s="220"/>
      <c r="AQ238" s="220"/>
      <c r="AR238" s="220"/>
      <c r="AS238" s="220"/>
      <c r="AT238" s="220"/>
      <c r="AU238" s="220"/>
      <c r="AV238" s="220"/>
      <c r="AW238" s="220"/>
      <c r="AX238" s="220"/>
      <c r="AY238" s="220"/>
      <c r="AZ238" s="220"/>
    </row>
    <row r="239" ht="52.5" customHeight="1">
      <c r="A239" s="272"/>
      <c r="B239" s="269" t="s">
        <v>520</v>
      </c>
      <c r="C239" s="269" t="s">
        <v>521</v>
      </c>
      <c r="D239" s="270" t="s">
        <v>594</v>
      </c>
      <c r="E239" s="270" t="s">
        <v>595</v>
      </c>
      <c r="F239" s="270" t="s">
        <v>596</v>
      </c>
      <c r="G239" s="270" t="s">
        <v>597</v>
      </c>
      <c r="H239" s="269" t="s">
        <v>527</v>
      </c>
      <c r="I239" s="220"/>
      <c r="J239" s="220"/>
      <c r="K239" s="220"/>
      <c r="L239" s="220"/>
      <c r="M239" s="220"/>
      <c r="N239" s="220"/>
      <c r="O239" s="220"/>
      <c r="P239" s="220"/>
      <c r="Q239" s="220"/>
      <c r="R239" s="220"/>
      <c r="S239" s="220"/>
      <c r="T239" s="220"/>
      <c r="U239" s="220"/>
      <c r="V239" s="220"/>
      <c r="W239" s="220"/>
      <c r="X239" s="220"/>
      <c r="Y239" s="220"/>
      <c r="Z239" s="220"/>
      <c r="AA239" s="220"/>
      <c r="AB239" s="220"/>
      <c r="AC239" s="220"/>
      <c r="AD239" s="220"/>
      <c r="AE239" s="220"/>
      <c r="AF239" s="220"/>
      <c r="AG239" s="220"/>
      <c r="AH239" s="220"/>
      <c r="AI239" s="220"/>
      <c r="AJ239" s="220"/>
      <c r="AK239" s="220"/>
      <c r="AL239" s="220"/>
      <c r="AM239" s="220"/>
      <c r="AN239" s="220"/>
      <c r="AO239" s="220"/>
      <c r="AP239" s="220"/>
      <c r="AQ239" s="220"/>
      <c r="AR239" s="220"/>
      <c r="AS239" s="220"/>
      <c r="AT239" s="220"/>
      <c r="AU239" s="220"/>
      <c r="AV239" s="220"/>
      <c r="AW239" s="220"/>
      <c r="AX239" s="220"/>
      <c r="AY239" s="220"/>
      <c r="AZ239" s="220"/>
    </row>
    <row r="240" ht="25.5" customHeight="1">
      <c r="A240" s="272"/>
      <c r="B240" s="236" t="s">
        <v>598</v>
      </c>
      <c r="C240" s="189">
        <v>19.0</v>
      </c>
      <c r="D240" s="190">
        <f t="shared" ref="D240:D251" si="25">$C$254</f>
        <v>3213000</v>
      </c>
      <c r="E240" s="189">
        <v>0.0</v>
      </c>
      <c r="F240" s="231">
        <f t="shared" ref="F240:F251" si="26">$C$255</f>
        <v>2142000</v>
      </c>
      <c r="G240" s="189">
        <v>0.0</v>
      </c>
      <c r="H240" s="231">
        <f t="shared" ref="H240:H251" si="27">D240*E240+F240*G240</f>
        <v>0</v>
      </c>
      <c r="I240" s="220"/>
      <c r="J240" s="220"/>
      <c r="K240" s="220"/>
      <c r="L240" s="220"/>
      <c r="M240" s="220"/>
      <c r="N240" s="220"/>
      <c r="O240" s="220"/>
      <c r="P240" s="220"/>
      <c r="Q240" s="220"/>
      <c r="R240" s="220"/>
      <c r="S240" s="220"/>
      <c r="T240" s="220"/>
      <c r="U240" s="220"/>
      <c r="V240" s="220"/>
      <c r="W240" s="220"/>
      <c r="X240" s="220"/>
      <c r="Y240" s="220"/>
      <c r="Z240" s="220"/>
      <c r="AA240" s="220"/>
      <c r="AB240" s="220"/>
      <c r="AC240" s="220"/>
      <c r="AD240" s="220"/>
      <c r="AE240" s="220"/>
      <c r="AF240" s="220"/>
      <c r="AG240" s="220"/>
      <c r="AH240" s="220"/>
      <c r="AI240" s="220"/>
      <c r="AJ240" s="220"/>
      <c r="AK240" s="220"/>
      <c r="AL240" s="220"/>
      <c r="AM240" s="220"/>
      <c r="AN240" s="220"/>
      <c r="AO240" s="220"/>
      <c r="AP240" s="220"/>
      <c r="AQ240" s="220"/>
      <c r="AR240" s="220"/>
      <c r="AS240" s="220"/>
      <c r="AT240" s="220"/>
      <c r="AU240" s="220"/>
      <c r="AV240" s="220"/>
      <c r="AW240" s="220"/>
      <c r="AX240" s="220"/>
      <c r="AY240" s="220"/>
      <c r="AZ240" s="220"/>
    </row>
    <row r="241" ht="25.5" customHeight="1">
      <c r="A241" s="272"/>
      <c r="B241" s="236" t="s">
        <v>599</v>
      </c>
      <c r="C241" s="189">
        <v>16.0</v>
      </c>
      <c r="D241" s="190">
        <f t="shared" si="25"/>
        <v>3213000</v>
      </c>
      <c r="E241" s="189">
        <v>0.0</v>
      </c>
      <c r="F241" s="231">
        <f t="shared" si="26"/>
        <v>2142000</v>
      </c>
      <c r="G241" s="189">
        <v>0.0</v>
      </c>
      <c r="H241" s="231">
        <f t="shared" si="27"/>
        <v>0</v>
      </c>
      <c r="I241" s="220"/>
      <c r="J241" s="220"/>
      <c r="K241" s="220"/>
      <c r="L241" s="220"/>
      <c r="M241" s="220"/>
      <c r="N241" s="220"/>
      <c r="O241" s="220"/>
      <c r="P241" s="220"/>
      <c r="Q241" s="220"/>
      <c r="R241" s="220"/>
      <c r="S241" s="220"/>
      <c r="T241" s="220"/>
      <c r="U241" s="220"/>
      <c r="V241" s="220"/>
      <c r="W241" s="220"/>
      <c r="X241" s="220"/>
      <c r="Y241" s="220"/>
      <c r="Z241" s="220"/>
      <c r="AA241" s="220"/>
      <c r="AB241" s="220"/>
      <c r="AC241" s="220"/>
      <c r="AD241" s="220"/>
      <c r="AE241" s="220"/>
      <c r="AF241" s="220"/>
      <c r="AG241" s="220"/>
      <c r="AH241" s="220"/>
      <c r="AI241" s="220"/>
      <c r="AJ241" s="220"/>
      <c r="AK241" s="220"/>
      <c r="AL241" s="220"/>
      <c r="AM241" s="220"/>
      <c r="AN241" s="220"/>
      <c r="AO241" s="220"/>
      <c r="AP241" s="220"/>
      <c r="AQ241" s="220"/>
      <c r="AR241" s="220"/>
      <c r="AS241" s="220"/>
      <c r="AT241" s="220"/>
      <c r="AU241" s="220"/>
      <c r="AV241" s="220"/>
      <c r="AW241" s="220"/>
      <c r="AX241" s="220"/>
      <c r="AY241" s="220"/>
      <c r="AZ241" s="220"/>
    </row>
    <row r="242" ht="25.5" customHeight="1">
      <c r="A242" s="272"/>
      <c r="B242" s="236" t="s">
        <v>600</v>
      </c>
      <c r="C242" s="189">
        <v>19.0</v>
      </c>
      <c r="D242" s="190">
        <f t="shared" si="25"/>
        <v>3213000</v>
      </c>
      <c r="E242" s="189">
        <v>0.0</v>
      </c>
      <c r="F242" s="231">
        <f t="shared" si="26"/>
        <v>2142000</v>
      </c>
      <c r="G242" s="189">
        <v>0.0</v>
      </c>
      <c r="H242" s="231">
        <f t="shared" si="27"/>
        <v>0</v>
      </c>
      <c r="I242" s="220"/>
      <c r="J242" s="220"/>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20"/>
      <c r="AI242" s="220"/>
      <c r="AJ242" s="220"/>
      <c r="AK242" s="220"/>
      <c r="AL242" s="220"/>
      <c r="AM242" s="220"/>
      <c r="AN242" s="220"/>
      <c r="AO242" s="220"/>
      <c r="AP242" s="220"/>
      <c r="AQ242" s="220"/>
      <c r="AR242" s="220"/>
      <c r="AS242" s="220"/>
      <c r="AT242" s="220"/>
      <c r="AU242" s="220"/>
      <c r="AV242" s="220"/>
      <c r="AW242" s="220"/>
      <c r="AX242" s="220"/>
      <c r="AY242" s="220"/>
      <c r="AZ242" s="220"/>
    </row>
    <row r="243" ht="25.5" customHeight="1">
      <c r="A243" s="272"/>
      <c r="B243" s="236" t="s">
        <v>531</v>
      </c>
      <c r="C243" s="189">
        <v>17.0</v>
      </c>
      <c r="D243" s="190">
        <f t="shared" si="25"/>
        <v>3213000</v>
      </c>
      <c r="E243" s="189">
        <v>1.0</v>
      </c>
      <c r="F243" s="231">
        <f t="shared" si="26"/>
        <v>2142000</v>
      </c>
      <c r="G243" s="189">
        <v>2.0</v>
      </c>
      <c r="H243" s="231">
        <f t="shared" si="27"/>
        <v>7497000</v>
      </c>
      <c r="I243" s="220"/>
      <c r="J243" s="220"/>
      <c r="K243" s="220"/>
      <c r="L243" s="220"/>
      <c r="M243" s="220"/>
      <c r="N243" s="220"/>
      <c r="O243" s="220"/>
      <c r="P243" s="220"/>
      <c r="Q243" s="220"/>
      <c r="R243" s="220"/>
      <c r="S243" s="220"/>
      <c r="T243" s="220"/>
      <c r="U243" s="220"/>
      <c r="V243" s="220"/>
      <c r="W243" s="220"/>
      <c r="X243" s="220"/>
      <c r="Y243" s="220"/>
      <c r="Z243" s="220"/>
      <c r="AA243" s="220"/>
      <c r="AB243" s="220"/>
      <c r="AC243" s="220"/>
      <c r="AD243" s="220"/>
      <c r="AE243" s="220"/>
      <c r="AF243" s="220"/>
      <c r="AG243" s="220"/>
      <c r="AH243" s="220"/>
      <c r="AI243" s="220"/>
      <c r="AJ243" s="220"/>
      <c r="AK243" s="220"/>
      <c r="AL243" s="220"/>
      <c r="AM243" s="220"/>
      <c r="AN243" s="220"/>
      <c r="AO243" s="220"/>
      <c r="AP243" s="220"/>
      <c r="AQ243" s="220"/>
      <c r="AR243" s="220"/>
      <c r="AS243" s="220"/>
      <c r="AT243" s="220"/>
      <c r="AU243" s="220"/>
      <c r="AV243" s="220"/>
      <c r="AW243" s="220"/>
      <c r="AX243" s="220"/>
      <c r="AY243" s="220"/>
      <c r="AZ243" s="220"/>
    </row>
    <row r="244" ht="25.5" customHeight="1">
      <c r="A244" s="272"/>
      <c r="B244" s="236" t="s">
        <v>601</v>
      </c>
      <c r="C244" s="189">
        <v>17.0</v>
      </c>
      <c r="D244" s="190">
        <f t="shared" si="25"/>
        <v>3213000</v>
      </c>
      <c r="E244" s="189">
        <v>1.0</v>
      </c>
      <c r="F244" s="231">
        <f t="shared" si="26"/>
        <v>2142000</v>
      </c>
      <c r="G244" s="189">
        <v>2.0</v>
      </c>
      <c r="H244" s="231">
        <f t="shared" si="27"/>
        <v>7497000</v>
      </c>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row>
    <row r="245" ht="25.5" customHeight="1">
      <c r="A245" s="272"/>
      <c r="B245" s="236" t="s">
        <v>602</v>
      </c>
      <c r="C245" s="189">
        <v>19.0</v>
      </c>
      <c r="D245" s="190">
        <f t="shared" si="25"/>
        <v>3213000</v>
      </c>
      <c r="E245" s="189">
        <v>1.0</v>
      </c>
      <c r="F245" s="231">
        <f t="shared" si="26"/>
        <v>2142000</v>
      </c>
      <c r="G245" s="189">
        <v>2.0</v>
      </c>
      <c r="H245" s="231">
        <f t="shared" si="27"/>
        <v>7497000</v>
      </c>
      <c r="I245" s="220"/>
      <c r="J245" s="220"/>
      <c r="K245" s="220"/>
      <c r="L245" s="220"/>
      <c r="M245" s="220"/>
      <c r="N245" s="220"/>
      <c r="O245" s="220"/>
      <c r="P245" s="220"/>
      <c r="Q245" s="220"/>
      <c r="R245" s="220"/>
      <c r="S245" s="220"/>
      <c r="T245" s="220"/>
      <c r="U245" s="220"/>
      <c r="V245" s="220"/>
      <c r="W245" s="220"/>
      <c r="X245" s="220"/>
      <c r="Y245" s="220"/>
      <c r="Z245" s="220"/>
      <c r="AA245" s="220"/>
      <c r="AB245" s="220"/>
      <c r="AC245" s="220"/>
      <c r="AD245" s="220"/>
      <c r="AE245" s="220"/>
      <c r="AF245" s="220"/>
      <c r="AG245" s="220"/>
      <c r="AH245" s="220"/>
      <c r="AI245" s="220"/>
      <c r="AJ245" s="220"/>
      <c r="AK245" s="220"/>
      <c r="AL245" s="220"/>
      <c r="AM245" s="220"/>
      <c r="AN245" s="220"/>
      <c r="AO245" s="220"/>
      <c r="AP245" s="220"/>
      <c r="AQ245" s="220"/>
      <c r="AR245" s="220"/>
      <c r="AS245" s="220"/>
      <c r="AT245" s="220"/>
      <c r="AU245" s="220"/>
      <c r="AV245" s="220"/>
      <c r="AW245" s="220"/>
      <c r="AX245" s="220"/>
      <c r="AY245" s="220"/>
      <c r="AZ245" s="220"/>
    </row>
    <row r="246" ht="25.5" customHeight="1">
      <c r="A246" s="272"/>
      <c r="B246" s="236" t="s">
        <v>603</v>
      </c>
      <c r="C246" s="189">
        <v>17.0</v>
      </c>
      <c r="D246" s="190">
        <f t="shared" si="25"/>
        <v>3213000</v>
      </c>
      <c r="E246" s="189">
        <v>0.0</v>
      </c>
      <c r="F246" s="231">
        <f t="shared" si="26"/>
        <v>2142000</v>
      </c>
      <c r="G246" s="189">
        <v>0.0</v>
      </c>
      <c r="H246" s="231">
        <f t="shared" si="27"/>
        <v>0</v>
      </c>
      <c r="I246" s="220"/>
      <c r="J246" s="220"/>
      <c r="K246" s="220"/>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row>
    <row r="247" ht="25.5" customHeight="1">
      <c r="A247" s="272"/>
      <c r="B247" s="236" t="s">
        <v>604</v>
      </c>
      <c r="C247" s="189">
        <v>18.0</v>
      </c>
      <c r="D247" s="190">
        <f t="shared" si="25"/>
        <v>3213000</v>
      </c>
      <c r="E247" s="189">
        <v>2.0</v>
      </c>
      <c r="F247" s="231">
        <f t="shared" si="26"/>
        <v>2142000</v>
      </c>
      <c r="G247" s="189">
        <v>2.0</v>
      </c>
      <c r="H247" s="231">
        <f t="shared" si="27"/>
        <v>10710000</v>
      </c>
      <c r="I247" s="220"/>
      <c r="J247" s="220"/>
      <c r="K247" s="220"/>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220"/>
      <c r="AK247" s="220"/>
      <c r="AL247" s="220"/>
      <c r="AM247" s="220"/>
      <c r="AN247" s="220"/>
      <c r="AO247" s="220"/>
      <c r="AP247" s="220"/>
      <c r="AQ247" s="220"/>
      <c r="AR247" s="220"/>
      <c r="AS247" s="220"/>
      <c r="AT247" s="220"/>
      <c r="AU247" s="220"/>
      <c r="AV247" s="220"/>
      <c r="AW247" s="220"/>
      <c r="AX247" s="220"/>
      <c r="AY247" s="220"/>
      <c r="AZ247" s="220"/>
    </row>
    <row r="248" ht="25.5" customHeight="1">
      <c r="A248" s="272"/>
      <c r="B248" s="236" t="s">
        <v>605</v>
      </c>
      <c r="C248" s="189">
        <v>19.0</v>
      </c>
      <c r="D248" s="190">
        <f t="shared" si="25"/>
        <v>3213000</v>
      </c>
      <c r="E248" s="189">
        <v>3.0</v>
      </c>
      <c r="F248" s="231">
        <f t="shared" si="26"/>
        <v>2142000</v>
      </c>
      <c r="G248" s="189">
        <v>4.0</v>
      </c>
      <c r="H248" s="231">
        <f t="shared" si="27"/>
        <v>18207000</v>
      </c>
      <c r="I248" s="220"/>
      <c r="J248" s="220"/>
      <c r="K248" s="220"/>
      <c r="L248" s="220"/>
      <c r="M248" s="220"/>
      <c r="N248" s="220"/>
      <c r="O248" s="220"/>
      <c r="P248" s="220"/>
      <c r="Q248" s="220"/>
      <c r="R248" s="220"/>
      <c r="S248" s="220"/>
      <c r="T248" s="220"/>
      <c r="U248" s="220"/>
      <c r="V248" s="220"/>
      <c r="W248" s="220"/>
      <c r="X248" s="220"/>
      <c r="Y248" s="220"/>
      <c r="Z248" s="220"/>
      <c r="AA248" s="220"/>
      <c r="AB248" s="220"/>
      <c r="AC248" s="220"/>
      <c r="AD248" s="220"/>
      <c r="AE248" s="220"/>
      <c r="AF248" s="220"/>
      <c r="AG248" s="220"/>
      <c r="AH248" s="220"/>
      <c r="AI248" s="220"/>
      <c r="AJ248" s="220"/>
      <c r="AK248" s="220"/>
      <c r="AL248" s="220"/>
      <c r="AM248" s="220"/>
      <c r="AN248" s="220"/>
      <c r="AO248" s="220"/>
      <c r="AP248" s="220"/>
      <c r="AQ248" s="220"/>
      <c r="AR248" s="220"/>
      <c r="AS248" s="220"/>
      <c r="AT248" s="220"/>
      <c r="AU248" s="220"/>
      <c r="AV248" s="220"/>
      <c r="AW248" s="220"/>
      <c r="AX248" s="220"/>
      <c r="AY248" s="220"/>
      <c r="AZ248" s="220"/>
    </row>
    <row r="249" ht="25.5" customHeight="1">
      <c r="A249" s="272"/>
      <c r="B249" s="236" t="s">
        <v>606</v>
      </c>
      <c r="C249" s="189">
        <v>16.0</v>
      </c>
      <c r="D249" s="190">
        <f t="shared" si="25"/>
        <v>3213000</v>
      </c>
      <c r="E249" s="189">
        <v>3.0</v>
      </c>
      <c r="F249" s="231">
        <f t="shared" si="26"/>
        <v>2142000</v>
      </c>
      <c r="G249" s="189">
        <v>4.0</v>
      </c>
      <c r="H249" s="231">
        <f t="shared" si="27"/>
        <v>18207000</v>
      </c>
      <c r="I249" s="220"/>
      <c r="J249" s="220"/>
      <c r="K249" s="220"/>
      <c r="L249" s="220"/>
      <c r="M249" s="220"/>
      <c r="N249" s="220"/>
      <c r="O249" s="220"/>
      <c r="P249" s="220"/>
      <c r="Q249" s="220"/>
      <c r="R249" s="220"/>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c r="AN249" s="220"/>
      <c r="AO249" s="220"/>
      <c r="AP249" s="220"/>
      <c r="AQ249" s="220"/>
      <c r="AR249" s="220"/>
      <c r="AS249" s="220"/>
      <c r="AT249" s="220"/>
      <c r="AU249" s="220"/>
      <c r="AV249" s="220"/>
      <c r="AW249" s="220"/>
      <c r="AX249" s="220"/>
      <c r="AY249" s="220"/>
      <c r="AZ249" s="220"/>
    </row>
    <row r="250" ht="25.5" customHeight="1">
      <c r="A250" s="272"/>
      <c r="B250" s="236" t="s">
        <v>607</v>
      </c>
      <c r="C250" s="189">
        <v>18.0</v>
      </c>
      <c r="D250" s="190">
        <f t="shared" si="25"/>
        <v>3213000</v>
      </c>
      <c r="E250" s="189">
        <v>3.0</v>
      </c>
      <c r="F250" s="231">
        <f t="shared" si="26"/>
        <v>2142000</v>
      </c>
      <c r="G250" s="189">
        <v>4.0</v>
      </c>
      <c r="H250" s="231">
        <f t="shared" si="27"/>
        <v>18207000</v>
      </c>
      <c r="I250" s="220"/>
      <c r="J250" s="220"/>
      <c r="K250" s="220"/>
      <c r="L250" s="220"/>
      <c r="M250" s="220"/>
      <c r="N250" s="220"/>
      <c r="O250" s="220"/>
      <c r="P250" s="220"/>
      <c r="Q250" s="220"/>
      <c r="R250" s="220"/>
      <c r="S250" s="220"/>
      <c r="T250" s="220"/>
      <c r="U250" s="220"/>
      <c r="V250" s="220"/>
      <c r="W250" s="220"/>
      <c r="X250" s="220"/>
      <c r="Y250" s="220"/>
      <c r="Z250" s="220"/>
      <c r="AA250" s="220"/>
      <c r="AB250" s="220"/>
      <c r="AC250" s="220"/>
      <c r="AD250" s="220"/>
      <c r="AE250" s="220"/>
      <c r="AF250" s="220"/>
      <c r="AG250" s="220"/>
      <c r="AH250" s="220"/>
      <c r="AI250" s="220"/>
      <c r="AJ250" s="220"/>
      <c r="AK250" s="220"/>
      <c r="AL250" s="220"/>
      <c r="AM250" s="220"/>
      <c r="AN250" s="220"/>
      <c r="AO250" s="220"/>
      <c r="AP250" s="220"/>
      <c r="AQ250" s="220"/>
      <c r="AR250" s="220"/>
      <c r="AS250" s="220"/>
      <c r="AT250" s="220"/>
      <c r="AU250" s="220"/>
      <c r="AV250" s="220"/>
      <c r="AW250" s="220"/>
      <c r="AX250" s="220"/>
      <c r="AY250" s="220"/>
      <c r="AZ250" s="220"/>
    </row>
    <row r="251" ht="25.5" customHeight="1">
      <c r="A251" s="272"/>
      <c r="B251" s="236" t="s">
        <v>608</v>
      </c>
      <c r="C251" s="189">
        <v>16.0</v>
      </c>
      <c r="D251" s="190">
        <f t="shared" si="25"/>
        <v>3213000</v>
      </c>
      <c r="E251" s="189">
        <v>3.0</v>
      </c>
      <c r="F251" s="231">
        <f t="shared" si="26"/>
        <v>2142000</v>
      </c>
      <c r="G251" s="189">
        <v>4.0</v>
      </c>
      <c r="H251" s="231">
        <f t="shared" si="27"/>
        <v>18207000</v>
      </c>
      <c r="I251" s="220"/>
      <c r="J251" s="220"/>
      <c r="K251" s="220"/>
      <c r="L251" s="220"/>
      <c r="M251" s="220"/>
      <c r="N251" s="220"/>
      <c r="O251" s="220"/>
      <c r="P251" s="220"/>
      <c r="Q251" s="220"/>
      <c r="R251" s="220"/>
      <c r="S251" s="220"/>
      <c r="T251" s="220"/>
      <c r="U251" s="220"/>
      <c r="V251" s="220"/>
      <c r="W251" s="220"/>
      <c r="X251" s="220"/>
      <c r="Y251" s="220"/>
      <c r="Z251" s="220"/>
      <c r="AA251" s="220"/>
      <c r="AB251" s="220"/>
      <c r="AC251" s="220"/>
      <c r="AD251" s="220"/>
      <c r="AE251" s="220"/>
      <c r="AF251" s="220"/>
      <c r="AG251" s="220"/>
      <c r="AH251" s="220"/>
      <c r="AI251" s="220"/>
      <c r="AJ251" s="220"/>
      <c r="AK251" s="220"/>
      <c r="AL251" s="220"/>
      <c r="AM251" s="220"/>
      <c r="AN251" s="220"/>
      <c r="AO251" s="220"/>
      <c r="AP251" s="220"/>
      <c r="AQ251" s="220"/>
      <c r="AR251" s="220"/>
      <c r="AS251" s="220"/>
      <c r="AT251" s="220"/>
      <c r="AU251" s="220"/>
      <c r="AV251" s="220"/>
      <c r="AW251" s="220"/>
      <c r="AX251" s="220"/>
      <c r="AY251" s="220"/>
      <c r="AZ251" s="220"/>
    </row>
    <row r="252" ht="15.75" customHeight="1">
      <c r="A252" s="272"/>
      <c r="B252" s="218"/>
      <c r="C252" s="218"/>
      <c r="D252" s="218"/>
      <c r="E252" s="218"/>
      <c r="F252" s="218"/>
      <c r="G252" s="218"/>
      <c r="H252" s="218"/>
      <c r="I252" s="220"/>
      <c r="J252" s="220"/>
      <c r="K252" s="220"/>
      <c r="L252" s="220"/>
      <c r="M252" s="220"/>
      <c r="N252" s="220"/>
      <c r="O252" s="220"/>
      <c r="P252" s="220"/>
      <c r="Q252" s="220"/>
      <c r="R252" s="220"/>
      <c r="S252" s="220"/>
      <c r="T252" s="220"/>
      <c r="U252" s="220"/>
      <c r="V252" s="220"/>
      <c r="W252" s="220"/>
      <c r="X252" s="220"/>
      <c r="Y252" s="220"/>
      <c r="Z252" s="220"/>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row>
    <row r="253" ht="22.5" customHeight="1">
      <c r="A253" s="272"/>
      <c r="B253" s="271" t="s">
        <v>540</v>
      </c>
      <c r="C253" s="271" t="s">
        <v>609</v>
      </c>
      <c r="D253" s="250" t="s">
        <v>549</v>
      </c>
      <c r="E253" s="251">
        <v>2100.0</v>
      </c>
      <c r="F253" s="218"/>
      <c r="G253" s="218"/>
      <c r="H253" s="218"/>
      <c r="I253" s="220"/>
      <c r="J253" s="220"/>
      <c r="K253" s="220"/>
      <c r="L253" s="220"/>
      <c r="M253" s="220"/>
      <c r="N253" s="220"/>
      <c r="O253" s="220"/>
      <c r="P253" s="220"/>
      <c r="Q253" s="220"/>
      <c r="R253" s="220"/>
      <c r="S253" s="220"/>
      <c r="T253" s="220"/>
      <c r="U253" s="220"/>
      <c r="V253" s="220"/>
      <c r="W253" s="220"/>
      <c r="X253" s="220"/>
      <c r="Y253" s="220"/>
      <c r="Z253" s="220"/>
      <c r="AA253" s="220"/>
      <c r="AB253" s="220"/>
      <c r="AC253" s="220"/>
      <c r="AD253" s="220"/>
      <c r="AE253" s="220"/>
      <c r="AF253" s="220"/>
      <c r="AG253" s="220"/>
      <c r="AH253" s="220"/>
      <c r="AI253" s="220"/>
      <c r="AJ253" s="220"/>
      <c r="AK253" s="220"/>
      <c r="AL253" s="220"/>
      <c r="AM253" s="220"/>
      <c r="AN253" s="220"/>
      <c r="AO253" s="220"/>
      <c r="AP253" s="220"/>
      <c r="AQ253" s="220"/>
      <c r="AR253" s="220"/>
      <c r="AS253" s="220"/>
      <c r="AT253" s="220"/>
      <c r="AU253" s="220"/>
      <c r="AV253" s="220"/>
      <c r="AW253" s="220"/>
      <c r="AX253" s="220"/>
      <c r="AY253" s="220"/>
      <c r="AZ253" s="220"/>
    </row>
    <row r="254" ht="22.5" customHeight="1">
      <c r="A254" s="272"/>
      <c r="B254" s="262" t="s">
        <v>610</v>
      </c>
      <c r="C254" s="262">
        <f>1500*E253*E255</f>
        <v>3213000</v>
      </c>
      <c r="D254" s="218"/>
      <c r="E254" s="218"/>
      <c r="F254" s="218"/>
      <c r="G254" s="218"/>
      <c r="H254" s="218"/>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row>
    <row r="255" ht="22.5" customHeight="1">
      <c r="A255" s="272"/>
      <c r="B255" s="262" t="s">
        <v>611</v>
      </c>
      <c r="C255" s="262">
        <f>1000*E253*E255</f>
        <v>2142000</v>
      </c>
      <c r="D255" s="252" t="s">
        <v>613</v>
      </c>
      <c r="E255" s="253">
        <v>1.02</v>
      </c>
      <c r="F255" s="218"/>
      <c r="G255" s="218"/>
      <c r="H255" s="218"/>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220"/>
      <c r="AU255" s="220"/>
      <c r="AV255" s="220"/>
      <c r="AW255" s="220"/>
      <c r="AX255" s="220"/>
      <c r="AY255" s="220"/>
      <c r="AZ255" s="220"/>
    </row>
    <row r="256" ht="15.75" customHeight="1">
      <c r="A256" s="272"/>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20"/>
      <c r="AU256" s="220"/>
      <c r="AV256" s="220"/>
      <c r="AW256" s="220"/>
      <c r="AX256" s="220"/>
      <c r="AY256" s="220"/>
      <c r="AZ256" s="220"/>
    </row>
    <row r="257" ht="15.75" customHeight="1">
      <c r="A257" s="272"/>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220"/>
      <c r="AU257" s="220"/>
      <c r="AV257" s="220"/>
      <c r="AW257" s="220"/>
      <c r="AX257" s="220"/>
      <c r="AY257" s="220"/>
      <c r="AZ257" s="220"/>
    </row>
    <row r="258" ht="24.0" customHeight="1">
      <c r="A258" s="272"/>
      <c r="B258" s="273" t="s">
        <v>615</v>
      </c>
      <c r="C258" s="274"/>
      <c r="D258" s="220"/>
      <c r="E258" s="275" t="s">
        <v>540</v>
      </c>
      <c r="F258" s="276" t="s">
        <v>616</v>
      </c>
      <c r="G258" s="276" t="s">
        <v>617</v>
      </c>
      <c r="H258" s="276" t="s">
        <v>618</v>
      </c>
      <c r="I258" s="220"/>
      <c r="J258" s="220"/>
      <c r="K258" s="220"/>
      <c r="L258" s="220"/>
      <c r="M258" s="220"/>
      <c r="N258" s="220"/>
      <c r="O258" s="220"/>
      <c r="P258" s="220"/>
      <c r="Q258" s="220"/>
      <c r="R258" s="220"/>
      <c r="S258" s="220"/>
      <c r="T258" s="220"/>
      <c r="U258" s="220"/>
      <c r="V258" s="220"/>
      <c r="W258" s="220"/>
      <c r="X258" s="220"/>
      <c r="Y258" s="220"/>
      <c r="Z258" s="220"/>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row>
    <row r="259" ht="15.75" customHeight="1">
      <c r="A259" s="272"/>
      <c r="B259" s="277" t="s">
        <v>619</v>
      </c>
      <c r="C259" s="278">
        <v>2.0</v>
      </c>
      <c r="D259" s="220"/>
      <c r="E259" s="262" t="s">
        <v>620</v>
      </c>
      <c r="F259" s="262">
        <f>'Modelo Matriz de Gastos (Ejempl'!H286</f>
        <v>90750</v>
      </c>
      <c r="G259" s="262">
        <f t="shared" ref="G259:G262" si="28">F259*(1+2%)^12</f>
        <v>115092.9429</v>
      </c>
      <c r="H259" s="262">
        <f>G259*(1+2%)^24</f>
        <v>185119.7764</v>
      </c>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0"/>
      <c r="AL259" s="220"/>
      <c r="AM259" s="220"/>
      <c r="AN259" s="220"/>
      <c r="AO259" s="220"/>
      <c r="AP259" s="220"/>
      <c r="AQ259" s="220"/>
      <c r="AR259" s="220"/>
      <c r="AS259" s="220"/>
      <c r="AT259" s="220"/>
      <c r="AU259" s="220"/>
      <c r="AV259" s="220"/>
      <c r="AW259" s="220"/>
      <c r="AX259" s="220"/>
      <c r="AY259" s="220"/>
      <c r="AZ259" s="220"/>
    </row>
    <row r="260" ht="15.75" customHeight="1">
      <c r="A260" s="272"/>
      <c r="B260" s="277" t="s">
        <v>621</v>
      </c>
      <c r="C260" s="279">
        <v>0.2</v>
      </c>
      <c r="D260" s="220"/>
      <c r="E260" s="262" t="s">
        <v>622</v>
      </c>
      <c r="F260" s="262">
        <f>'Modelo Matriz de Gastos (Ejempl'!H295</f>
        <v>113250</v>
      </c>
      <c r="G260" s="262">
        <f t="shared" si="28"/>
        <v>143628.3832</v>
      </c>
      <c r="H260" s="262">
        <f t="shared" ref="H260:H262" si="29">G260*(1+2%)^12</f>
        <v>182155.5185</v>
      </c>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220"/>
      <c r="AL260" s="220"/>
      <c r="AM260" s="220"/>
      <c r="AN260" s="220"/>
      <c r="AO260" s="220"/>
      <c r="AP260" s="220"/>
      <c r="AQ260" s="220"/>
      <c r="AR260" s="220"/>
      <c r="AS260" s="220"/>
      <c r="AT260" s="220"/>
      <c r="AU260" s="220"/>
      <c r="AV260" s="220"/>
      <c r="AW260" s="220"/>
      <c r="AX260" s="220"/>
      <c r="AY260" s="220"/>
      <c r="AZ260" s="220"/>
    </row>
    <row r="261" ht="15.75" customHeight="1">
      <c r="A261" s="272"/>
      <c r="B261" s="277" t="s">
        <v>623</v>
      </c>
      <c r="C261" s="280">
        <v>0.5</v>
      </c>
      <c r="D261" s="220"/>
      <c r="E261" s="262" t="s">
        <v>624</v>
      </c>
      <c r="F261" s="262">
        <f>'Modelo Matriz de Gastos (Ejempl'!H305</f>
        <v>150675</v>
      </c>
      <c r="G261" s="262">
        <f t="shared" si="28"/>
        <v>191092.3324</v>
      </c>
      <c r="H261" s="262">
        <f t="shared" si="29"/>
        <v>242351.2826</v>
      </c>
      <c r="I261" s="220"/>
      <c r="J261" s="220"/>
      <c r="K261" s="220"/>
      <c r="L261" s="220"/>
      <c r="M261" s="220"/>
      <c r="N261" s="220"/>
      <c r="O261" s="220"/>
      <c r="P261" s="220"/>
      <c r="Q261" s="220"/>
      <c r="R261" s="220"/>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0"/>
      <c r="AP261" s="220"/>
      <c r="AQ261" s="220"/>
      <c r="AR261" s="220"/>
      <c r="AS261" s="220"/>
      <c r="AT261" s="220"/>
      <c r="AU261" s="220"/>
      <c r="AV261" s="220"/>
      <c r="AW261" s="220"/>
      <c r="AX261" s="220"/>
      <c r="AY261" s="220"/>
      <c r="AZ261" s="220"/>
    </row>
    <row r="262" ht="15.75" customHeight="1">
      <c r="A262" s="272"/>
      <c r="B262" s="277" t="s">
        <v>625</v>
      </c>
      <c r="C262" s="280">
        <v>0.3</v>
      </c>
      <c r="D262" s="220"/>
      <c r="E262" s="262" t="s">
        <v>626</v>
      </c>
      <c r="F262" s="262">
        <f>'Modelo Matriz de Gastos (Ejempl'!H316</f>
        <v>82355.5412</v>
      </c>
      <c r="G262" s="262">
        <f t="shared" si="28"/>
        <v>104446.7394</v>
      </c>
      <c r="H262" s="262">
        <f t="shared" si="29"/>
        <v>132463.7202</v>
      </c>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row>
    <row r="263" ht="15.75" customHeight="1">
      <c r="A263" s="272"/>
      <c r="B263" s="277" t="s">
        <v>627</v>
      </c>
      <c r="C263" s="280">
        <v>0.2</v>
      </c>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row>
    <row r="264" ht="15.75" customHeight="1">
      <c r="A264" s="272"/>
      <c r="B264" s="281" t="s">
        <v>628</v>
      </c>
      <c r="C264" s="282">
        <v>10.0</v>
      </c>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20"/>
      <c r="AQ264" s="220"/>
      <c r="AR264" s="220"/>
      <c r="AS264" s="220"/>
      <c r="AT264" s="220"/>
      <c r="AU264" s="220"/>
      <c r="AV264" s="220"/>
      <c r="AW264" s="220"/>
      <c r="AX264" s="220"/>
      <c r="AY264" s="220"/>
      <c r="AZ264" s="220"/>
    </row>
    <row r="265" ht="15.75" customHeight="1">
      <c r="A265" s="272"/>
      <c r="B265" s="281" t="s">
        <v>629</v>
      </c>
      <c r="C265" s="279">
        <v>0.5</v>
      </c>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20"/>
      <c r="AQ265" s="220"/>
      <c r="AR265" s="220"/>
      <c r="AS265" s="220"/>
      <c r="AT265" s="220"/>
      <c r="AU265" s="220"/>
      <c r="AV265" s="220"/>
      <c r="AW265" s="220"/>
      <c r="AX265" s="220"/>
      <c r="AY265" s="220"/>
      <c r="AZ265" s="220"/>
    </row>
    <row r="266" ht="15.75" customHeight="1">
      <c r="A266" s="272"/>
      <c r="B266" s="277" t="s">
        <v>630</v>
      </c>
      <c r="C266" s="278">
        <v>1.02</v>
      </c>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0"/>
      <c r="AL266" s="220"/>
      <c r="AM266" s="220"/>
      <c r="AN266" s="220"/>
      <c r="AO266" s="220"/>
      <c r="AP266" s="220"/>
      <c r="AQ266" s="220"/>
      <c r="AR266" s="220"/>
      <c r="AS266" s="220"/>
      <c r="AT266" s="220"/>
      <c r="AU266" s="220"/>
      <c r="AV266" s="220"/>
      <c r="AW266" s="220"/>
      <c r="AX266" s="220"/>
      <c r="AY266" s="220"/>
      <c r="AZ266" s="220"/>
    </row>
    <row r="267" ht="15.75" customHeight="1">
      <c r="A267" s="272"/>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c r="AA267" s="220"/>
      <c r="AB267" s="220"/>
      <c r="AC267" s="220"/>
      <c r="AD267" s="220"/>
      <c r="AE267" s="220"/>
      <c r="AF267" s="220"/>
      <c r="AG267" s="220"/>
      <c r="AH267" s="220"/>
      <c r="AI267" s="220"/>
      <c r="AJ267" s="220"/>
      <c r="AK267" s="220"/>
      <c r="AL267" s="220"/>
      <c r="AM267" s="220"/>
      <c r="AN267" s="220"/>
      <c r="AO267" s="220"/>
      <c r="AP267" s="220"/>
      <c r="AQ267" s="220"/>
      <c r="AR267" s="220"/>
      <c r="AS267" s="220"/>
      <c r="AT267" s="220"/>
      <c r="AU267" s="220"/>
      <c r="AV267" s="220"/>
      <c r="AW267" s="220"/>
      <c r="AX267" s="220"/>
      <c r="AY267" s="220"/>
      <c r="AZ267" s="220"/>
    </row>
    <row r="268" ht="23.25" customHeight="1">
      <c r="A268" s="272"/>
      <c r="B268" s="283" t="s">
        <v>631</v>
      </c>
      <c r="C268" s="47"/>
      <c r="D268" s="47"/>
      <c r="E268" s="47"/>
      <c r="F268" s="47"/>
      <c r="G268" s="47"/>
      <c r="H268" s="47"/>
      <c r="I268" s="47"/>
      <c r="J268" s="47"/>
      <c r="K268" s="47"/>
      <c r="L268" s="12"/>
      <c r="M268" s="220"/>
      <c r="N268" s="220"/>
      <c r="O268" s="220"/>
      <c r="P268" s="220"/>
      <c r="Q268" s="220"/>
      <c r="R268" s="220"/>
      <c r="S268" s="220"/>
      <c r="T268" s="220"/>
      <c r="U268" s="220"/>
      <c r="V268" s="220"/>
      <c r="W268" s="220"/>
      <c r="X268" s="220"/>
      <c r="Y268" s="220"/>
      <c r="Z268" s="220"/>
      <c r="AA268" s="220"/>
      <c r="AB268" s="220"/>
      <c r="AC268" s="220"/>
      <c r="AD268" s="220"/>
      <c r="AE268" s="220"/>
      <c r="AF268" s="220"/>
      <c r="AG268" s="220"/>
      <c r="AH268" s="220"/>
      <c r="AI268" s="220"/>
      <c r="AJ268" s="220"/>
      <c r="AK268" s="220"/>
      <c r="AL268" s="220"/>
      <c r="AM268" s="220"/>
      <c r="AN268" s="220"/>
      <c r="AO268" s="220"/>
      <c r="AP268" s="220"/>
      <c r="AQ268" s="220"/>
      <c r="AR268" s="220"/>
      <c r="AS268" s="220"/>
      <c r="AT268" s="220"/>
      <c r="AU268" s="220"/>
      <c r="AV268" s="220"/>
      <c r="AW268" s="220"/>
      <c r="AX268" s="220"/>
      <c r="AY268" s="220"/>
      <c r="AZ268" s="220"/>
    </row>
    <row r="269" ht="55.5" customHeight="1">
      <c r="A269" s="272"/>
      <c r="B269" s="284" t="s">
        <v>520</v>
      </c>
      <c r="C269" s="284" t="s">
        <v>521</v>
      </c>
      <c r="D269" s="284" t="s">
        <v>522</v>
      </c>
      <c r="E269" s="285" t="s">
        <v>632</v>
      </c>
      <c r="F269" s="285" t="s">
        <v>633</v>
      </c>
      <c r="G269" s="285" t="s">
        <v>634</v>
      </c>
      <c r="H269" s="285" t="s">
        <v>635</v>
      </c>
      <c r="I269" s="285" t="s">
        <v>636</v>
      </c>
      <c r="J269" s="285" t="s">
        <v>637</v>
      </c>
      <c r="K269" s="285" t="s">
        <v>638</v>
      </c>
      <c r="L269" s="285" t="s">
        <v>527</v>
      </c>
      <c r="M269" s="285" t="s">
        <v>639</v>
      </c>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c r="AQ269" s="220"/>
      <c r="AR269" s="220"/>
      <c r="AS269" s="220"/>
      <c r="AT269" s="220"/>
      <c r="AU269" s="220"/>
      <c r="AV269" s="220"/>
      <c r="AW269" s="220"/>
      <c r="AX269" s="220"/>
      <c r="AY269" s="220"/>
      <c r="AZ269" s="220"/>
    </row>
    <row r="270" ht="15.75" customHeight="1">
      <c r="A270" s="272"/>
      <c r="B270" s="230" t="s">
        <v>528</v>
      </c>
      <c r="C270" s="180">
        <v>31.0</v>
      </c>
      <c r="D270" s="189">
        <v>6.0</v>
      </c>
      <c r="E270" s="180">
        <f t="shared" ref="E270:E281" si="30">G5</f>
        <v>0.3</v>
      </c>
      <c r="F270" s="286">
        <f t="shared" ref="F270:F281" si="31">C270*D270*E270</f>
        <v>55.8</v>
      </c>
      <c r="G270" s="189">
        <f t="shared" ref="G270:G281" si="32">F270/$C$259</f>
        <v>27.9</v>
      </c>
      <c r="H270" s="287">
        <f t="shared" ref="H270:H281" si="33">ROUND(G270*$C$260,0)</f>
        <v>6</v>
      </c>
      <c r="I270" s="287">
        <f t="shared" ref="I270:I281" si="34">ROUNDDOWN(H270*$C$261,0)</f>
        <v>3</v>
      </c>
      <c r="J270" s="288">
        <f t="shared" ref="J270:J281" si="35">ROUND(H270*$C$262,0)</f>
        <v>2</v>
      </c>
      <c r="K270" s="288">
        <f t="shared" ref="K270:K281" si="36">ROUND(H270*$C$263,0)</f>
        <v>1</v>
      </c>
      <c r="L270" s="289">
        <f>I270*$F$259+J270*$F$260+K270*$F$261</f>
        <v>649425</v>
      </c>
      <c r="M270" s="289">
        <f>I270*'Modelo Matriz de Gastos (Ejempl'!$D$293+J270+'Modelo Matriz de Gastos (Ejempl'!$D$303+K270+'Modelo Matriz de Gastos (Ejempl'!$D$314</f>
        <v>214473</v>
      </c>
      <c r="N270" s="220"/>
      <c r="O270" s="220"/>
      <c r="P270" s="220"/>
      <c r="Q270" s="220"/>
      <c r="R270" s="220"/>
      <c r="S270" s="220"/>
      <c r="T270" s="220"/>
      <c r="U270" s="220"/>
      <c r="V270" s="220"/>
      <c r="W270" s="220"/>
      <c r="X270" s="220"/>
      <c r="Y270" s="220"/>
      <c r="Z270" s="220"/>
      <c r="AA270" s="220"/>
      <c r="AB270" s="220"/>
      <c r="AC270" s="220"/>
      <c r="AD270" s="220"/>
      <c r="AE270" s="220"/>
      <c r="AF270" s="220"/>
      <c r="AG270" s="220"/>
      <c r="AH270" s="220"/>
      <c r="AI270" s="220"/>
      <c r="AJ270" s="220"/>
      <c r="AK270" s="220"/>
      <c r="AL270" s="220"/>
      <c r="AM270" s="220"/>
      <c r="AN270" s="220"/>
      <c r="AO270" s="220"/>
      <c r="AP270" s="220"/>
      <c r="AQ270" s="220"/>
      <c r="AR270" s="220"/>
      <c r="AS270" s="220"/>
      <c r="AT270" s="220"/>
      <c r="AU270" s="220"/>
      <c r="AV270" s="220"/>
      <c r="AW270" s="220"/>
      <c r="AX270" s="220"/>
      <c r="AY270" s="220"/>
      <c r="AZ270" s="220"/>
    </row>
    <row r="271" ht="15.75" customHeight="1">
      <c r="A271" s="272"/>
      <c r="B271" s="236" t="s">
        <v>529</v>
      </c>
      <c r="C271" s="180">
        <v>28.0</v>
      </c>
      <c r="D271" s="189">
        <v>6.0</v>
      </c>
      <c r="E271" s="180">
        <f t="shared" si="30"/>
        <v>0.3</v>
      </c>
      <c r="F271" s="286">
        <f t="shared" si="31"/>
        <v>50.4</v>
      </c>
      <c r="G271" s="189">
        <f t="shared" si="32"/>
        <v>25.2</v>
      </c>
      <c r="H271" s="287">
        <f t="shared" si="33"/>
        <v>5</v>
      </c>
      <c r="I271" s="287">
        <f t="shared" si="34"/>
        <v>2</v>
      </c>
      <c r="J271" s="288">
        <f t="shared" si="35"/>
        <v>2</v>
      </c>
      <c r="K271" s="288">
        <f t="shared" si="36"/>
        <v>1</v>
      </c>
      <c r="L271" s="289">
        <f>(I271*$F$259+J271*$F$260+K271*$F$261)*(1+2%)^1</f>
        <v>569848.5</v>
      </c>
      <c r="M271" s="289">
        <f>(I271*'Modelo Matriz de Gastos (Ejempl'!$D$293+J271+'Modelo Matriz de Gastos (Ejempl'!$D$303+K271+'Modelo Matriz de Gastos (Ejempl'!$D$314)</f>
        <v>178173</v>
      </c>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c r="AI271" s="220"/>
      <c r="AJ271" s="220"/>
      <c r="AK271" s="220"/>
      <c r="AL271" s="220"/>
      <c r="AM271" s="220"/>
      <c r="AN271" s="220"/>
      <c r="AO271" s="220"/>
      <c r="AP271" s="220"/>
      <c r="AQ271" s="220"/>
      <c r="AR271" s="220"/>
      <c r="AS271" s="220"/>
      <c r="AT271" s="220"/>
      <c r="AU271" s="220"/>
      <c r="AV271" s="220"/>
      <c r="AW271" s="220"/>
      <c r="AX271" s="220"/>
      <c r="AY271" s="220"/>
      <c r="AZ271" s="220"/>
    </row>
    <row r="272" ht="15.75" customHeight="1">
      <c r="A272" s="272"/>
      <c r="B272" s="236" t="s">
        <v>530</v>
      </c>
      <c r="C272" s="180">
        <v>31.0</v>
      </c>
      <c r="D272" s="189">
        <v>6.0</v>
      </c>
      <c r="E272" s="180">
        <f t="shared" si="30"/>
        <v>0.25</v>
      </c>
      <c r="F272" s="286">
        <f t="shared" si="31"/>
        <v>46.5</v>
      </c>
      <c r="G272" s="189">
        <f t="shared" si="32"/>
        <v>23.25</v>
      </c>
      <c r="H272" s="287">
        <f t="shared" si="33"/>
        <v>5</v>
      </c>
      <c r="I272" s="287">
        <f t="shared" si="34"/>
        <v>2</v>
      </c>
      <c r="J272" s="288">
        <f t="shared" si="35"/>
        <v>2</v>
      </c>
      <c r="K272" s="288">
        <f t="shared" si="36"/>
        <v>1</v>
      </c>
      <c r="L272" s="289">
        <f>(I272*$F$259+J272*$F$260+K272*$F$261)*(1+2%)^2</f>
        <v>581245.47</v>
      </c>
      <c r="M272" s="289">
        <f>(I272*'Modelo Matriz de Gastos (Ejempl'!$D$293+J272+'Modelo Matriz de Gastos (Ejempl'!$D$303+K272+'Modelo Matriz de Gastos (Ejempl'!$D$314)</f>
        <v>178173</v>
      </c>
      <c r="N272" s="220"/>
      <c r="O272" s="220"/>
      <c r="P272" s="220"/>
      <c r="Q272" s="220"/>
      <c r="R272" s="220"/>
      <c r="S272" s="220"/>
      <c r="T272" s="220"/>
      <c r="U272" s="220"/>
      <c r="V272" s="220"/>
      <c r="W272" s="220"/>
      <c r="X272" s="220"/>
      <c r="Y272" s="220"/>
      <c r="Z272" s="220"/>
      <c r="AA272" s="220"/>
      <c r="AB272" s="220"/>
      <c r="AC272" s="220"/>
      <c r="AD272" s="220"/>
      <c r="AE272" s="220"/>
      <c r="AF272" s="220"/>
      <c r="AG272" s="220"/>
      <c r="AH272" s="220"/>
      <c r="AI272" s="220"/>
      <c r="AJ272" s="220"/>
      <c r="AK272" s="220"/>
      <c r="AL272" s="220"/>
      <c r="AM272" s="220"/>
      <c r="AN272" s="220"/>
      <c r="AO272" s="220"/>
      <c r="AP272" s="220"/>
      <c r="AQ272" s="220"/>
      <c r="AR272" s="220"/>
      <c r="AS272" s="220"/>
      <c r="AT272" s="220"/>
      <c r="AU272" s="220"/>
      <c r="AV272" s="220"/>
      <c r="AW272" s="220"/>
      <c r="AX272" s="220"/>
      <c r="AY272" s="220"/>
      <c r="AZ272" s="220"/>
    </row>
    <row r="273" ht="15.75" customHeight="1">
      <c r="A273" s="272"/>
      <c r="B273" s="236" t="s">
        <v>531</v>
      </c>
      <c r="C273" s="189">
        <v>30.0</v>
      </c>
      <c r="D273" s="189">
        <v>6.0</v>
      </c>
      <c r="E273" s="180">
        <f t="shared" si="30"/>
        <v>0.3</v>
      </c>
      <c r="F273" s="286">
        <f t="shared" si="31"/>
        <v>54</v>
      </c>
      <c r="G273" s="189">
        <f t="shared" si="32"/>
        <v>27</v>
      </c>
      <c r="H273" s="287">
        <f t="shared" si="33"/>
        <v>5</v>
      </c>
      <c r="I273" s="287">
        <f t="shared" si="34"/>
        <v>2</v>
      </c>
      <c r="J273" s="288">
        <f t="shared" si="35"/>
        <v>2</v>
      </c>
      <c r="K273" s="288">
        <f t="shared" si="36"/>
        <v>1</v>
      </c>
      <c r="L273" s="289">
        <f>(I273*$F$259+J273*$F$260+K273*$F$261)*(1+2%)^3</f>
        <v>592870.3794</v>
      </c>
      <c r="M273" s="289">
        <f>(I273*'Modelo Matriz de Gastos (Ejempl'!$D$293+J273+'Modelo Matriz de Gastos (Ejempl'!$D$303+K273+'Modelo Matriz de Gastos (Ejempl'!$D$314)</f>
        <v>178173</v>
      </c>
      <c r="N273" s="220"/>
      <c r="O273" s="220"/>
      <c r="P273" s="220"/>
      <c r="Q273" s="220"/>
      <c r="R273" s="220"/>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c r="AO273" s="220"/>
      <c r="AP273" s="220"/>
      <c r="AQ273" s="220"/>
      <c r="AR273" s="220"/>
      <c r="AS273" s="220"/>
      <c r="AT273" s="220"/>
      <c r="AU273" s="220"/>
      <c r="AV273" s="220"/>
      <c r="AW273" s="220"/>
      <c r="AX273" s="220"/>
      <c r="AY273" s="220"/>
      <c r="AZ273" s="220"/>
    </row>
    <row r="274" ht="15.75" customHeight="1">
      <c r="A274" s="272"/>
      <c r="B274" s="236" t="s">
        <v>532</v>
      </c>
      <c r="C274" s="189">
        <v>31.0</v>
      </c>
      <c r="D274" s="189">
        <v>6.0</v>
      </c>
      <c r="E274" s="180">
        <f t="shared" si="30"/>
        <v>0.3</v>
      </c>
      <c r="F274" s="286">
        <f t="shared" si="31"/>
        <v>55.8</v>
      </c>
      <c r="G274" s="189">
        <f t="shared" si="32"/>
        <v>27.9</v>
      </c>
      <c r="H274" s="287">
        <f t="shared" si="33"/>
        <v>6</v>
      </c>
      <c r="I274" s="287">
        <f t="shared" si="34"/>
        <v>3</v>
      </c>
      <c r="J274" s="288">
        <f t="shared" si="35"/>
        <v>2</v>
      </c>
      <c r="K274" s="288">
        <f t="shared" si="36"/>
        <v>1</v>
      </c>
      <c r="L274" s="289">
        <f>(I274*$F$259+J274*$F$260+K274*$F$261)*(1+2%)^4</f>
        <v>702958.5055</v>
      </c>
      <c r="M274" s="289">
        <f>(I274*'Modelo Matriz de Gastos (Ejempl'!$D$293+J274+'Modelo Matriz de Gastos (Ejempl'!$D$303+K274+'Modelo Matriz de Gastos (Ejempl'!$D$314)</f>
        <v>214473</v>
      </c>
      <c r="N274" s="220"/>
      <c r="O274" s="220"/>
      <c r="P274" s="220"/>
      <c r="Q274" s="220"/>
      <c r="R274" s="220"/>
      <c r="S274" s="220"/>
      <c r="T274" s="220"/>
      <c r="U274" s="220"/>
      <c r="V274" s="220"/>
      <c r="W274" s="220"/>
      <c r="X274" s="220"/>
      <c r="Y274" s="220"/>
      <c r="Z274" s="220"/>
      <c r="AA274" s="220"/>
      <c r="AB274" s="220"/>
      <c r="AC274" s="220"/>
      <c r="AD274" s="220"/>
      <c r="AE274" s="220"/>
      <c r="AF274" s="220"/>
      <c r="AG274" s="220"/>
      <c r="AH274" s="220"/>
      <c r="AI274" s="220"/>
      <c r="AJ274" s="220"/>
      <c r="AK274" s="220"/>
      <c r="AL274" s="220"/>
      <c r="AM274" s="220"/>
      <c r="AN274" s="220"/>
      <c r="AO274" s="220"/>
      <c r="AP274" s="220"/>
      <c r="AQ274" s="220"/>
      <c r="AR274" s="220"/>
      <c r="AS274" s="220"/>
      <c r="AT274" s="220"/>
      <c r="AU274" s="220"/>
      <c r="AV274" s="220"/>
      <c r="AW274" s="220"/>
      <c r="AX274" s="220"/>
      <c r="AY274" s="220"/>
      <c r="AZ274" s="220"/>
    </row>
    <row r="275" ht="15.75" customHeight="1">
      <c r="A275" s="272"/>
      <c r="B275" s="236" t="s">
        <v>533</v>
      </c>
      <c r="C275" s="189">
        <v>30.0</v>
      </c>
      <c r="D275" s="189">
        <v>6.0</v>
      </c>
      <c r="E275" s="180">
        <f t="shared" si="30"/>
        <v>0.2</v>
      </c>
      <c r="F275" s="286">
        <f t="shared" si="31"/>
        <v>36</v>
      </c>
      <c r="G275" s="189">
        <f t="shared" si="32"/>
        <v>18</v>
      </c>
      <c r="H275" s="287">
        <f t="shared" si="33"/>
        <v>4</v>
      </c>
      <c r="I275" s="287">
        <f t="shared" si="34"/>
        <v>2</v>
      </c>
      <c r="J275" s="288">
        <f t="shared" si="35"/>
        <v>1</v>
      </c>
      <c r="K275" s="288">
        <f t="shared" si="36"/>
        <v>1</v>
      </c>
      <c r="L275" s="289">
        <f>(I275*$F$259+J275*$F$260+K275*$F$261)*(1+2%)^5</f>
        <v>491785.1918</v>
      </c>
      <c r="M275" s="289">
        <f>(I275*'Modelo Matriz de Gastos (Ejempl'!$D$293+J275+'Modelo Matriz de Gastos (Ejempl'!$D$303+K275+'Modelo Matriz de Gastos (Ejempl'!$D$314)</f>
        <v>178172</v>
      </c>
      <c r="N275" s="220"/>
      <c r="O275" s="220"/>
      <c r="P275" s="220"/>
      <c r="Q275" s="220"/>
      <c r="R275" s="220"/>
      <c r="S275" s="220"/>
      <c r="T275" s="220"/>
      <c r="U275" s="220"/>
      <c r="V275" s="220"/>
      <c r="W275" s="220"/>
      <c r="X275" s="220"/>
      <c r="Y275" s="220"/>
      <c r="Z275" s="220"/>
      <c r="AA275" s="220"/>
      <c r="AB275" s="220"/>
      <c r="AC275" s="220"/>
      <c r="AD275" s="220"/>
      <c r="AE275" s="220"/>
      <c r="AF275" s="220"/>
      <c r="AG275" s="220"/>
      <c r="AH275" s="220"/>
      <c r="AI275" s="220"/>
      <c r="AJ275" s="220"/>
      <c r="AK275" s="220"/>
      <c r="AL275" s="220"/>
      <c r="AM275" s="220"/>
      <c r="AN275" s="220"/>
      <c r="AO275" s="220"/>
      <c r="AP275" s="220"/>
      <c r="AQ275" s="220"/>
      <c r="AR275" s="220"/>
      <c r="AS275" s="220"/>
      <c r="AT275" s="220"/>
      <c r="AU275" s="220"/>
      <c r="AV275" s="220"/>
      <c r="AW275" s="220"/>
      <c r="AX275" s="220"/>
      <c r="AY275" s="220"/>
      <c r="AZ275" s="220"/>
    </row>
    <row r="276" ht="15.75" customHeight="1">
      <c r="A276" s="272"/>
      <c r="B276" s="236" t="s">
        <v>534</v>
      </c>
      <c r="C276" s="189">
        <v>31.0</v>
      </c>
      <c r="D276" s="189">
        <v>6.0</v>
      </c>
      <c r="E276" s="180">
        <f t="shared" si="30"/>
        <v>0.6</v>
      </c>
      <c r="F276" s="286">
        <f t="shared" si="31"/>
        <v>111.6</v>
      </c>
      <c r="G276" s="189">
        <f t="shared" si="32"/>
        <v>55.8</v>
      </c>
      <c r="H276" s="287">
        <f t="shared" si="33"/>
        <v>11</v>
      </c>
      <c r="I276" s="287">
        <f t="shared" si="34"/>
        <v>5</v>
      </c>
      <c r="J276" s="288">
        <f t="shared" si="35"/>
        <v>3</v>
      </c>
      <c r="K276" s="288">
        <f t="shared" si="36"/>
        <v>2</v>
      </c>
      <c r="L276" s="289">
        <f>(I276*$F$259+J276*$F$260+K276*$F$261)*(1+2%)^6</f>
        <v>1232978.925</v>
      </c>
      <c r="M276" s="289">
        <f>(I276*'Modelo Matriz de Gastos (Ejempl'!$D$293+J276+'Modelo Matriz de Gastos (Ejempl'!$D$303+K276+'Modelo Matriz de Gastos (Ejempl'!$D$314)</f>
        <v>287075</v>
      </c>
      <c r="N276" s="220"/>
      <c r="O276" s="220"/>
      <c r="P276" s="220"/>
      <c r="Q276" s="220"/>
      <c r="R276" s="220"/>
      <c r="S276" s="220"/>
      <c r="T276" s="220"/>
      <c r="U276" s="220"/>
      <c r="V276" s="220"/>
      <c r="W276" s="220"/>
      <c r="X276" s="220"/>
      <c r="Y276" s="220"/>
      <c r="Z276" s="220"/>
      <c r="AA276" s="220"/>
      <c r="AB276" s="220"/>
      <c r="AC276" s="220"/>
      <c r="AD276" s="220"/>
      <c r="AE276" s="220"/>
      <c r="AF276" s="220"/>
      <c r="AG276" s="220"/>
      <c r="AH276" s="220"/>
      <c r="AI276" s="220"/>
      <c r="AJ276" s="220"/>
      <c r="AK276" s="220"/>
      <c r="AL276" s="220"/>
      <c r="AM276" s="220"/>
      <c r="AN276" s="220"/>
      <c r="AO276" s="220"/>
      <c r="AP276" s="220"/>
      <c r="AQ276" s="220"/>
      <c r="AR276" s="220"/>
      <c r="AS276" s="220"/>
      <c r="AT276" s="220"/>
      <c r="AU276" s="220"/>
      <c r="AV276" s="220"/>
      <c r="AW276" s="220"/>
      <c r="AX276" s="220"/>
      <c r="AY276" s="220"/>
      <c r="AZ276" s="220"/>
    </row>
    <row r="277" ht="15.75" customHeight="1">
      <c r="A277" s="272"/>
      <c r="B277" s="236" t="s">
        <v>535</v>
      </c>
      <c r="C277" s="189">
        <v>31.0</v>
      </c>
      <c r="D277" s="189">
        <v>6.0</v>
      </c>
      <c r="E277" s="180">
        <f t="shared" si="30"/>
        <v>0.6</v>
      </c>
      <c r="F277" s="286">
        <f t="shared" si="31"/>
        <v>111.6</v>
      </c>
      <c r="G277" s="189">
        <f t="shared" si="32"/>
        <v>55.8</v>
      </c>
      <c r="H277" s="287">
        <f t="shared" si="33"/>
        <v>11</v>
      </c>
      <c r="I277" s="287">
        <f t="shared" si="34"/>
        <v>5</v>
      </c>
      <c r="J277" s="288">
        <f t="shared" si="35"/>
        <v>3</v>
      </c>
      <c r="K277" s="288">
        <f t="shared" si="36"/>
        <v>2</v>
      </c>
      <c r="L277" s="289">
        <f>(I277*$F$259+J277*$F$260+K277*$F$261)*(1+2%)^7</f>
        <v>1257638.503</v>
      </c>
      <c r="M277" s="289">
        <f>(I277*'Modelo Matriz de Gastos (Ejempl'!$D$293+J277+'Modelo Matriz de Gastos (Ejempl'!$D$303+K277+'Modelo Matriz de Gastos (Ejempl'!$D$314)</f>
        <v>287075</v>
      </c>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c r="AN277" s="220"/>
      <c r="AO277" s="220"/>
      <c r="AP277" s="220"/>
      <c r="AQ277" s="220"/>
      <c r="AR277" s="220"/>
      <c r="AS277" s="220"/>
      <c r="AT277" s="220"/>
      <c r="AU277" s="220"/>
      <c r="AV277" s="220"/>
      <c r="AW277" s="220"/>
      <c r="AX277" s="220"/>
      <c r="AY277" s="220"/>
      <c r="AZ277" s="220"/>
    </row>
    <row r="278" ht="15.75" customHeight="1">
      <c r="A278" s="272"/>
      <c r="B278" s="236" t="s">
        <v>536</v>
      </c>
      <c r="C278" s="189">
        <v>30.0</v>
      </c>
      <c r="D278" s="189">
        <v>6.0</v>
      </c>
      <c r="E278" s="180">
        <f t="shared" si="30"/>
        <v>0.3</v>
      </c>
      <c r="F278" s="286">
        <f t="shared" si="31"/>
        <v>54</v>
      </c>
      <c r="G278" s="189">
        <f t="shared" si="32"/>
        <v>27</v>
      </c>
      <c r="H278" s="287">
        <f t="shared" si="33"/>
        <v>5</v>
      </c>
      <c r="I278" s="287">
        <f t="shared" si="34"/>
        <v>2</v>
      </c>
      <c r="J278" s="288">
        <f t="shared" si="35"/>
        <v>2</v>
      </c>
      <c r="K278" s="288">
        <f t="shared" si="36"/>
        <v>1</v>
      </c>
      <c r="L278" s="289">
        <f>(I278*$F$259+J278*$F$260+K278*$F$261)*(1+2%)^8</f>
        <v>654576.8047</v>
      </c>
      <c r="M278" s="289">
        <f>(I278*'Modelo Matriz de Gastos (Ejempl'!$D$293+J278+'Modelo Matriz de Gastos (Ejempl'!$D$303+K278+'Modelo Matriz de Gastos (Ejempl'!$D$314)</f>
        <v>178173</v>
      </c>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c r="AN278" s="220"/>
      <c r="AO278" s="220"/>
      <c r="AP278" s="220"/>
      <c r="AQ278" s="220"/>
      <c r="AR278" s="220"/>
      <c r="AS278" s="220"/>
      <c r="AT278" s="220"/>
      <c r="AU278" s="220"/>
      <c r="AV278" s="220"/>
      <c r="AW278" s="220"/>
      <c r="AX278" s="220"/>
      <c r="AY278" s="220"/>
      <c r="AZ278" s="220"/>
    </row>
    <row r="279" ht="15.75" customHeight="1">
      <c r="A279" s="272"/>
      <c r="B279" s="236" t="s">
        <v>537</v>
      </c>
      <c r="C279" s="189">
        <v>31.0</v>
      </c>
      <c r="D279" s="189">
        <v>6.0</v>
      </c>
      <c r="E279" s="180">
        <f t="shared" si="30"/>
        <v>0.4</v>
      </c>
      <c r="F279" s="286">
        <f t="shared" si="31"/>
        <v>74.4</v>
      </c>
      <c r="G279" s="189">
        <f t="shared" si="32"/>
        <v>37.2</v>
      </c>
      <c r="H279" s="287">
        <f t="shared" si="33"/>
        <v>7</v>
      </c>
      <c r="I279" s="287">
        <f t="shared" si="34"/>
        <v>3</v>
      </c>
      <c r="J279" s="288">
        <f t="shared" si="35"/>
        <v>2</v>
      </c>
      <c r="K279" s="288">
        <f t="shared" si="36"/>
        <v>1</v>
      </c>
      <c r="L279" s="289">
        <f>(I279*$F$259+J279*$F$260+K279*$F$261)*(1+2%)^9</f>
        <v>776122.9914</v>
      </c>
      <c r="M279" s="289">
        <f>(I279*'Modelo Matriz de Gastos (Ejempl'!$D$293+J279+'Modelo Matriz de Gastos (Ejempl'!$D$303+K279+'Modelo Matriz de Gastos (Ejempl'!$D$314)</f>
        <v>214473</v>
      </c>
      <c r="N279" s="220"/>
      <c r="O279" s="220"/>
      <c r="P279" s="220"/>
      <c r="Q279" s="220"/>
      <c r="R279" s="220"/>
      <c r="S279" s="220"/>
      <c r="T279" s="220"/>
      <c r="U279" s="220"/>
      <c r="V279" s="220"/>
      <c r="W279" s="220"/>
      <c r="X279" s="220"/>
      <c r="Y279" s="220"/>
      <c r="Z279" s="220"/>
      <c r="AA279" s="220"/>
      <c r="AB279" s="220"/>
      <c r="AC279" s="220"/>
      <c r="AD279" s="220"/>
      <c r="AE279" s="220"/>
      <c r="AF279" s="220"/>
      <c r="AG279" s="220"/>
      <c r="AH279" s="220"/>
      <c r="AI279" s="220"/>
      <c r="AJ279" s="220"/>
      <c r="AK279" s="220"/>
      <c r="AL279" s="220"/>
      <c r="AM279" s="220"/>
      <c r="AN279" s="220"/>
      <c r="AO279" s="220"/>
      <c r="AP279" s="220"/>
      <c r="AQ279" s="220"/>
      <c r="AR279" s="220"/>
      <c r="AS279" s="220"/>
      <c r="AT279" s="220"/>
      <c r="AU279" s="220"/>
      <c r="AV279" s="220"/>
      <c r="AW279" s="220"/>
      <c r="AX279" s="220"/>
      <c r="AY279" s="220"/>
      <c r="AZ279" s="220"/>
    </row>
    <row r="280" ht="15.75" customHeight="1">
      <c r="A280" s="272"/>
      <c r="B280" s="236" t="s">
        <v>538</v>
      </c>
      <c r="C280" s="189">
        <v>30.0</v>
      </c>
      <c r="D280" s="189">
        <v>6.0</v>
      </c>
      <c r="E280" s="180">
        <f t="shared" si="30"/>
        <v>0.4</v>
      </c>
      <c r="F280" s="286">
        <f t="shared" si="31"/>
        <v>72</v>
      </c>
      <c r="G280" s="189">
        <f t="shared" si="32"/>
        <v>36</v>
      </c>
      <c r="H280" s="287">
        <f t="shared" si="33"/>
        <v>7</v>
      </c>
      <c r="I280" s="287">
        <f t="shared" si="34"/>
        <v>3</v>
      </c>
      <c r="J280" s="288">
        <f t="shared" si="35"/>
        <v>2</v>
      </c>
      <c r="K280" s="288">
        <f t="shared" si="36"/>
        <v>1</v>
      </c>
      <c r="L280" s="289">
        <f>(I280*$F$259+J280*$F$260+K280*$F$261)*(1+2%)^10</f>
        <v>791645.4512</v>
      </c>
      <c r="M280" s="289">
        <f>(I280*'Modelo Matriz de Gastos (Ejempl'!$D$293+J280+'Modelo Matriz de Gastos (Ejempl'!$D$303+K280+'Modelo Matriz de Gastos (Ejempl'!$D$314)</f>
        <v>214473</v>
      </c>
      <c r="N280" s="220"/>
      <c r="O280" s="220"/>
      <c r="P280" s="220"/>
      <c r="Q280" s="220"/>
      <c r="R280" s="220"/>
      <c r="S280" s="220"/>
      <c r="T280" s="220"/>
      <c r="U280" s="220"/>
      <c r="V280" s="220"/>
      <c r="W280" s="220"/>
      <c r="X280" s="220"/>
      <c r="Y280" s="220"/>
      <c r="Z280" s="220"/>
      <c r="AA280" s="220"/>
      <c r="AB280" s="220"/>
      <c r="AC280" s="220"/>
      <c r="AD280" s="220"/>
      <c r="AE280" s="220"/>
      <c r="AF280" s="220"/>
      <c r="AG280" s="220"/>
      <c r="AH280" s="220"/>
      <c r="AI280" s="220"/>
      <c r="AJ280" s="220"/>
      <c r="AK280" s="220"/>
      <c r="AL280" s="220"/>
      <c r="AM280" s="220"/>
      <c r="AN280" s="220"/>
      <c r="AO280" s="220"/>
      <c r="AP280" s="220"/>
      <c r="AQ280" s="220"/>
      <c r="AR280" s="220"/>
      <c r="AS280" s="220"/>
      <c r="AT280" s="220"/>
      <c r="AU280" s="220"/>
      <c r="AV280" s="220"/>
      <c r="AW280" s="220"/>
      <c r="AX280" s="220"/>
      <c r="AY280" s="220"/>
      <c r="AZ280" s="220"/>
    </row>
    <row r="281" ht="15.75" customHeight="1">
      <c r="A281" s="272"/>
      <c r="B281" s="236" t="s">
        <v>539</v>
      </c>
      <c r="C281" s="189">
        <v>31.0</v>
      </c>
      <c r="D281" s="189">
        <v>6.0</v>
      </c>
      <c r="E281" s="180">
        <f t="shared" si="30"/>
        <v>0.5</v>
      </c>
      <c r="F281" s="286">
        <f t="shared" si="31"/>
        <v>93</v>
      </c>
      <c r="G281" s="189">
        <f t="shared" si="32"/>
        <v>46.5</v>
      </c>
      <c r="H281" s="287">
        <f t="shared" si="33"/>
        <v>9</v>
      </c>
      <c r="I281" s="287">
        <f t="shared" si="34"/>
        <v>4</v>
      </c>
      <c r="J281" s="288">
        <f t="shared" si="35"/>
        <v>3</v>
      </c>
      <c r="K281" s="288">
        <f t="shared" si="36"/>
        <v>2</v>
      </c>
      <c r="L281" s="289">
        <f>(I281*$F$259+J281*$F$260+K281*$F$261)*(1+2%)^11</f>
        <v>1248472.143</v>
      </c>
      <c r="M281" s="289">
        <f>(I281*'Modelo Matriz de Gastos (Ejempl'!$D$293+J281+'Modelo Matriz de Gastos (Ejempl'!$D$303+K281+'Modelo Matriz de Gastos (Ejempl'!$D$314)</f>
        <v>250775</v>
      </c>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0"/>
      <c r="AL281" s="220"/>
      <c r="AM281" s="220"/>
      <c r="AN281" s="220"/>
      <c r="AO281" s="220"/>
      <c r="AP281" s="220"/>
      <c r="AQ281" s="220"/>
      <c r="AR281" s="220"/>
      <c r="AS281" s="220"/>
      <c r="AT281" s="220"/>
      <c r="AU281" s="220"/>
      <c r="AV281" s="220"/>
      <c r="AW281" s="220"/>
      <c r="AX281" s="220"/>
      <c r="AY281" s="220"/>
      <c r="AZ281" s="220"/>
    </row>
    <row r="282" ht="15.75" customHeight="1">
      <c r="A282" s="272"/>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c r="AB282" s="220"/>
      <c r="AC282" s="220"/>
      <c r="AD282" s="220"/>
      <c r="AE282" s="220"/>
      <c r="AF282" s="220"/>
      <c r="AG282" s="220"/>
      <c r="AH282" s="220"/>
      <c r="AI282" s="220"/>
      <c r="AJ282" s="220"/>
      <c r="AK282" s="220"/>
      <c r="AL282" s="220"/>
      <c r="AM282" s="220"/>
      <c r="AN282" s="220"/>
      <c r="AO282" s="220"/>
      <c r="AP282" s="220"/>
      <c r="AQ282" s="220"/>
      <c r="AR282" s="220"/>
      <c r="AS282" s="220"/>
      <c r="AT282" s="220"/>
      <c r="AU282" s="220"/>
      <c r="AV282" s="220"/>
      <c r="AW282" s="220"/>
      <c r="AX282" s="220"/>
      <c r="AY282" s="220"/>
      <c r="AZ282" s="220"/>
    </row>
    <row r="283" ht="27.75" customHeight="1">
      <c r="A283" s="272"/>
      <c r="B283" s="283" t="s">
        <v>640</v>
      </c>
      <c r="C283" s="47"/>
      <c r="D283" s="47"/>
      <c r="E283" s="47"/>
      <c r="F283" s="47"/>
      <c r="G283" s="220"/>
      <c r="H283" s="220"/>
      <c r="I283" s="220"/>
      <c r="J283" s="220"/>
      <c r="K283" s="220"/>
      <c r="L283" s="220"/>
      <c r="M283" s="220"/>
      <c r="N283" s="220"/>
      <c r="O283" s="220"/>
      <c r="P283" s="220"/>
      <c r="Q283" s="220"/>
      <c r="R283" s="220"/>
      <c r="S283" s="220"/>
      <c r="T283" s="220"/>
      <c r="U283" s="220"/>
      <c r="V283" s="220"/>
      <c r="W283" s="220"/>
      <c r="X283" s="220"/>
      <c r="Y283" s="220"/>
      <c r="Z283" s="220"/>
      <c r="AA283" s="220"/>
      <c r="AB283" s="220"/>
      <c r="AC283" s="220"/>
      <c r="AD283" s="220"/>
      <c r="AE283" s="220"/>
      <c r="AF283" s="220"/>
      <c r="AG283" s="220"/>
      <c r="AH283" s="220"/>
      <c r="AI283" s="220"/>
      <c r="AJ283" s="220"/>
      <c r="AK283" s="220"/>
      <c r="AL283" s="220"/>
      <c r="AM283" s="220"/>
      <c r="AN283" s="220"/>
      <c r="AO283" s="220"/>
      <c r="AP283" s="220"/>
      <c r="AQ283" s="220"/>
      <c r="AR283" s="220"/>
      <c r="AS283" s="220"/>
      <c r="AT283" s="220"/>
      <c r="AU283" s="220"/>
      <c r="AV283" s="220"/>
      <c r="AW283" s="220"/>
      <c r="AX283" s="220"/>
      <c r="AY283" s="220"/>
      <c r="AZ283" s="220"/>
    </row>
    <row r="284" ht="46.5" customHeight="1">
      <c r="A284" s="272"/>
      <c r="B284" s="284" t="s">
        <v>520</v>
      </c>
      <c r="C284" s="285" t="s">
        <v>641</v>
      </c>
      <c r="D284" s="285" t="s">
        <v>642</v>
      </c>
      <c r="E284" s="284" t="s">
        <v>643</v>
      </c>
      <c r="F284" s="284" t="s">
        <v>527</v>
      </c>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c r="AQ284" s="220"/>
      <c r="AR284" s="220"/>
      <c r="AS284" s="220"/>
      <c r="AT284" s="220"/>
      <c r="AU284" s="220"/>
      <c r="AV284" s="220"/>
      <c r="AW284" s="220"/>
      <c r="AX284" s="220"/>
      <c r="AY284" s="220"/>
      <c r="AZ284" s="220"/>
    </row>
    <row r="285" ht="15.75" customHeight="1">
      <c r="A285" s="272"/>
      <c r="B285" s="236" t="s">
        <v>598</v>
      </c>
      <c r="C285" s="189">
        <f t="shared" ref="C285:C296" si="37">E202+G202</f>
        <v>0</v>
      </c>
      <c r="D285" s="180">
        <f t="shared" ref="D285:D296" si="38">ROUNDDOWN(C285*$C$265,0)</f>
        <v>0</v>
      </c>
      <c r="E285" s="180">
        <f t="shared" ref="E285:E296" si="39">$C$264*D285</f>
        <v>0</v>
      </c>
      <c r="F285" s="286">
        <f>E285*$F$262</f>
        <v>0</v>
      </c>
      <c r="G285" s="220"/>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c r="AO285" s="220"/>
      <c r="AP285" s="220"/>
      <c r="AQ285" s="220"/>
      <c r="AR285" s="220"/>
      <c r="AS285" s="220"/>
      <c r="AT285" s="220"/>
      <c r="AU285" s="220"/>
      <c r="AV285" s="220"/>
      <c r="AW285" s="220"/>
      <c r="AX285" s="220"/>
      <c r="AY285" s="220"/>
      <c r="AZ285" s="220"/>
    </row>
    <row r="286" ht="15.75" customHeight="1">
      <c r="A286" s="272"/>
      <c r="B286" s="236" t="s">
        <v>599</v>
      </c>
      <c r="C286" s="189">
        <f t="shared" si="37"/>
        <v>0</v>
      </c>
      <c r="D286" s="180">
        <f t="shared" si="38"/>
        <v>0</v>
      </c>
      <c r="E286" s="180">
        <f t="shared" si="39"/>
        <v>0</v>
      </c>
      <c r="F286" s="286">
        <f>E286*$F$262*(1+2%)^1</f>
        <v>0</v>
      </c>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20"/>
      <c r="AJ286" s="220"/>
      <c r="AK286" s="220"/>
      <c r="AL286" s="220"/>
      <c r="AM286" s="220"/>
      <c r="AN286" s="220"/>
      <c r="AO286" s="220"/>
      <c r="AP286" s="220"/>
      <c r="AQ286" s="220"/>
      <c r="AR286" s="220"/>
      <c r="AS286" s="220"/>
      <c r="AT286" s="220"/>
      <c r="AU286" s="220"/>
      <c r="AV286" s="220"/>
      <c r="AW286" s="220"/>
      <c r="AX286" s="220"/>
      <c r="AY286" s="220"/>
      <c r="AZ286" s="220"/>
    </row>
    <row r="287" ht="15.75" customHeight="1">
      <c r="A287" s="272"/>
      <c r="B287" s="236" t="s">
        <v>600</v>
      </c>
      <c r="C287" s="189">
        <f t="shared" si="37"/>
        <v>0</v>
      </c>
      <c r="D287" s="180">
        <f t="shared" si="38"/>
        <v>0</v>
      </c>
      <c r="E287" s="180">
        <f t="shared" si="39"/>
        <v>0</v>
      </c>
      <c r="F287" s="286">
        <f>E287*$F$262*(1+2%)^2</f>
        <v>0</v>
      </c>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c r="AN287" s="220"/>
      <c r="AO287" s="220"/>
      <c r="AP287" s="220"/>
      <c r="AQ287" s="220"/>
      <c r="AR287" s="220"/>
      <c r="AS287" s="220"/>
      <c r="AT287" s="220"/>
      <c r="AU287" s="220"/>
      <c r="AV287" s="220"/>
      <c r="AW287" s="220"/>
      <c r="AX287" s="220"/>
      <c r="AY287" s="220"/>
      <c r="AZ287" s="220"/>
    </row>
    <row r="288" ht="15.75" customHeight="1">
      <c r="A288" s="272"/>
      <c r="B288" s="236" t="s">
        <v>531</v>
      </c>
      <c r="C288" s="189">
        <f t="shared" si="37"/>
        <v>1</v>
      </c>
      <c r="D288" s="180">
        <f t="shared" si="38"/>
        <v>0</v>
      </c>
      <c r="E288" s="180">
        <f t="shared" si="39"/>
        <v>0</v>
      </c>
      <c r="F288" s="286">
        <f>E288*$F$262*(1+2%)^3</f>
        <v>0</v>
      </c>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c r="AN288" s="220"/>
      <c r="AO288" s="220"/>
      <c r="AP288" s="220"/>
      <c r="AQ288" s="220"/>
      <c r="AR288" s="220"/>
      <c r="AS288" s="220"/>
      <c r="AT288" s="220"/>
      <c r="AU288" s="220"/>
      <c r="AV288" s="220"/>
      <c r="AW288" s="220"/>
      <c r="AX288" s="220"/>
      <c r="AY288" s="220"/>
      <c r="AZ288" s="220"/>
    </row>
    <row r="289" ht="15.75" customHeight="1">
      <c r="A289" s="272"/>
      <c r="B289" s="236" t="s">
        <v>601</v>
      </c>
      <c r="C289" s="189">
        <f t="shared" si="37"/>
        <v>1</v>
      </c>
      <c r="D289" s="180">
        <f t="shared" si="38"/>
        <v>0</v>
      </c>
      <c r="E289" s="180">
        <f t="shared" si="39"/>
        <v>0</v>
      </c>
      <c r="F289" s="286">
        <f>E289*$F$262*(1+2%)^4</f>
        <v>0</v>
      </c>
      <c r="G289" s="220"/>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c r="AN289" s="220"/>
      <c r="AO289" s="220"/>
      <c r="AP289" s="220"/>
      <c r="AQ289" s="220"/>
      <c r="AR289" s="220"/>
      <c r="AS289" s="220"/>
      <c r="AT289" s="220"/>
      <c r="AU289" s="220"/>
      <c r="AV289" s="220"/>
      <c r="AW289" s="220"/>
      <c r="AX289" s="220"/>
      <c r="AY289" s="220"/>
      <c r="AZ289" s="220"/>
    </row>
    <row r="290" ht="15.75" customHeight="1">
      <c r="A290" s="272"/>
      <c r="B290" s="236" t="s">
        <v>602</v>
      </c>
      <c r="C290" s="189">
        <f t="shared" si="37"/>
        <v>1</v>
      </c>
      <c r="D290" s="180">
        <f t="shared" si="38"/>
        <v>0</v>
      </c>
      <c r="E290" s="180">
        <f t="shared" si="39"/>
        <v>0</v>
      </c>
      <c r="F290" s="286">
        <f>E290*$F$262*(1+2%)^5</f>
        <v>0</v>
      </c>
      <c r="G290" s="220"/>
      <c r="H290" s="220"/>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c r="AN290" s="220"/>
      <c r="AO290" s="220"/>
      <c r="AP290" s="220"/>
      <c r="AQ290" s="220"/>
      <c r="AR290" s="220"/>
      <c r="AS290" s="220"/>
      <c r="AT290" s="220"/>
      <c r="AU290" s="220"/>
      <c r="AV290" s="220"/>
      <c r="AW290" s="220"/>
      <c r="AX290" s="220"/>
      <c r="AY290" s="220"/>
      <c r="AZ290" s="220"/>
    </row>
    <row r="291" ht="15.75" customHeight="1">
      <c r="A291" s="272"/>
      <c r="B291" s="236" t="s">
        <v>603</v>
      </c>
      <c r="C291" s="189">
        <f t="shared" si="37"/>
        <v>0</v>
      </c>
      <c r="D291" s="180">
        <f t="shared" si="38"/>
        <v>0</v>
      </c>
      <c r="E291" s="180">
        <f t="shared" si="39"/>
        <v>0</v>
      </c>
      <c r="F291" s="286">
        <f>E291*$F$262*(1+2%)^6</f>
        <v>0</v>
      </c>
      <c r="G291" s="220"/>
      <c r="H291" s="220"/>
      <c r="I291" s="220"/>
      <c r="J291" s="220"/>
      <c r="K291" s="220"/>
      <c r="L291" s="220"/>
      <c r="M291" s="220"/>
      <c r="N291" s="220"/>
      <c r="O291" s="220"/>
      <c r="P291" s="220"/>
      <c r="Q291" s="220"/>
      <c r="R291" s="220"/>
      <c r="S291" s="220"/>
      <c r="T291" s="220"/>
      <c r="U291" s="220"/>
      <c r="V291" s="220"/>
      <c r="W291" s="220"/>
      <c r="X291" s="220"/>
      <c r="Y291" s="220"/>
      <c r="Z291" s="220"/>
      <c r="AA291" s="220"/>
      <c r="AB291" s="220"/>
      <c r="AC291" s="220"/>
      <c r="AD291" s="220"/>
      <c r="AE291" s="220"/>
      <c r="AF291" s="220"/>
      <c r="AG291" s="220"/>
      <c r="AH291" s="220"/>
      <c r="AI291" s="220"/>
      <c r="AJ291" s="220"/>
      <c r="AK291" s="220"/>
      <c r="AL291" s="220"/>
      <c r="AM291" s="220"/>
      <c r="AN291" s="220"/>
      <c r="AO291" s="220"/>
      <c r="AP291" s="220"/>
      <c r="AQ291" s="220"/>
      <c r="AR291" s="220"/>
      <c r="AS291" s="220"/>
      <c r="AT291" s="220"/>
      <c r="AU291" s="220"/>
      <c r="AV291" s="220"/>
      <c r="AW291" s="220"/>
      <c r="AX291" s="220"/>
      <c r="AY291" s="220"/>
      <c r="AZ291" s="220"/>
    </row>
    <row r="292" ht="15.75" customHeight="1">
      <c r="A292" s="272"/>
      <c r="B292" s="236" t="s">
        <v>604</v>
      </c>
      <c r="C292" s="189">
        <f t="shared" si="37"/>
        <v>3</v>
      </c>
      <c r="D292" s="180">
        <f t="shared" si="38"/>
        <v>1</v>
      </c>
      <c r="E292" s="180">
        <f t="shared" si="39"/>
        <v>10</v>
      </c>
      <c r="F292" s="286">
        <f>E292*$F$262*(1+2%)^7</f>
        <v>946006.2983</v>
      </c>
      <c r="G292" s="220"/>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0"/>
      <c r="AT292" s="220"/>
      <c r="AU292" s="220"/>
      <c r="AV292" s="220"/>
      <c r="AW292" s="220"/>
      <c r="AX292" s="220"/>
      <c r="AY292" s="220"/>
      <c r="AZ292" s="220"/>
    </row>
    <row r="293" ht="15.75" customHeight="1">
      <c r="A293" s="272"/>
      <c r="B293" s="236" t="s">
        <v>605</v>
      </c>
      <c r="C293" s="189">
        <f t="shared" si="37"/>
        <v>5</v>
      </c>
      <c r="D293" s="180">
        <f t="shared" si="38"/>
        <v>2</v>
      </c>
      <c r="E293" s="180">
        <f t="shared" si="39"/>
        <v>20</v>
      </c>
      <c r="F293" s="286">
        <f>E293*$F$262*(1+2%)^8</f>
        <v>1929852.848</v>
      </c>
      <c r="G293" s="220"/>
      <c r="H293" s="220"/>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c r="AN293" s="220"/>
      <c r="AO293" s="220"/>
      <c r="AP293" s="220"/>
      <c r="AQ293" s="220"/>
      <c r="AR293" s="220"/>
      <c r="AS293" s="220"/>
      <c r="AT293" s="220"/>
      <c r="AU293" s="220"/>
      <c r="AV293" s="220"/>
      <c r="AW293" s="220"/>
      <c r="AX293" s="220"/>
      <c r="AY293" s="220"/>
      <c r="AZ293" s="220"/>
    </row>
    <row r="294" ht="15.75" customHeight="1">
      <c r="A294" s="272"/>
      <c r="B294" s="236" t="s">
        <v>606</v>
      </c>
      <c r="C294" s="189">
        <f t="shared" si="37"/>
        <v>5</v>
      </c>
      <c r="D294" s="180">
        <f t="shared" si="38"/>
        <v>2</v>
      </c>
      <c r="E294" s="180">
        <f t="shared" si="39"/>
        <v>20</v>
      </c>
      <c r="F294" s="286">
        <f>E294*$F$262*(1+2%)^9</f>
        <v>1968449.905</v>
      </c>
      <c r="G294" s="220"/>
      <c r="H294" s="220"/>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c r="AI294" s="220"/>
      <c r="AJ294" s="220"/>
      <c r="AK294" s="220"/>
      <c r="AL294" s="220"/>
      <c r="AM294" s="220"/>
      <c r="AN294" s="220"/>
      <c r="AO294" s="220"/>
      <c r="AP294" s="220"/>
      <c r="AQ294" s="220"/>
      <c r="AR294" s="220"/>
      <c r="AS294" s="220"/>
      <c r="AT294" s="220"/>
      <c r="AU294" s="220"/>
      <c r="AV294" s="220"/>
      <c r="AW294" s="220"/>
      <c r="AX294" s="220"/>
      <c r="AY294" s="220"/>
      <c r="AZ294" s="220"/>
    </row>
    <row r="295" ht="15.75" customHeight="1">
      <c r="A295" s="272"/>
      <c r="B295" s="236" t="s">
        <v>607</v>
      </c>
      <c r="C295" s="189">
        <f t="shared" si="37"/>
        <v>5</v>
      </c>
      <c r="D295" s="180">
        <f t="shared" si="38"/>
        <v>2</v>
      </c>
      <c r="E295" s="180">
        <f t="shared" si="39"/>
        <v>20</v>
      </c>
      <c r="F295" s="286">
        <f>E295*$F$262*(1+2%)^10</f>
        <v>2007818.904</v>
      </c>
      <c r="G295" s="220"/>
      <c r="H295" s="220"/>
      <c r="I295" s="220"/>
      <c r="J295" s="220"/>
      <c r="K295" s="220"/>
      <c r="L295" s="220"/>
      <c r="M295" s="220"/>
      <c r="N295" s="220"/>
      <c r="O295" s="220"/>
      <c r="P295" s="220"/>
      <c r="Q295" s="220"/>
      <c r="R295" s="220"/>
      <c r="S295" s="220"/>
      <c r="T295" s="220"/>
      <c r="U295" s="220"/>
      <c r="V295" s="220"/>
      <c r="W295" s="220"/>
      <c r="X295" s="220"/>
      <c r="Y295" s="220"/>
      <c r="Z295" s="220"/>
      <c r="AA295" s="220"/>
      <c r="AB295" s="220"/>
      <c r="AC295" s="220"/>
      <c r="AD295" s="220"/>
      <c r="AE295" s="220"/>
      <c r="AF295" s="220"/>
      <c r="AG295" s="220"/>
      <c r="AH295" s="220"/>
      <c r="AI295" s="220"/>
      <c r="AJ295" s="220"/>
      <c r="AK295" s="220"/>
      <c r="AL295" s="220"/>
      <c r="AM295" s="220"/>
      <c r="AN295" s="220"/>
      <c r="AO295" s="220"/>
      <c r="AP295" s="220"/>
      <c r="AQ295" s="220"/>
      <c r="AR295" s="220"/>
      <c r="AS295" s="220"/>
      <c r="AT295" s="220"/>
      <c r="AU295" s="220"/>
      <c r="AV295" s="220"/>
      <c r="AW295" s="220"/>
      <c r="AX295" s="220"/>
      <c r="AY295" s="220"/>
      <c r="AZ295" s="220"/>
    </row>
    <row r="296" ht="15.75" customHeight="1">
      <c r="A296" s="272"/>
      <c r="B296" s="236" t="s">
        <v>608</v>
      </c>
      <c r="C296" s="189">
        <f t="shared" si="37"/>
        <v>5</v>
      </c>
      <c r="D296" s="180">
        <f t="shared" si="38"/>
        <v>2</v>
      </c>
      <c r="E296" s="180">
        <f t="shared" si="39"/>
        <v>20</v>
      </c>
      <c r="F296" s="286">
        <f>E296*$F$262*(1+2%)^11</f>
        <v>2047975.282</v>
      </c>
      <c r="G296" s="220"/>
      <c r="H296" s="220"/>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c r="AN296" s="220"/>
      <c r="AO296" s="220"/>
      <c r="AP296" s="220"/>
      <c r="AQ296" s="220"/>
      <c r="AR296" s="220"/>
      <c r="AS296" s="220"/>
      <c r="AT296" s="220"/>
      <c r="AU296" s="220"/>
      <c r="AV296" s="220"/>
      <c r="AW296" s="220"/>
      <c r="AX296" s="220"/>
      <c r="AY296" s="220"/>
      <c r="AZ296" s="220"/>
    </row>
    <row r="297" ht="15.75" customHeight="1">
      <c r="A297" s="272"/>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c r="AO297" s="220"/>
      <c r="AP297" s="220"/>
      <c r="AQ297" s="220"/>
      <c r="AR297" s="220"/>
      <c r="AS297" s="220"/>
      <c r="AT297" s="220"/>
      <c r="AU297" s="220"/>
      <c r="AV297" s="220"/>
      <c r="AW297" s="220"/>
      <c r="AX297" s="220"/>
      <c r="AY297" s="220"/>
      <c r="AZ297" s="220"/>
    </row>
    <row r="298" ht="15.75" customHeight="1">
      <c r="A298" s="272"/>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c r="AA298" s="220"/>
      <c r="AB298" s="220"/>
      <c r="AC298" s="220"/>
      <c r="AD298" s="220"/>
      <c r="AE298" s="220"/>
      <c r="AF298" s="220"/>
      <c r="AG298" s="220"/>
      <c r="AH298" s="220"/>
      <c r="AI298" s="220"/>
      <c r="AJ298" s="220"/>
      <c r="AK298" s="220"/>
      <c r="AL298" s="220"/>
      <c r="AM298" s="220"/>
      <c r="AN298" s="220"/>
      <c r="AO298" s="220"/>
      <c r="AP298" s="220"/>
      <c r="AQ298" s="220"/>
      <c r="AR298" s="220"/>
      <c r="AS298" s="220"/>
      <c r="AT298" s="220"/>
      <c r="AU298" s="220"/>
      <c r="AV298" s="220"/>
      <c r="AW298" s="220"/>
      <c r="AX298" s="220"/>
      <c r="AY298" s="220"/>
      <c r="AZ298" s="220"/>
    </row>
    <row r="299" ht="24.75" customHeight="1">
      <c r="A299" s="272"/>
      <c r="B299" s="283" t="s">
        <v>644</v>
      </c>
      <c r="C299" s="47"/>
      <c r="D299" s="47"/>
      <c r="E299" s="47"/>
      <c r="F299" s="47"/>
      <c r="G299" s="47"/>
      <c r="H299" s="47"/>
      <c r="I299" s="47"/>
      <c r="J299" s="47"/>
      <c r="K299" s="47"/>
      <c r="L299" s="12"/>
      <c r="M299" s="220"/>
      <c r="N299" s="220"/>
      <c r="O299" s="220"/>
      <c r="P299" s="220"/>
      <c r="Q299" s="220"/>
      <c r="R299" s="220"/>
      <c r="S299" s="220"/>
      <c r="T299" s="220"/>
      <c r="U299" s="220"/>
      <c r="V299" s="220"/>
      <c r="W299" s="220"/>
      <c r="X299" s="220"/>
      <c r="Y299" s="220"/>
      <c r="Z299" s="220"/>
      <c r="AA299" s="220"/>
      <c r="AB299" s="220"/>
      <c r="AC299" s="220"/>
      <c r="AD299" s="220"/>
      <c r="AE299" s="220"/>
      <c r="AF299" s="220"/>
      <c r="AG299" s="220"/>
      <c r="AH299" s="220"/>
      <c r="AI299" s="220"/>
      <c r="AJ299" s="220"/>
      <c r="AK299" s="220"/>
      <c r="AL299" s="220"/>
      <c r="AM299" s="220"/>
      <c r="AN299" s="220"/>
      <c r="AO299" s="220"/>
      <c r="AP299" s="220"/>
      <c r="AQ299" s="220"/>
      <c r="AR299" s="220"/>
      <c r="AS299" s="220"/>
      <c r="AT299" s="220"/>
      <c r="AU299" s="220"/>
      <c r="AV299" s="220"/>
      <c r="AW299" s="220"/>
      <c r="AX299" s="220"/>
      <c r="AY299" s="220"/>
      <c r="AZ299" s="220"/>
    </row>
    <row r="300" ht="56.25" customHeight="1">
      <c r="A300" s="272"/>
      <c r="B300" s="284" t="s">
        <v>520</v>
      </c>
      <c r="C300" s="284" t="s">
        <v>521</v>
      </c>
      <c r="D300" s="284" t="s">
        <v>522</v>
      </c>
      <c r="E300" s="285" t="s">
        <v>632</v>
      </c>
      <c r="F300" s="285" t="s">
        <v>633</v>
      </c>
      <c r="G300" s="285" t="s">
        <v>634</v>
      </c>
      <c r="H300" s="285" t="s">
        <v>635</v>
      </c>
      <c r="I300" s="285" t="s">
        <v>636</v>
      </c>
      <c r="J300" s="285" t="s">
        <v>637</v>
      </c>
      <c r="K300" s="285" t="s">
        <v>638</v>
      </c>
      <c r="L300" s="285" t="s">
        <v>527</v>
      </c>
      <c r="M300" s="285" t="s">
        <v>639</v>
      </c>
      <c r="N300" s="220"/>
      <c r="O300" s="220"/>
      <c r="P300" s="220"/>
      <c r="Q300" s="220"/>
      <c r="R300" s="220"/>
      <c r="S300" s="220"/>
      <c r="T300" s="220"/>
      <c r="U300" s="220"/>
      <c r="V300" s="220"/>
      <c r="W300" s="220"/>
      <c r="X300" s="220"/>
      <c r="Y300" s="220"/>
      <c r="Z300" s="220"/>
      <c r="AA300" s="220"/>
      <c r="AB300" s="220"/>
      <c r="AC300" s="220"/>
      <c r="AD300" s="220"/>
      <c r="AE300" s="220"/>
      <c r="AF300" s="220"/>
      <c r="AG300" s="220"/>
      <c r="AH300" s="220"/>
      <c r="AI300" s="220"/>
      <c r="AJ300" s="220"/>
      <c r="AK300" s="220"/>
      <c r="AL300" s="220"/>
      <c r="AM300" s="220"/>
      <c r="AN300" s="220"/>
      <c r="AO300" s="220"/>
      <c r="AP300" s="220"/>
      <c r="AQ300" s="220"/>
      <c r="AR300" s="220"/>
      <c r="AS300" s="220"/>
      <c r="AT300" s="220"/>
      <c r="AU300" s="220"/>
      <c r="AV300" s="220"/>
      <c r="AW300" s="220"/>
      <c r="AX300" s="220"/>
      <c r="AY300" s="220"/>
      <c r="AZ300" s="220"/>
    </row>
    <row r="301" ht="15.75" customHeight="1">
      <c r="A301" s="272"/>
      <c r="B301" s="230" t="s">
        <v>528</v>
      </c>
      <c r="C301" s="180">
        <v>31.0</v>
      </c>
      <c r="D301" s="189">
        <v>6.0</v>
      </c>
      <c r="E301" s="180">
        <f t="shared" ref="E301:E312" si="40">G24</f>
        <v>0.7</v>
      </c>
      <c r="F301" s="286">
        <f t="shared" ref="F301:F312" si="41">C301*D301*E301</f>
        <v>130.2</v>
      </c>
      <c r="G301" s="189">
        <f t="shared" ref="G301:G312" si="42">F301/$C$259</f>
        <v>65.1</v>
      </c>
      <c r="H301" s="287">
        <f t="shared" ref="H301:H312" si="43">ROUND(G301*$C$260,0)</f>
        <v>13</v>
      </c>
      <c r="I301" s="287">
        <f t="shared" ref="I301:I312" si="44">ROUNDDOWN(H301*$C$261,0)</f>
        <v>6</v>
      </c>
      <c r="J301" s="288">
        <f t="shared" ref="J301:J312" si="45">ROUND(H301*$C$262,0)</f>
        <v>4</v>
      </c>
      <c r="K301" s="288">
        <f t="shared" ref="K301:K312" si="46">ROUND(H301*$C$263,0)</f>
        <v>3</v>
      </c>
      <c r="L301" s="289">
        <f>(I301*$G$259+J301*$G$260+K301*$G$261)</f>
        <v>1838348.187</v>
      </c>
      <c r="M301" s="289">
        <f>(I301*'Modelo Matriz de Gastos (Ejempl'!$D$293+J301*'Modelo Matriz de Gastos (Ejempl'!D$303+K301*'Modelo Matriz de Gastos (Ejempl'!$D$314)</f>
        <v>579810</v>
      </c>
      <c r="N301" s="220"/>
      <c r="O301" s="220"/>
      <c r="P301" s="220"/>
      <c r="Q301" s="220"/>
      <c r="R301" s="220"/>
      <c r="S301" s="220"/>
      <c r="T301" s="220"/>
      <c r="U301" s="220"/>
      <c r="V301" s="220"/>
      <c r="W301" s="220"/>
      <c r="X301" s="220"/>
      <c r="Y301" s="220"/>
      <c r="Z301" s="220"/>
      <c r="AA301" s="220"/>
      <c r="AB301" s="220"/>
      <c r="AC301" s="220"/>
      <c r="AD301" s="220"/>
      <c r="AE301" s="220"/>
      <c r="AF301" s="220"/>
      <c r="AG301" s="220"/>
      <c r="AH301" s="220"/>
      <c r="AI301" s="220"/>
      <c r="AJ301" s="220"/>
      <c r="AK301" s="220"/>
      <c r="AL301" s="220"/>
      <c r="AM301" s="220"/>
      <c r="AN301" s="220"/>
      <c r="AO301" s="220"/>
      <c r="AP301" s="220"/>
      <c r="AQ301" s="220"/>
      <c r="AR301" s="220"/>
      <c r="AS301" s="220"/>
      <c r="AT301" s="220"/>
      <c r="AU301" s="220"/>
      <c r="AV301" s="220"/>
      <c r="AW301" s="220"/>
      <c r="AX301" s="220"/>
      <c r="AY301" s="220"/>
      <c r="AZ301" s="220"/>
    </row>
    <row r="302" ht="15.75" customHeight="1">
      <c r="A302" s="272"/>
      <c r="B302" s="236" t="s">
        <v>529</v>
      </c>
      <c r="C302" s="180">
        <v>28.0</v>
      </c>
      <c r="D302" s="189">
        <v>6.0</v>
      </c>
      <c r="E302" s="180">
        <f t="shared" si="40"/>
        <v>0.7</v>
      </c>
      <c r="F302" s="286">
        <f t="shared" si="41"/>
        <v>117.6</v>
      </c>
      <c r="G302" s="189">
        <f t="shared" si="42"/>
        <v>58.8</v>
      </c>
      <c r="H302" s="287">
        <f t="shared" si="43"/>
        <v>12</v>
      </c>
      <c r="I302" s="287">
        <f t="shared" si="44"/>
        <v>6</v>
      </c>
      <c r="J302" s="288">
        <f t="shared" si="45"/>
        <v>4</v>
      </c>
      <c r="K302" s="288">
        <f t="shared" si="46"/>
        <v>2</v>
      </c>
      <c r="L302" s="289">
        <f>(I302*$G$259+J302*$G$260+K302*$G$261)*(1+2%)^1</f>
        <v>1680200.972</v>
      </c>
      <c r="M302" s="289">
        <f>(I302*'Modelo Matriz de Gastos (Ejempl'!$D$293+J302*'Modelo Matriz de Gastos (Ejempl'!D$303+K302*'Modelo Matriz de Gastos (Ejempl'!$D$314)</f>
        <v>519540</v>
      </c>
      <c r="N302" s="220"/>
      <c r="O302" s="220"/>
      <c r="P302" s="220"/>
      <c r="Q302" s="220"/>
      <c r="R302" s="220"/>
      <c r="S302" s="220"/>
      <c r="T302" s="220"/>
      <c r="U302" s="220"/>
      <c r="V302" s="220"/>
      <c r="W302" s="220"/>
      <c r="X302" s="220"/>
      <c r="Y302" s="220"/>
      <c r="Z302" s="220"/>
      <c r="AA302" s="220"/>
      <c r="AB302" s="220"/>
      <c r="AC302" s="220"/>
      <c r="AD302" s="220"/>
      <c r="AE302" s="220"/>
      <c r="AF302" s="220"/>
      <c r="AG302" s="220"/>
      <c r="AH302" s="220"/>
      <c r="AI302" s="220"/>
      <c r="AJ302" s="220"/>
      <c r="AK302" s="220"/>
      <c r="AL302" s="220"/>
      <c r="AM302" s="220"/>
      <c r="AN302" s="220"/>
      <c r="AO302" s="220"/>
      <c r="AP302" s="220"/>
      <c r="AQ302" s="220"/>
      <c r="AR302" s="220"/>
      <c r="AS302" s="220"/>
      <c r="AT302" s="220"/>
      <c r="AU302" s="220"/>
      <c r="AV302" s="220"/>
      <c r="AW302" s="220"/>
      <c r="AX302" s="220"/>
      <c r="AY302" s="220"/>
      <c r="AZ302" s="220"/>
    </row>
    <row r="303" ht="15.75" customHeight="1">
      <c r="A303" s="272"/>
      <c r="B303" s="236" t="s">
        <v>530</v>
      </c>
      <c r="C303" s="180">
        <v>31.0</v>
      </c>
      <c r="D303" s="189">
        <v>6.0</v>
      </c>
      <c r="E303" s="180">
        <f t="shared" si="40"/>
        <v>0.5</v>
      </c>
      <c r="F303" s="286">
        <f t="shared" si="41"/>
        <v>93</v>
      </c>
      <c r="G303" s="189">
        <f t="shared" si="42"/>
        <v>46.5</v>
      </c>
      <c r="H303" s="287">
        <f t="shared" si="43"/>
        <v>9</v>
      </c>
      <c r="I303" s="287">
        <f t="shared" si="44"/>
        <v>4</v>
      </c>
      <c r="J303" s="288">
        <f t="shared" si="45"/>
        <v>3</v>
      </c>
      <c r="K303" s="288">
        <f t="shared" si="46"/>
        <v>2</v>
      </c>
      <c r="L303" s="289">
        <f>(I303*$G$259+J303*$G$260+K303*$G$261)*(1+2%)^2</f>
        <v>1324888.626</v>
      </c>
      <c r="M303" s="289">
        <f>(I303*'Modelo Matriz de Gastos (Ejempl'!$D$293+J303*'Modelo Matriz de Gastos (Ejempl'!D$303+K303*'Modelo Matriz de Gastos (Ejempl'!$D$314)</f>
        <v>401640</v>
      </c>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c r="AQ303" s="220"/>
      <c r="AR303" s="220"/>
      <c r="AS303" s="220"/>
      <c r="AT303" s="220"/>
      <c r="AU303" s="220"/>
      <c r="AV303" s="220"/>
      <c r="AW303" s="220"/>
      <c r="AX303" s="220"/>
      <c r="AY303" s="220"/>
      <c r="AZ303" s="220"/>
    </row>
    <row r="304" ht="15.75" customHeight="1">
      <c r="A304" s="272"/>
      <c r="B304" s="236" t="s">
        <v>531</v>
      </c>
      <c r="C304" s="189">
        <v>30.0</v>
      </c>
      <c r="D304" s="189">
        <v>6.0</v>
      </c>
      <c r="E304" s="180">
        <f t="shared" si="40"/>
        <v>0.5</v>
      </c>
      <c r="F304" s="286">
        <f t="shared" si="41"/>
        <v>90</v>
      </c>
      <c r="G304" s="189">
        <f t="shared" si="42"/>
        <v>45</v>
      </c>
      <c r="H304" s="287">
        <f t="shared" si="43"/>
        <v>9</v>
      </c>
      <c r="I304" s="287">
        <f t="shared" si="44"/>
        <v>4</v>
      </c>
      <c r="J304" s="288">
        <f t="shared" si="45"/>
        <v>3</v>
      </c>
      <c r="K304" s="288">
        <f t="shared" si="46"/>
        <v>2</v>
      </c>
      <c r="L304" s="289">
        <f>(I304*$G$259+J304*$G$260+K304*$G$261)*(1+2%)^3</f>
        <v>1351386.399</v>
      </c>
      <c r="M304" s="289">
        <f>(I304*'Modelo Matriz de Gastos (Ejempl'!$D$293+J304*'Modelo Matriz de Gastos (Ejempl'!D$303+K304*'Modelo Matriz de Gastos (Ejempl'!$D$314)</f>
        <v>401640</v>
      </c>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row>
    <row r="305" ht="15.75" customHeight="1">
      <c r="A305" s="272"/>
      <c r="B305" s="236" t="s">
        <v>532</v>
      </c>
      <c r="C305" s="189">
        <v>31.0</v>
      </c>
      <c r="D305" s="189">
        <v>6.0</v>
      </c>
      <c r="E305" s="180">
        <f t="shared" si="40"/>
        <v>0.3</v>
      </c>
      <c r="F305" s="286">
        <f t="shared" si="41"/>
        <v>55.8</v>
      </c>
      <c r="G305" s="189">
        <f t="shared" si="42"/>
        <v>27.9</v>
      </c>
      <c r="H305" s="287">
        <f t="shared" si="43"/>
        <v>6</v>
      </c>
      <c r="I305" s="287">
        <f t="shared" si="44"/>
        <v>3</v>
      </c>
      <c r="J305" s="288">
        <f t="shared" si="45"/>
        <v>2</v>
      </c>
      <c r="K305" s="288">
        <f t="shared" si="46"/>
        <v>1</v>
      </c>
      <c r="L305" s="289">
        <f>(I305*$G$259+J305*$G$260+K305*$G$261)*(1+2%)^4</f>
        <v>891521.3565</v>
      </c>
      <c r="M305" s="289">
        <f>(I305*'Modelo Matriz de Gastos (Ejempl'!$D$293+J305*'Modelo Matriz de Gastos (Ejempl'!D$303+K305*'Modelo Matriz de Gastos (Ejempl'!$D$314)</f>
        <v>259770</v>
      </c>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c r="AN305" s="220"/>
      <c r="AO305" s="220"/>
      <c r="AP305" s="220"/>
      <c r="AQ305" s="220"/>
      <c r="AR305" s="220"/>
      <c r="AS305" s="220"/>
      <c r="AT305" s="220"/>
      <c r="AU305" s="220"/>
      <c r="AV305" s="220"/>
      <c r="AW305" s="220"/>
      <c r="AX305" s="220"/>
      <c r="AY305" s="220"/>
      <c r="AZ305" s="220"/>
    </row>
    <row r="306" ht="15.75" customHeight="1">
      <c r="A306" s="272"/>
      <c r="B306" s="236" t="s">
        <v>533</v>
      </c>
      <c r="C306" s="189">
        <v>30.0</v>
      </c>
      <c r="D306" s="189">
        <v>6.0</v>
      </c>
      <c r="E306" s="180">
        <f t="shared" si="40"/>
        <v>0.3</v>
      </c>
      <c r="F306" s="286">
        <f t="shared" si="41"/>
        <v>54</v>
      </c>
      <c r="G306" s="189">
        <f t="shared" si="42"/>
        <v>27</v>
      </c>
      <c r="H306" s="287">
        <f t="shared" si="43"/>
        <v>5</v>
      </c>
      <c r="I306" s="287">
        <f t="shared" si="44"/>
        <v>2</v>
      </c>
      <c r="J306" s="288">
        <f t="shared" si="45"/>
        <v>2</v>
      </c>
      <c r="K306" s="288">
        <f t="shared" si="46"/>
        <v>1</v>
      </c>
      <c r="L306" s="289">
        <f>(I306*$G$259+J306*$G$260+K306*$G$261)*(1+2%)^5</f>
        <v>782279.8749</v>
      </c>
      <c r="M306" s="289">
        <f>(I306*'Modelo Matriz de Gastos (Ejempl'!$D$293+J306*'Modelo Matriz de Gastos (Ejempl'!D$303+K306*'Modelo Matriz de Gastos (Ejempl'!$D$314)</f>
        <v>223470</v>
      </c>
      <c r="N306" s="220"/>
      <c r="O306" s="220"/>
      <c r="P306" s="220"/>
      <c r="Q306" s="220"/>
      <c r="R306" s="220"/>
      <c r="S306" s="220"/>
      <c r="T306" s="220"/>
      <c r="U306" s="220"/>
      <c r="V306" s="220"/>
      <c r="W306" s="220"/>
      <c r="X306" s="220"/>
      <c r="Y306" s="220"/>
      <c r="Z306" s="220"/>
      <c r="AA306" s="220"/>
      <c r="AB306" s="220"/>
      <c r="AC306" s="220"/>
      <c r="AD306" s="220"/>
      <c r="AE306" s="220"/>
      <c r="AF306" s="220"/>
      <c r="AG306" s="220"/>
      <c r="AH306" s="220"/>
      <c r="AI306" s="220"/>
      <c r="AJ306" s="220"/>
      <c r="AK306" s="220"/>
      <c r="AL306" s="220"/>
      <c r="AM306" s="220"/>
      <c r="AN306" s="220"/>
      <c r="AO306" s="220"/>
      <c r="AP306" s="220"/>
      <c r="AQ306" s="220"/>
      <c r="AR306" s="220"/>
      <c r="AS306" s="220"/>
      <c r="AT306" s="220"/>
      <c r="AU306" s="220"/>
      <c r="AV306" s="220"/>
      <c r="AW306" s="220"/>
      <c r="AX306" s="220"/>
      <c r="AY306" s="220"/>
      <c r="AZ306" s="220"/>
    </row>
    <row r="307" ht="15.75" customHeight="1">
      <c r="A307" s="272"/>
      <c r="B307" s="236" t="s">
        <v>534</v>
      </c>
      <c r="C307" s="189">
        <v>31.0</v>
      </c>
      <c r="D307" s="189">
        <v>6.0</v>
      </c>
      <c r="E307" s="180">
        <f t="shared" si="40"/>
        <v>0.8</v>
      </c>
      <c r="F307" s="286">
        <f t="shared" si="41"/>
        <v>148.8</v>
      </c>
      <c r="G307" s="189">
        <f t="shared" si="42"/>
        <v>74.4</v>
      </c>
      <c r="H307" s="287">
        <f t="shared" si="43"/>
        <v>15</v>
      </c>
      <c r="I307" s="287">
        <f t="shared" si="44"/>
        <v>7</v>
      </c>
      <c r="J307" s="288">
        <f t="shared" si="45"/>
        <v>5</v>
      </c>
      <c r="K307" s="288">
        <f t="shared" si="46"/>
        <v>3</v>
      </c>
      <c r="L307" s="289">
        <f>(I307*$G$259+J307*$G$260+K307*$G$261)*(1+2%)^6</f>
        <v>2361640.877</v>
      </c>
      <c r="M307" s="289">
        <f>(I307*'Modelo Matriz de Gastos (Ejempl'!$D$293+J307*'Modelo Matriz de Gastos (Ejempl'!D$303+K307*'Modelo Matriz de Gastos (Ejempl'!$D$314)</f>
        <v>661410</v>
      </c>
      <c r="N307" s="220"/>
      <c r="O307" s="220"/>
      <c r="P307" s="220"/>
      <c r="Q307" s="220"/>
      <c r="R307" s="220"/>
      <c r="S307" s="220"/>
      <c r="T307" s="220"/>
      <c r="U307" s="220"/>
      <c r="V307" s="220"/>
      <c r="W307" s="220"/>
      <c r="X307" s="220"/>
      <c r="Y307" s="220"/>
      <c r="Z307" s="220"/>
      <c r="AA307" s="220"/>
      <c r="AB307" s="220"/>
      <c r="AC307" s="220"/>
      <c r="AD307" s="220"/>
      <c r="AE307" s="220"/>
      <c r="AF307" s="220"/>
      <c r="AG307" s="220"/>
      <c r="AH307" s="220"/>
      <c r="AI307" s="220"/>
      <c r="AJ307" s="220"/>
      <c r="AK307" s="220"/>
      <c r="AL307" s="220"/>
      <c r="AM307" s="220"/>
      <c r="AN307" s="220"/>
      <c r="AO307" s="220"/>
      <c r="AP307" s="220"/>
      <c r="AQ307" s="220"/>
      <c r="AR307" s="220"/>
      <c r="AS307" s="220"/>
      <c r="AT307" s="220"/>
      <c r="AU307" s="220"/>
      <c r="AV307" s="220"/>
      <c r="AW307" s="220"/>
      <c r="AX307" s="220"/>
      <c r="AY307" s="220"/>
      <c r="AZ307" s="220"/>
    </row>
    <row r="308" ht="15.75" customHeight="1">
      <c r="A308" s="272"/>
      <c r="B308" s="236" t="s">
        <v>535</v>
      </c>
      <c r="C308" s="189">
        <v>31.0</v>
      </c>
      <c r="D308" s="189">
        <v>6.0</v>
      </c>
      <c r="E308" s="180">
        <f t="shared" si="40"/>
        <v>0.8</v>
      </c>
      <c r="F308" s="286">
        <f t="shared" si="41"/>
        <v>148.8</v>
      </c>
      <c r="G308" s="189">
        <f t="shared" si="42"/>
        <v>74.4</v>
      </c>
      <c r="H308" s="287">
        <f t="shared" si="43"/>
        <v>15</v>
      </c>
      <c r="I308" s="287">
        <f t="shared" si="44"/>
        <v>7</v>
      </c>
      <c r="J308" s="288">
        <f t="shared" si="45"/>
        <v>5</v>
      </c>
      <c r="K308" s="288">
        <f t="shared" si="46"/>
        <v>3</v>
      </c>
      <c r="L308" s="289">
        <f>(I308*$G$259+J308*$G$260+K308*$G$261)*(1+2%)^7</f>
        <v>2408873.694</v>
      </c>
      <c r="M308" s="289">
        <f>(I308*'Modelo Matriz de Gastos (Ejempl'!$D$293+J308*'Modelo Matriz de Gastos (Ejempl'!D$303+K308*'Modelo Matriz de Gastos (Ejempl'!$D$314)</f>
        <v>661410</v>
      </c>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0"/>
      <c r="AL308" s="220"/>
      <c r="AM308" s="220"/>
      <c r="AN308" s="220"/>
      <c r="AO308" s="220"/>
      <c r="AP308" s="220"/>
      <c r="AQ308" s="220"/>
      <c r="AR308" s="220"/>
      <c r="AS308" s="220"/>
      <c r="AT308" s="220"/>
      <c r="AU308" s="220"/>
      <c r="AV308" s="220"/>
      <c r="AW308" s="220"/>
      <c r="AX308" s="220"/>
      <c r="AY308" s="220"/>
      <c r="AZ308" s="220"/>
    </row>
    <row r="309" ht="15.75" customHeight="1">
      <c r="A309" s="272"/>
      <c r="B309" s="236" t="s">
        <v>536</v>
      </c>
      <c r="C309" s="189">
        <v>30.0</v>
      </c>
      <c r="D309" s="189">
        <v>6.0</v>
      </c>
      <c r="E309" s="180">
        <f t="shared" si="40"/>
        <v>0.4</v>
      </c>
      <c r="F309" s="286">
        <f t="shared" si="41"/>
        <v>72</v>
      </c>
      <c r="G309" s="189">
        <f t="shared" si="42"/>
        <v>36</v>
      </c>
      <c r="H309" s="287">
        <f t="shared" si="43"/>
        <v>7</v>
      </c>
      <c r="I309" s="287">
        <f t="shared" si="44"/>
        <v>3</v>
      </c>
      <c r="J309" s="288">
        <f t="shared" si="45"/>
        <v>2</v>
      </c>
      <c r="K309" s="288">
        <f t="shared" si="46"/>
        <v>1</v>
      </c>
      <c r="L309" s="289">
        <f>(I309*$G$259+J309*$G$260+K309*$G$261)*(1+2%)^8</f>
        <v>965011.3876</v>
      </c>
      <c r="M309" s="289">
        <f>(I309*'Modelo Matriz de Gastos (Ejempl'!$D$293+J309*'Modelo Matriz de Gastos (Ejempl'!D$303+K309*'Modelo Matriz de Gastos (Ejempl'!$D$314)</f>
        <v>259770</v>
      </c>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c r="AO309" s="220"/>
      <c r="AP309" s="220"/>
      <c r="AQ309" s="220"/>
      <c r="AR309" s="220"/>
      <c r="AS309" s="220"/>
      <c r="AT309" s="220"/>
      <c r="AU309" s="220"/>
      <c r="AV309" s="220"/>
      <c r="AW309" s="220"/>
      <c r="AX309" s="220"/>
      <c r="AY309" s="220"/>
      <c r="AZ309" s="220"/>
    </row>
    <row r="310" ht="15.75" customHeight="1">
      <c r="A310" s="272"/>
      <c r="B310" s="236" t="s">
        <v>537</v>
      </c>
      <c r="C310" s="189">
        <v>31.0</v>
      </c>
      <c r="D310" s="189">
        <v>6.0</v>
      </c>
      <c r="E310" s="180">
        <f t="shared" si="40"/>
        <v>0.5</v>
      </c>
      <c r="F310" s="286">
        <f t="shared" si="41"/>
        <v>93</v>
      </c>
      <c r="G310" s="189">
        <f t="shared" si="42"/>
        <v>46.5</v>
      </c>
      <c r="H310" s="287">
        <f t="shared" si="43"/>
        <v>9</v>
      </c>
      <c r="I310" s="287">
        <f t="shared" si="44"/>
        <v>4</v>
      </c>
      <c r="J310" s="288">
        <f t="shared" si="45"/>
        <v>3</v>
      </c>
      <c r="K310" s="288">
        <f t="shared" si="46"/>
        <v>2</v>
      </c>
      <c r="L310" s="289">
        <f>(I310*$G$259+J310*$G$260+K310*$G$261)*(1+2%)^9</f>
        <v>1521880.576</v>
      </c>
      <c r="M310" s="289">
        <f>(I310*'Modelo Matriz de Gastos (Ejempl'!$D$293+J310*'Modelo Matriz de Gastos (Ejempl'!D$303+K310*'Modelo Matriz de Gastos (Ejempl'!$D$314)</f>
        <v>401640</v>
      </c>
      <c r="N310" s="220"/>
      <c r="O310" s="220"/>
      <c r="P310" s="220"/>
      <c r="Q310" s="220"/>
      <c r="R310" s="220"/>
      <c r="S310" s="220"/>
      <c r="T310" s="220"/>
      <c r="U310" s="220"/>
      <c r="V310" s="220"/>
      <c r="W310" s="220"/>
      <c r="X310" s="220"/>
      <c r="Y310" s="220"/>
      <c r="Z310" s="220"/>
      <c r="AA310" s="220"/>
      <c r="AB310" s="220"/>
      <c r="AC310" s="220"/>
      <c r="AD310" s="220"/>
      <c r="AE310" s="220"/>
      <c r="AF310" s="220"/>
      <c r="AG310" s="220"/>
      <c r="AH310" s="220"/>
      <c r="AI310" s="220"/>
      <c r="AJ310" s="220"/>
      <c r="AK310" s="220"/>
      <c r="AL310" s="220"/>
      <c r="AM310" s="220"/>
      <c r="AN310" s="220"/>
      <c r="AO310" s="220"/>
      <c r="AP310" s="220"/>
      <c r="AQ310" s="220"/>
      <c r="AR310" s="220"/>
      <c r="AS310" s="220"/>
      <c r="AT310" s="220"/>
      <c r="AU310" s="220"/>
      <c r="AV310" s="220"/>
      <c r="AW310" s="220"/>
      <c r="AX310" s="220"/>
      <c r="AY310" s="220"/>
      <c r="AZ310" s="220"/>
    </row>
    <row r="311" ht="15.75" customHeight="1">
      <c r="A311" s="272"/>
      <c r="B311" s="236" t="s">
        <v>538</v>
      </c>
      <c r="C311" s="189">
        <v>30.0</v>
      </c>
      <c r="D311" s="189">
        <v>6.0</v>
      </c>
      <c r="E311" s="180">
        <f t="shared" si="40"/>
        <v>0.5</v>
      </c>
      <c r="F311" s="286">
        <f t="shared" si="41"/>
        <v>90</v>
      </c>
      <c r="G311" s="189">
        <f t="shared" si="42"/>
        <v>45</v>
      </c>
      <c r="H311" s="287">
        <f t="shared" si="43"/>
        <v>9</v>
      </c>
      <c r="I311" s="287">
        <f t="shared" si="44"/>
        <v>4</v>
      </c>
      <c r="J311" s="288">
        <f t="shared" si="45"/>
        <v>3</v>
      </c>
      <c r="K311" s="288">
        <f t="shared" si="46"/>
        <v>2</v>
      </c>
      <c r="L311" s="289">
        <f>(I311*$G$259+J311*$G$260+K311*$G$261)*(1+2%)^10</f>
        <v>1552318.187</v>
      </c>
      <c r="M311" s="289">
        <f>(I311*'Modelo Matriz de Gastos (Ejempl'!$D$293+J311*'Modelo Matriz de Gastos (Ejempl'!D$303+K311*'Modelo Matriz de Gastos (Ejempl'!$D$314)</f>
        <v>401640</v>
      </c>
      <c r="N311" s="220"/>
      <c r="O311" s="220"/>
      <c r="P311" s="220"/>
      <c r="Q311" s="220"/>
      <c r="R311" s="220"/>
      <c r="S311" s="220"/>
      <c r="T311" s="220"/>
      <c r="U311" s="220"/>
      <c r="V311" s="220"/>
      <c r="W311" s="220"/>
      <c r="X311" s="220"/>
      <c r="Y311" s="220"/>
      <c r="Z311" s="220"/>
      <c r="AA311" s="220"/>
      <c r="AB311" s="220"/>
      <c r="AC311" s="220"/>
      <c r="AD311" s="220"/>
      <c r="AE311" s="220"/>
      <c r="AF311" s="220"/>
      <c r="AG311" s="220"/>
      <c r="AH311" s="220"/>
      <c r="AI311" s="220"/>
      <c r="AJ311" s="220"/>
      <c r="AK311" s="220"/>
      <c r="AL311" s="220"/>
      <c r="AM311" s="220"/>
      <c r="AN311" s="220"/>
      <c r="AO311" s="220"/>
      <c r="AP311" s="220"/>
      <c r="AQ311" s="220"/>
      <c r="AR311" s="220"/>
      <c r="AS311" s="220"/>
      <c r="AT311" s="220"/>
      <c r="AU311" s="220"/>
      <c r="AV311" s="220"/>
      <c r="AW311" s="220"/>
      <c r="AX311" s="220"/>
      <c r="AY311" s="220"/>
      <c r="AZ311" s="220"/>
    </row>
    <row r="312" ht="15.75" customHeight="1">
      <c r="A312" s="272"/>
      <c r="B312" s="236" t="s">
        <v>539</v>
      </c>
      <c r="C312" s="189">
        <v>31.0</v>
      </c>
      <c r="D312" s="189">
        <v>6.0</v>
      </c>
      <c r="E312" s="180">
        <f t="shared" si="40"/>
        <v>0.5</v>
      </c>
      <c r="F312" s="286">
        <f t="shared" si="41"/>
        <v>93</v>
      </c>
      <c r="G312" s="189">
        <f t="shared" si="42"/>
        <v>46.5</v>
      </c>
      <c r="H312" s="287">
        <f t="shared" si="43"/>
        <v>9</v>
      </c>
      <c r="I312" s="287">
        <f t="shared" si="44"/>
        <v>4</v>
      </c>
      <c r="J312" s="288">
        <f t="shared" si="45"/>
        <v>3</v>
      </c>
      <c r="K312" s="288">
        <f t="shared" si="46"/>
        <v>2</v>
      </c>
      <c r="L312" s="289">
        <f>(I312*$G$259+J312*$G$260+K312*$G$261)*(1+2%)^11</f>
        <v>1583364.551</v>
      </c>
      <c r="M312" s="289">
        <f>(I312*'Modelo Matriz de Gastos (Ejempl'!$D$293+J312*'Modelo Matriz de Gastos (Ejempl'!D$303+K312*'Modelo Matriz de Gastos (Ejempl'!$D$314)</f>
        <v>401640</v>
      </c>
      <c r="N312" s="220"/>
      <c r="O312" s="220"/>
      <c r="P312" s="220"/>
      <c r="Q312" s="220"/>
      <c r="R312" s="220"/>
      <c r="S312" s="220"/>
      <c r="T312" s="220"/>
      <c r="U312" s="220"/>
      <c r="V312" s="220"/>
      <c r="W312" s="220"/>
      <c r="X312" s="220"/>
      <c r="Y312" s="220"/>
      <c r="Z312" s="220"/>
      <c r="AA312" s="220"/>
      <c r="AB312" s="220"/>
      <c r="AC312" s="220"/>
      <c r="AD312" s="220"/>
      <c r="AE312" s="220"/>
      <c r="AF312" s="220"/>
      <c r="AG312" s="220"/>
      <c r="AH312" s="220"/>
      <c r="AI312" s="220"/>
      <c r="AJ312" s="220"/>
      <c r="AK312" s="220"/>
      <c r="AL312" s="220"/>
      <c r="AM312" s="220"/>
      <c r="AN312" s="220"/>
      <c r="AO312" s="220"/>
      <c r="AP312" s="220"/>
      <c r="AQ312" s="220"/>
      <c r="AR312" s="220"/>
      <c r="AS312" s="220"/>
      <c r="AT312" s="220"/>
      <c r="AU312" s="220"/>
      <c r="AV312" s="220"/>
      <c r="AW312" s="220"/>
      <c r="AX312" s="220"/>
      <c r="AY312" s="220"/>
      <c r="AZ312" s="220"/>
    </row>
    <row r="313" ht="15.75" customHeight="1">
      <c r="A313" s="272"/>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c r="AA313" s="220"/>
      <c r="AB313" s="220"/>
      <c r="AC313" s="220"/>
      <c r="AD313" s="220"/>
      <c r="AE313" s="220"/>
      <c r="AF313" s="220"/>
      <c r="AG313" s="220"/>
      <c r="AH313" s="220"/>
      <c r="AI313" s="220"/>
      <c r="AJ313" s="220"/>
      <c r="AK313" s="220"/>
      <c r="AL313" s="220"/>
      <c r="AM313" s="220"/>
      <c r="AN313" s="220"/>
      <c r="AO313" s="220"/>
      <c r="AP313" s="220"/>
      <c r="AQ313" s="220"/>
      <c r="AR313" s="220"/>
      <c r="AS313" s="220"/>
      <c r="AT313" s="220"/>
      <c r="AU313" s="220"/>
      <c r="AV313" s="220"/>
      <c r="AW313" s="220"/>
      <c r="AX313" s="220"/>
      <c r="AY313" s="220"/>
      <c r="AZ313" s="220"/>
    </row>
    <row r="314" ht="30.75" customHeight="1">
      <c r="A314" s="272"/>
      <c r="B314" s="283" t="s">
        <v>645</v>
      </c>
      <c r="C314" s="47"/>
      <c r="D314" s="47"/>
      <c r="E314" s="47"/>
      <c r="F314" s="47"/>
      <c r="G314" s="220"/>
      <c r="H314" s="220"/>
      <c r="I314" s="220"/>
      <c r="J314" s="220"/>
      <c r="K314" s="220"/>
      <c r="L314" s="220"/>
      <c r="M314" s="220"/>
      <c r="N314" s="220"/>
      <c r="O314" s="220"/>
      <c r="P314" s="220"/>
      <c r="Q314" s="220"/>
      <c r="R314" s="220"/>
      <c r="S314" s="220"/>
      <c r="T314" s="220"/>
      <c r="U314" s="220"/>
      <c r="V314" s="220"/>
      <c r="W314" s="220"/>
      <c r="X314" s="220"/>
      <c r="Y314" s="220"/>
      <c r="Z314" s="220"/>
      <c r="AA314" s="220"/>
      <c r="AB314" s="220"/>
      <c r="AC314" s="220"/>
      <c r="AD314" s="220"/>
      <c r="AE314" s="220"/>
      <c r="AF314" s="220"/>
      <c r="AG314" s="220"/>
      <c r="AH314" s="220"/>
      <c r="AI314" s="220"/>
      <c r="AJ314" s="220"/>
      <c r="AK314" s="220"/>
      <c r="AL314" s="220"/>
      <c r="AM314" s="220"/>
      <c r="AN314" s="220"/>
      <c r="AO314" s="220"/>
      <c r="AP314" s="220"/>
      <c r="AQ314" s="220"/>
      <c r="AR314" s="220"/>
      <c r="AS314" s="220"/>
      <c r="AT314" s="220"/>
      <c r="AU314" s="220"/>
      <c r="AV314" s="220"/>
      <c r="AW314" s="220"/>
      <c r="AX314" s="220"/>
      <c r="AY314" s="220"/>
      <c r="AZ314" s="220"/>
    </row>
    <row r="315" ht="51.75" customHeight="1">
      <c r="A315" s="272"/>
      <c r="B315" s="284" t="s">
        <v>520</v>
      </c>
      <c r="C315" s="285" t="s">
        <v>641</v>
      </c>
      <c r="D315" s="285" t="s">
        <v>642</v>
      </c>
      <c r="E315" s="284" t="s">
        <v>643</v>
      </c>
      <c r="F315" s="284" t="s">
        <v>527</v>
      </c>
      <c r="G315" s="220"/>
      <c r="H315" s="220"/>
      <c r="I315" s="220"/>
      <c r="J315" s="220"/>
      <c r="K315" s="220"/>
      <c r="L315" s="220"/>
      <c r="M315" s="220"/>
      <c r="N315" s="220"/>
      <c r="O315" s="220"/>
      <c r="P315" s="220"/>
      <c r="Q315" s="220"/>
      <c r="R315" s="220"/>
      <c r="S315" s="220"/>
      <c r="T315" s="220"/>
      <c r="U315" s="220"/>
      <c r="V315" s="220"/>
      <c r="W315" s="220"/>
      <c r="X315" s="220"/>
      <c r="Y315" s="220"/>
      <c r="Z315" s="220"/>
      <c r="AA315" s="220"/>
      <c r="AB315" s="220"/>
      <c r="AC315" s="220"/>
      <c r="AD315" s="220"/>
      <c r="AE315" s="220"/>
      <c r="AF315" s="220"/>
      <c r="AG315" s="220"/>
      <c r="AH315" s="220"/>
      <c r="AI315" s="220"/>
      <c r="AJ315" s="220"/>
      <c r="AK315" s="220"/>
      <c r="AL315" s="220"/>
      <c r="AM315" s="220"/>
      <c r="AN315" s="220"/>
      <c r="AO315" s="220"/>
      <c r="AP315" s="220"/>
      <c r="AQ315" s="220"/>
      <c r="AR315" s="220"/>
      <c r="AS315" s="220"/>
      <c r="AT315" s="220"/>
      <c r="AU315" s="220"/>
      <c r="AV315" s="220"/>
      <c r="AW315" s="220"/>
      <c r="AX315" s="220"/>
      <c r="AY315" s="220"/>
      <c r="AZ315" s="220"/>
    </row>
    <row r="316" ht="15.75" customHeight="1">
      <c r="A316" s="272"/>
      <c r="B316" s="236" t="s">
        <v>598</v>
      </c>
      <c r="C316" s="189">
        <f t="shared" ref="C316:C327" si="47">E221+G221</f>
        <v>0</v>
      </c>
      <c r="D316" s="180">
        <f t="shared" ref="D316:D327" si="48">ROUNDDOWN(C316*$C$265,0)</f>
        <v>0</v>
      </c>
      <c r="E316" s="180">
        <f t="shared" ref="E316:E318" si="49">C316*$C$264*D316</f>
        <v>0</v>
      </c>
      <c r="F316" s="286">
        <f>E316*$G$262*(1+2%)^12</f>
        <v>0</v>
      </c>
      <c r="G316" s="220"/>
      <c r="H316" s="220"/>
      <c r="I316" s="220"/>
      <c r="J316" s="220"/>
      <c r="K316" s="220"/>
      <c r="L316" s="220"/>
      <c r="M316" s="220"/>
      <c r="N316" s="220"/>
      <c r="O316" s="220"/>
      <c r="P316" s="220"/>
      <c r="Q316" s="220"/>
      <c r="R316" s="220"/>
      <c r="S316" s="220"/>
      <c r="T316" s="220"/>
      <c r="U316" s="220"/>
      <c r="V316" s="220"/>
      <c r="W316" s="220"/>
      <c r="X316" s="220"/>
      <c r="Y316" s="220"/>
      <c r="Z316" s="220"/>
      <c r="AA316" s="220"/>
      <c r="AB316" s="220"/>
      <c r="AC316" s="220"/>
      <c r="AD316" s="220"/>
      <c r="AE316" s="220"/>
      <c r="AF316" s="220"/>
      <c r="AG316" s="220"/>
      <c r="AH316" s="220"/>
      <c r="AI316" s="220"/>
      <c r="AJ316" s="220"/>
      <c r="AK316" s="220"/>
      <c r="AL316" s="220"/>
      <c r="AM316" s="220"/>
      <c r="AN316" s="220"/>
      <c r="AO316" s="220"/>
      <c r="AP316" s="220"/>
      <c r="AQ316" s="220"/>
      <c r="AR316" s="220"/>
      <c r="AS316" s="220"/>
      <c r="AT316" s="220"/>
      <c r="AU316" s="220"/>
      <c r="AV316" s="220"/>
      <c r="AW316" s="220"/>
      <c r="AX316" s="220"/>
      <c r="AY316" s="220"/>
      <c r="AZ316" s="220"/>
    </row>
    <row r="317" ht="15.75" customHeight="1">
      <c r="A317" s="272"/>
      <c r="B317" s="236" t="s">
        <v>599</v>
      </c>
      <c r="C317" s="189">
        <f t="shared" si="47"/>
        <v>0</v>
      </c>
      <c r="D317" s="180">
        <f t="shared" si="48"/>
        <v>0</v>
      </c>
      <c r="E317" s="180">
        <f t="shared" si="49"/>
        <v>0</v>
      </c>
      <c r="F317" s="286">
        <f>E317*$G$262*(1+2%)^13</f>
        <v>0</v>
      </c>
      <c r="G317" s="220"/>
      <c r="H317" s="220"/>
      <c r="I317" s="220"/>
      <c r="J317" s="220"/>
      <c r="K317" s="220"/>
      <c r="L317" s="220"/>
      <c r="M317" s="220"/>
      <c r="N317" s="220"/>
      <c r="O317" s="220"/>
      <c r="P317" s="220"/>
      <c r="Q317" s="220"/>
      <c r="R317" s="220"/>
      <c r="S317" s="220"/>
      <c r="T317" s="220"/>
      <c r="U317" s="220"/>
      <c r="V317" s="220"/>
      <c r="W317" s="220"/>
      <c r="X317" s="220"/>
      <c r="Y317" s="220"/>
      <c r="Z317" s="220"/>
      <c r="AA317" s="220"/>
      <c r="AB317" s="220"/>
      <c r="AC317" s="220"/>
      <c r="AD317" s="220"/>
      <c r="AE317" s="220"/>
      <c r="AF317" s="220"/>
      <c r="AG317" s="220"/>
      <c r="AH317" s="220"/>
      <c r="AI317" s="220"/>
      <c r="AJ317" s="220"/>
      <c r="AK317" s="220"/>
      <c r="AL317" s="220"/>
      <c r="AM317" s="220"/>
      <c r="AN317" s="220"/>
      <c r="AO317" s="220"/>
      <c r="AP317" s="220"/>
      <c r="AQ317" s="220"/>
      <c r="AR317" s="220"/>
      <c r="AS317" s="220"/>
      <c r="AT317" s="220"/>
      <c r="AU317" s="220"/>
      <c r="AV317" s="220"/>
      <c r="AW317" s="220"/>
      <c r="AX317" s="220"/>
      <c r="AY317" s="220"/>
      <c r="AZ317" s="220"/>
    </row>
    <row r="318" ht="15.75" customHeight="1">
      <c r="A318" s="272"/>
      <c r="B318" s="236" t="s">
        <v>600</v>
      </c>
      <c r="C318" s="189">
        <f t="shared" si="47"/>
        <v>0</v>
      </c>
      <c r="D318" s="180">
        <f t="shared" si="48"/>
        <v>0</v>
      </c>
      <c r="E318" s="180">
        <f t="shared" si="49"/>
        <v>0</v>
      </c>
      <c r="F318" s="286">
        <f>E318*$G$262*(1+2%)^14</f>
        <v>0</v>
      </c>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c r="AQ318" s="220"/>
      <c r="AR318" s="220"/>
      <c r="AS318" s="220"/>
      <c r="AT318" s="220"/>
      <c r="AU318" s="220"/>
      <c r="AV318" s="220"/>
      <c r="AW318" s="220"/>
      <c r="AX318" s="220"/>
      <c r="AY318" s="220"/>
      <c r="AZ318" s="220"/>
    </row>
    <row r="319" ht="15.75" customHeight="1">
      <c r="A319" s="272"/>
      <c r="B319" s="236" t="s">
        <v>531</v>
      </c>
      <c r="C319" s="189">
        <f t="shared" si="47"/>
        <v>3</v>
      </c>
      <c r="D319" s="180">
        <f t="shared" si="48"/>
        <v>1</v>
      </c>
      <c r="E319" s="180">
        <f t="shared" ref="E319:E327" si="50">$C$264*D319</f>
        <v>10</v>
      </c>
      <c r="F319" s="286">
        <f>E319*$G$262*(1+2%)^15</f>
        <v>1405715.596</v>
      </c>
      <c r="G319" s="220"/>
      <c r="H319" s="220"/>
      <c r="I319" s="220"/>
      <c r="J319" s="220"/>
      <c r="K319" s="220"/>
      <c r="L319" s="220"/>
      <c r="M319" s="220"/>
      <c r="N319" s="220"/>
      <c r="O319" s="220"/>
      <c r="P319" s="220"/>
      <c r="Q319" s="220"/>
      <c r="R319" s="220"/>
      <c r="S319" s="220"/>
      <c r="T319" s="220"/>
      <c r="U319" s="220"/>
      <c r="V319" s="220"/>
      <c r="W319" s="220"/>
      <c r="X319" s="220"/>
      <c r="Y319" s="220"/>
      <c r="Z319" s="220"/>
      <c r="AA319" s="220"/>
      <c r="AB319" s="220"/>
      <c r="AC319" s="220"/>
      <c r="AD319" s="220"/>
      <c r="AE319" s="220"/>
      <c r="AF319" s="220"/>
      <c r="AG319" s="220"/>
      <c r="AH319" s="220"/>
      <c r="AI319" s="220"/>
      <c r="AJ319" s="220"/>
      <c r="AK319" s="220"/>
      <c r="AL319" s="220"/>
      <c r="AM319" s="220"/>
      <c r="AN319" s="220"/>
      <c r="AO319" s="220"/>
      <c r="AP319" s="220"/>
      <c r="AQ319" s="220"/>
      <c r="AR319" s="220"/>
      <c r="AS319" s="220"/>
      <c r="AT319" s="220"/>
      <c r="AU319" s="220"/>
      <c r="AV319" s="220"/>
      <c r="AW319" s="220"/>
      <c r="AX319" s="220"/>
      <c r="AY319" s="220"/>
      <c r="AZ319" s="220"/>
    </row>
    <row r="320" ht="15.75" customHeight="1">
      <c r="A320" s="272"/>
      <c r="B320" s="236" t="s">
        <v>601</v>
      </c>
      <c r="C320" s="189">
        <f t="shared" si="47"/>
        <v>3</v>
      </c>
      <c r="D320" s="180">
        <f t="shared" si="48"/>
        <v>1</v>
      </c>
      <c r="E320" s="180">
        <f t="shared" si="50"/>
        <v>10</v>
      </c>
      <c r="F320" s="286">
        <f>E320*$G$262*(1+2%)^16</f>
        <v>1433829.907</v>
      </c>
      <c r="G320" s="220"/>
      <c r="H320" s="220"/>
      <c r="I320" s="220"/>
      <c r="J320" s="220"/>
      <c r="K320" s="220"/>
      <c r="L320" s="220"/>
      <c r="M320" s="220"/>
      <c r="N320" s="220"/>
      <c r="O320" s="220"/>
      <c r="P320" s="220"/>
      <c r="Q320" s="220"/>
      <c r="R320" s="220"/>
      <c r="S320" s="220"/>
      <c r="T320" s="220"/>
      <c r="U320" s="220"/>
      <c r="V320" s="220"/>
      <c r="W320" s="220"/>
      <c r="X320" s="220"/>
      <c r="Y320" s="220"/>
      <c r="Z320" s="220"/>
      <c r="AA320" s="220"/>
      <c r="AB320" s="220"/>
      <c r="AC320" s="220"/>
      <c r="AD320" s="220"/>
      <c r="AE320" s="220"/>
      <c r="AF320" s="220"/>
      <c r="AG320" s="220"/>
      <c r="AH320" s="220"/>
      <c r="AI320" s="220"/>
      <c r="AJ320" s="220"/>
      <c r="AK320" s="220"/>
      <c r="AL320" s="220"/>
      <c r="AM320" s="220"/>
      <c r="AN320" s="220"/>
      <c r="AO320" s="220"/>
      <c r="AP320" s="220"/>
      <c r="AQ320" s="220"/>
      <c r="AR320" s="220"/>
      <c r="AS320" s="220"/>
      <c r="AT320" s="220"/>
      <c r="AU320" s="220"/>
      <c r="AV320" s="220"/>
      <c r="AW320" s="220"/>
      <c r="AX320" s="220"/>
      <c r="AY320" s="220"/>
      <c r="AZ320" s="220"/>
    </row>
    <row r="321" ht="15.75" customHeight="1">
      <c r="A321" s="272"/>
      <c r="B321" s="236" t="s">
        <v>602</v>
      </c>
      <c r="C321" s="189">
        <f t="shared" si="47"/>
        <v>3</v>
      </c>
      <c r="D321" s="180">
        <f t="shared" si="48"/>
        <v>1</v>
      </c>
      <c r="E321" s="180">
        <f t="shared" si="50"/>
        <v>10</v>
      </c>
      <c r="F321" s="286">
        <f>E321*$G$262*(1+2%)^17</f>
        <v>1462506.506</v>
      </c>
      <c r="G321" s="220"/>
      <c r="H321" s="220"/>
      <c r="I321" s="220"/>
      <c r="J321" s="220"/>
      <c r="K321" s="220"/>
      <c r="L321" s="220"/>
      <c r="M321" s="220"/>
      <c r="N321" s="220"/>
      <c r="O321" s="220"/>
      <c r="P321" s="220"/>
      <c r="Q321" s="220"/>
      <c r="R321" s="220"/>
      <c r="S321" s="220"/>
      <c r="T321" s="220"/>
      <c r="U321" s="220"/>
      <c r="V321" s="220"/>
      <c r="W321" s="220"/>
      <c r="X321" s="220"/>
      <c r="Y321" s="220"/>
      <c r="Z321" s="220"/>
      <c r="AA321" s="220"/>
      <c r="AB321" s="220"/>
      <c r="AC321" s="220"/>
      <c r="AD321" s="220"/>
      <c r="AE321" s="220"/>
      <c r="AF321" s="220"/>
      <c r="AG321" s="220"/>
      <c r="AH321" s="220"/>
      <c r="AI321" s="220"/>
      <c r="AJ321" s="220"/>
      <c r="AK321" s="220"/>
      <c r="AL321" s="220"/>
      <c r="AM321" s="220"/>
      <c r="AN321" s="220"/>
      <c r="AO321" s="220"/>
      <c r="AP321" s="220"/>
      <c r="AQ321" s="220"/>
      <c r="AR321" s="220"/>
      <c r="AS321" s="220"/>
      <c r="AT321" s="220"/>
      <c r="AU321" s="220"/>
      <c r="AV321" s="220"/>
      <c r="AW321" s="220"/>
      <c r="AX321" s="220"/>
      <c r="AY321" s="220"/>
      <c r="AZ321" s="220"/>
    </row>
    <row r="322" ht="15.75" customHeight="1">
      <c r="A322" s="272"/>
      <c r="B322" s="236" t="s">
        <v>603</v>
      </c>
      <c r="C322" s="189">
        <f t="shared" si="47"/>
        <v>0</v>
      </c>
      <c r="D322" s="180">
        <f t="shared" si="48"/>
        <v>0</v>
      </c>
      <c r="E322" s="180">
        <f t="shared" si="50"/>
        <v>0</v>
      </c>
      <c r="F322" s="286">
        <f>E322*$G$262*(1+2%)^18</f>
        <v>0</v>
      </c>
      <c r="G322" s="220"/>
      <c r="H322" s="220"/>
      <c r="I322" s="220"/>
      <c r="J322" s="220"/>
      <c r="K322" s="220"/>
      <c r="L322" s="220"/>
      <c r="M322" s="220"/>
      <c r="N322" s="220"/>
      <c r="O322" s="220"/>
      <c r="P322" s="220"/>
      <c r="Q322" s="220"/>
      <c r="R322" s="220"/>
      <c r="S322" s="220"/>
      <c r="T322" s="220"/>
      <c r="U322" s="220"/>
      <c r="V322" s="220"/>
      <c r="W322" s="220"/>
      <c r="X322" s="220"/>
      <c r="Y322" s="220"/>
      <c r="Z322" s="220"/>
      <c r="AA322" s="220"/>
      <c r="AB322" s="220"/>
      <c r="AC322" s="220"/>
      <c r="AD322" s="220"/>
      <c r="AE322" s="220"/>
      <c r="AF322" s="220"/>
      <c r="AG322" s="220"/>
      <c r="AH322" s="220"/>
      <c r="AI322" s="220"/>
      <c r="AJ322" s="220"/>
      <c r="AK322" s="220"/>
      <c r="AL322" s="220"/>
      <c r="AM322" s="220"/>
      <c r="AN322" s="220"/>
      <c r="AO322" s="220"/>
      <c r="AP322" s="220"/>
      <c r="AQ322" s="220"/>
      <c r="AR322" s="220"/>
      <c r="AS322" s="220"/>
      <c r="AT322" s="220"/>
      <c r="AU322" s="220"/>
      <c r="AV322" s="220"/>
      <c r="AW322" s="220"/>
      <c r="AX322" s="220"/>
      <c r="AY322" s="220"/>
      <c r="AZ322" s="220"/>
    </row>
    <row r="323" ht="15.75" customHeight="1">
      <c r="A323" s="272"/>
      <c r="B323" s="236" t="s">
        <v>604</v>
      </c>
      <c r="C323" s="189">
        <f t="shared" si="47"/>
        <v>4</v>
      </c>
      <c r="D323" s="180">
        <f t="shared" si="48"/>
        <v>2</v>
      </c>
      <c r="E323" s="180">
        <f t="shared" si="50"/>
        <v>20</v>
      </c>
      <c r="F323" s="286">
        <f>E323*$G$262*(1+2%)^19</f>
        <v>3043183.537</v>
      </c>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row>
    <row r="324" ht="15.75" customHeight="1">
      <c r="A324" s="272"/>
      <c r="B324" s="236" t="s">
        <v>605</v>
      </c>
      <c r="C324" s="189">
        <f t="shared" si="47"/>
        <v>7</v>
      </c>
      <c r="D324" s="180">
        <f t="shared" si="48"/>
        <v>3</v>
      </c>
      <c r="E324" s="180">
        <f t="shared" si="50"/>
        <v>30</v>
      </c>
      <c r="F324" s="286">
        <f>E324*$G$262*(1+2%)^20</f>
        <v>4656070.811</v>
      </c>
      <c r="G324" s="220"/>
      <c r="H324" s="220"/>
      <c r="I324" s="220"/>
      <c r="J324" s="220"/>
      <c r="K324" s="220"/>
      <c r="L324" s="220"/>
      <c r="M324" s="220"/>
      <c r="N324" s="220"/>
      <c r="O324" s="220"/>
      <c r="P324" s="220"/>
      <c r="Q324" s="220"/>
      <c r="R324" s="220"/>
      <c r="S324" s="220"/>
      <c r="T324" s="220"/>
      <c r="U324" s="220"/>
      <c r="V324" s="220"/>
      <c r="W324" s="220"/>
      <c r="X324" s="220"/>
      <c r="Y324" s="220"/>
      <c r="Z324" s="220"/>
      <c r="AA324" s="220"/>
      <c r="AB324" s="220"/>
      <c r="AC324" s="220"/>
      <c r="AD324" s="220"/>
      <c r="AE324" s="220"/>
      <c r="AF324" s="220"/>
      <c r="AG324" s="220"/>
      <c r="AH324" s="220"/>
      <c r="AI324" s="220"/>
      <c r="AJ324" s="220"/>
      <c r="AK324" s="220"/>
      <c r="AL324" s="220"/>
      <c r="AM324" s="220"/>
      <c r="AN324" s="220"/>
      <c r="AO324" s="220"/>
      <c r="AP324" s="220"/>
      <c r="AQ324" s="220"/>
      <c r="AR324" s="220"/>
      <c r="AS324" s="220"/>
      <c r="AT324" s="220"/>
      <c r="AU324" s="220"/>
      <c r="AV324" s="220"/>
      <c r="AW324" s="220"/>
      <c r="AX324" s="220"/>
      <c r="AY324" s="220"/>
      <c r="AZ324" s="220"/>
    </row>
    <row r="325" ht="15.75" customHeight="1">
      <c r="A325" s="272"/>
      <c r="B325" s="236" t="s">
        <v>606</v>
      </c>
      <c r="C325" s="189">
        <f t="shared" si="47"/>
        <v>7</v>
      </c>
      <c r="D325" s="180">
        <f t="shared" si="48"/>
        <v>3</v>
      </c>
      <c r="E325" s="180">
        <f t="shared" si="50"/>
        <v>30</v>
      </c>
      <c r="F325" s="286">
        <f>E325*$G$262*(1+2%)^21</f>
        <v>4749192.228</v>
      </c>
      <c r="G325" s="220"/>
      <c r="H325" s="220"/>
      <c r="I325" s="220"/>
      <c r="J325" s="220"/>
      <c r="K325" s="220"/>
      <c r="L325" s="220"/>
      <c r="M325" s="220"/>
      <c r="N325" s="220"/>
      <c r="O325" s="220"/>
      <c r="P325" s="220"/>
      <c r="Q325" s="220"/>
      <c r="R325" s="220"/>
      <c r="S325" s="220"/>
      <c r="T325" s="220"/>
      <c r="U325" s="220"/>
      <c r="V325" s="220"/>
      <c r="W325" s="220"/>
      <c r="X325" s="220"/>
      <c r="Y325" s="220"/>
      <c r="Z325" s="220"/>
      <c r="AA325" s="220"/>
      <c r="AB325" s="220"/>
      <c r="AC325" s="220"/>
      <c r="AD325" s="220"/>
      <c r="AE325" s="220"/>
      <c r="AF325" s="220"/>
      <c r="AG325" s="220"/>
      <c r="AH325" s="220"/>
      <c r="AI325" s="220"/>
      <c r="AJ325" s="220"/>
      <c r="AK325" s="220"/>
      <c r="AL325" s="220"/>
      <c r="AM325" s="220"/>
      <c r="AN325" s="220"/>
      <c r="AO325" s="220"/>
      <c r="AP325" s="220"/>
      <c r="AQ325" s="220"/>
      <c r="AR325" s="220"/>
      <c r="AS325" s="220"/>
      <c r="AT325" s="220"/>
      <c r="AU325" s="220"/>
      <c r="AV325" s="220"/>
      <c r="AW325" s="220"/>
      <c r="AX325" s="220"/>
      <c r="AY325" s="220"/>
      <c r="AZ325" s="220"/>
    </row>
    <row r="326" ht="15.75" customHeight="1">
      <c r="A326" s="272"/>
      <c r="B326" s="236" t="s">
        <v>607</v>
      </c>
      <c r="C326" s="189">
        <f t="shared" si="47"/>
        <v>7</v>
      </c>
      <c r="D326" s="180">
        <f t="shared" si="48"/>
        <v>3</v>
      </c>
      <c r="E326" s="180">
        <f t="shared" si="50"/>
        <v>30</v>
      </c>
      <c r="F326" s="286">
        <f>E326*$G$262*(1+2%)^22</f>
        <v>4844176.072</v>
      </c>
      <c r="G326" s="220"/>
      <c r="H326" s="220"/>
      <c r="I326" s="220"/>
      <c r="J326" s="220"/>
      <c r="K326" s="220"/>
      <c r="L326" s="220"/>
      <c r="M326" s="220"/>
      <c r="N326" s="220"/>
      <c r="O326" s="220"/>
      <c r="P326" s="220"/>
      <c r="Q326" s="220"/>
      <c r="R326" s="220"/>
      <c r="S326" s="220"/>
      <c r="T326" s="220"/>
      <c r="U326" s="220"/>
      <c r="V326" s="220"/>
      <c r="W326" s="220"/>
      <c r="X326" s="220"/>
      <c r="Y326" s="220"/>
      <c r="Z326" s="220"/>
      <c r="AA326" s="220"/>
      <c r="AB326" s="220"/>
      <c r="AC326" s="220"/>
      <c r="AD326" s="220"/>
      <c r="AE326" s="220"/>
      <c r="AF326" s="220"/>
      <c r="AG326" s="220"/>
      <c r="AH326" s="220"/>
      <c r="AI326" s="220"/>
      <c r="AJ326" s="220"/>
      <c r="AK326" s="220"/>
      <c r="AL326" s="220"/>
      <c r="AM326" s="220"/>
      <c r="AN326" s="220"/>
      <c r="AO326" s="220"/>
      <c r="AP326" s="220"/>
      <c r="AQ326" s="220"/>
      <c r="AR326" s="220"/>
      <c r="AS326" s="220"/>
      <c r="AT326" s="220"/>
      <c r="AU326" s="220"/>
      <c r="AV326" s="220"/>
      <c r="AW326" s="220"/>
      <c r="AX326" s="220"/>
      <c r="AY326" s="220"/>
      <c r="AZ326" s="220"/>
    </row>
    <row r="327" ht="15.75" customHeight="1">
      <c r="A327" s="272"/>
      <c r="B327" s="236" t="s">
        <v>608</v>
      </c>
      <c r="C327" s="189">
        <f t="shared" si="47"/>
        <v>7</v>
      </c>
      <c r="D327" s="180">
        <f t="shared" si="48"/>
        <v>3</v>
      </c>
      <c r="E327" s="180">
        <f t="shared" si="50"/>
        <v>30</v>
      </c>
      <c r="F327" s="286">
        <f>E327*$G$262*(1+2%)^23</f>
        <v>4941059.593</v>
      </c>
      <c r="G327" s="220"/>
      <c r="H327" s="220"/>
      <c r="I327" s="220"/>
      <c r="J327" s="220"/>
      <c r="K327" s="220"/>
      <c r="L327" s="220"/>
      <c r="M327" s="220"/>
      <c r="N327" s="220"/>
      <c r="O327" s="220"/>
      <c r="P327" s="220"/>
      <c r="Q327" s="220"/>
      <c r="R327" s="220"/>
      <c r="S327" s="220"/>
      <c r="T327" s="220"/>
      <c r="U327" s="220"/>
      <c r="V327" s="220"/>
      <c r="W327" s="220"/>
      <c r="X327" s="220"/>
      <c r="Y327" s="220"/>
      <c r="Z327" s="220"/>
      <c r="AA327" s="220"/>
      <c r="AB327" s="220"/>
      <c r="AC327" s="220"/>
      <c r="AD327" s="220"/>
      <c r="AE327" s="220"/>
      <c r="AF327" s="220"/>
      <c r="AG327" s="220"/>
      <c r="AH327" s="220"/>
      <c r="AI327" s="220"/>
      <c r="AJ327" s="220"/>
      <c r="AK327" s="220"/>
      <c r="AL327" s="220"/>
      <c r="AM327" s="220"/>
      <c r="AN327" s="220"/>
      <c r="AO327" s="220"/>
      <c r="AP327" s="220"/>
      <c r="AQ327" s="220"/>
      <c r="AR327" s="220"/>
      <c r="AS327" s="220"/>
      <c r="AT327" s="220"/>
      <c r="AU327" s="220"/>
      <c r="AV327" s="220"/>
      <c r="AW327" s="220"/>
      <c r="AX327" s="220"/>
      <c r="AY327" s="220"/>
      <c r="AZ327" s="220"/>
    </row>
    <row r="328" ht="15.75" customHeight="1">
      <c r="A328" s="272"/>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c r="AA328" s="220"/>
      <c r="AB328" s="220"/>
      <c r="AC328" s="220"/>
      <c r="AD328" s="220"/>
      <c r="AE328" s="220"/>
      <c r="AF328" s="220"/>
      <c r="AG328" s="220"/>
      <c r="AH328" s="220"/>
      <c r="AI328" s="220"/>
      <c r="AJ328" s="220"/>
      <c r="AK328" s="220"/>
      <c r="AL328" s="220"/>
      <c r="AM328" s="220"/>
      <c r="AN328" s="220"/>
      <c r="AO328" s="220"/>
      <c r="AP328" s="220"/>
      <c r="AQ328" s="220"/>
      <c r="AR328" s="220"/>
      <c r="AS328" s="220"/>
      <c r="AT328" s="220"/>
      <c r="AU328" s="220"/>
      <c r="AV328" s="220"/>
      <c r="AW328" s="220"/>
      <c r="AX328" s="220"/>
      <c r="AY328" s="220"/>
      <c r="AZ328" s="220"/>
    </row>
    <row r="329" ht="15.75" customHeight="1">
      <c r="A329" s="272"/>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c r="AA329" s="220"/>
      <c r="AB329" s="220"/>
      <c r="AC329" s="220"/>
      <c r="AD329" s="220"/>
      <c r="AE329" s="220"/>
      <c r="AF329" s="220"/>
      <c r="AG329" s="220"/>
      <c r="AH329" s="220"/>
      <c r="AI329" s="220"/>
      <c r="AJ329" s="220"/>
      <c r="AK329" s="220"/>
      <c r="AL329" s="220"/>
      <c r="AM329" s="220"/>
      <c r="AN329" s="220"/>
      <c r="AO329" s="220"/>
      <c r="AP329" s="220"/>
      <c r="AQ329" s="220"/>
      <c r="AR329" s="220"/>
      <c r="AS329" s="220"/>
      <c r="AT329" s="220"/>
      <c r="AU329" s="220"/>
      <c r="AV329" s="220"/>
      <c r="AW329" s="220"/>
      <c r="AX329" s="220"/>
      <c r="AY329" s="220"/>
      <c r="AZ329" s="220"/>
    </row>
    <row r="330" ht="36.75" customHeight="1">
      <c r="A330" s="272"/>
      <c r="B330" s="283" t="s">
        <v>646</v>
      </c>
      <c r="C330" s="47"/>
      <c r="D330" s="47"/>
      <c r="E330" s="47"/>
      <c r="F330" s="47"/>
      <c r="G330" s="47"/>
      <c r="H330" s="47"/>
      <c r="I330" s="47"/>
      <c r="J330" s="47"/>
      <c r="K330" s="47"/>
      <c r="L330" s="12"/>
      <c r="M330" s="220"/>
      <c r="N330" s="220"/>
      <c r="O330" s="220"/>
      <c r="P330" s="220"/>
      <c r="Q330" s="220"/>
      <c r="R330" s="220"/>
      <c r="S330" s="220"/>
      <c r="T330" s="220"/>
      <c r="U330" s="220"/>
      <c r="V330" s="220"/>
      <c r="W330" s="220"/>
      <c r="X330" s="220"/>
      <c r="Y330" s="220"/>
      <c r="Z330" s="220"/>
      <c r="AA330" s="220"/>
      <c r="AB330" s="220"/>
      <c r="AC330" s="220"/>
      <c r="AD330" s="220"/>
      <c r="AE330" s="220"/>
      <c r="AF330" s="220"/>
      <c r="AG330" s="220"/>
      <c r="AH330" s="220"/>
      <c r="AI330" s="220"/>
      <c r="AJ330" s="220"/>
      <c r="AK330" s="220"/>
      <c r="AL330" s="220"/>
      <c r="AM330" s="220"/>
      <c r="AN330" s="220"/>
      <c r="AO330" s="220"/>
      <c r="AP330" s="220"/>
      <c r="AQ330" s="220"/>
      <c r="AR330" s="220"/>
      <c r="AS330" s="220"/>
      <c r="AT330" s="220"/>
      <c r="AU330" s="220"/>
      <c r="AV330" s="220"/>
      <c r="AW330" s="220"/>
      <c r="AX330" s="220"/>
      <c r="AY330" s="220"/>
      <c r="AZ330" s="220"/>
    </row>
    <row r="331" ht="15.75" customHeight="1">
      <c r="A331" s="272"/>
      <c r="B331" s="284" t="s">
        <v>520</v>
      </c>
      <c r="C331" s="284" t="s">
        <v>521</v>
      </c>
      <c r="D331" s="284" t="s">
        <v>522</v>
      </c>
      <c r="E331" s="285" t="s">
        <v>632</v>
      </c>
      <c r="F331" s="285" t="s">
        <v>633</v>
      </c>
      <c r="G331" s="285" t="s">
        <v>634</v>
      </c>
      <c r="H331" s="285" t="s">
        <v>635</v>
      </c>
      <c r="I331" s="285" t="s">
        <v>636</v>
      </c>
      <c r="J331" s="285" t="s">
        <v>637</v>
      </c>
      <c r="K331" s="285" t="s">
        <v>638</v>
      </c>
      <c r="L331" s="285" t="s">
        <v>527</v>
      </c>
      <c r="M331" s="285" t="s">
        <v>639</v>
      </c>
      <c r="N331" s="220"/>
      <c r="O331" s="220"/>
      <c r="P331" s="220"/>
      <c r="Q331" s="220"/>
      <c r="R331" s="220"/>
      <c r="S331" s="220"/>
      <c r="T331" s="220"/>
      <c r="U331" s="220"/>
      <c r="V331" s="220"/>
      <c r="W331" s="220"/>
      <c r="X331" s="220"/>
      <c r="Y331" s="220"/>
      <c r="Z331" s="220"/>
      <c r="AA331" s="220"/>
      <c r="AB331" s="220"/>
      <c r="AC331" s="220"/>
      <c r="AD331" s="220"/>
      <c r="AE331" s="220"/>
      <c r="AF331" s="220"/>
      <c r="AG331" s="220"/>
      <c r="AH331" s="220"/>
      <c r="AI331" s="220"/>
      <c r="AJ331" s="220"/>
      <c r="AK331" s="220"/>
      <c r="AL331" s="220"/>
      <c r="AM331" s="220"/>
      <c r="AN331" s="220"/>
      <c r="AO331" s="220"/>
      <c r="AP331" s="220"/>
      <c r="AQ331" s="220"/>
      <c r="AR331" s="220"/>
      <c r="AS331" s="220"/>
      <c r="AT331" s="220"/>
      <c r="AU331" s="220"/>
      <c r="AV331" s="220"/>
      <c r="AW331" s="220"/>
      <c r="AX331" s="220"/>
      <c r="AY331" s="220"/>
      <c r="AZ331" s="220"/>
    </row>
    <row r="332" ht="15.75" customHeight="1">
      <c r="A332" s="272"/>
      <c r="B332" s="230" t="s">
        <v>528</v>
      </c>
      <c r="C332" s="180">
        <v>31.0</v>
      </c>
      <c r="D332" s="189">
        <v>6.0</v>
      </c>
      <c r="E332" s="180">
        <f t="shared" ref="E332:E343" si="51">G43</f>
        <v>0.9</v>
      </c>
      <c r="F332" s="286">
        <f t="shared" ref="F332:F343" si="52">C332*D332*E332</f>
        <v>167.4</v>
      </c>
      <c r="G332" s="189">
        <f t="shared" ref="G332:G343" si="53">F332/$C$259</f>
        <v>83.7</v>
      </c>
      <c r="H332" s="287">
        <f t="shared" ref="H332:H343" si="54">ROUND(G332*$C$260,0)</f>
        <v>17</v>
      </c>
      <c r="I332" s="287">
        <f t="shared" ref="I332:I343" si="55">ROUNDDOWN(H332*$C$261,0)</f>
        <v>8</v>
      </c>
      <c r="J332" s="288">
        <f t="shared" ref="J332:J343" si="56">ROUND(H332*$C$262,0)</f>
        <v>5</v>
      </c>
      <c r="K332" s="288">
        <f t="shared" ref="K332:K343" si="57">ROUND(H332*$C$263,0)</f>
        <v>3</v>
      </c>
      <c r="L332" s="289">
        <f>(I332*$H$259+J332*$H$260+K332*$H$261)</f>
        <v>3118789.652</v>
      </c>
      <c r="M332" s="289">
        <f>(I332*'Modelo Matriz de Gastos (Ejempl'!$D$293+J332*'Modelo Matriz de Gastos (Ejempl'!$D$303+K332*'Modelo Matriz de Gastos (Ejempl'!$D$314)</f>
        <v>697710</v>
      </c>
      <c r="N332" s="220"/>
      <c r="O332" s="220"/>
      <c r="P332" s="220"/>
      <c r="Q332" s="220"/>
      <c r="R332" s="220"/>
      <c r="S332" s="220"/>
      <c r="T332" s="220"/>
      <c r="U332" s="220"/>
      <c r="V332" s="220"/>
      <c r="W332" s="220"/>
      <c r="X332" s="220"/>
      <c r="Y332" s="220"/>
      <c r="Z332" s="220"/>
      <c r="AA332" s="220"/>
      <c r="AB332" s="220"/>
      <c r="AC332" s="220"/>
      <c r="AD332" s="220"/>
      <c r="AE332" s="220"/>
      <c r="AF332" s="220"/>
      <c r="AG332" s="220"/>
      <c r="AH332" s="220"/>
      <c r="AI332" s="220"/>
      <c r="AJ332" s="220"/>
      <c r="AK332" s="220"/>
      <c r="AL332" s="220"/>
      <c r="AM332" s="220"/>
      <c r="AN332" s="220"/>
      <c r="AO332" s="220"/>
      <c r="AP332" s="220"/>
      <c r="AQ332" s="220"/>
      <c r="AR332" s="220"/>
      <c r="AS332" s="220"/>
      <c r="AT332" s="220"/>
      <c r="AU332" s="220"/>
      <c r="AV332" s="220"/>
      <c r="AW332" s="220"/>
      <c r="AX332" s="220"/>
      <c r="AY332" s="220"/>
      <c r="AZ332" s="220"/>
    </row>
    <row r="333" ht="15.75" customHeight="1">
      <c r="A333" s="272"/>
      <c r="B333" s="236" t="s">
        <v>529</v>
      </c>
      <c r="C333" s="180">
        <v>28.0</v>
      </c>
      <c r="D333" s="189">
        <v>6.0</v>
      </c>
      <c r="E333" s="180">
        <f t="shared" si="51"/>
        <v>0.9</v>
      </c>
      <c r="F333" s="286">
        <f t="shared" si="52"/>
        <v>151.2</v>
      </c>
      <c r="G333" s="189">
        <f t="shared" si="53"/>
        <v>75.6</v>
      </c>
      <c r="H333" s="287">
        <f t="shared" si="54"/>
        <v>15</v>
      </c>
      <c r="I333" s="287">
        <f t="shared" si="55"/>
        <v>7</v>
      </c>
      <c r="J333" s="288">
        <f t="shared" si="56"/>
        <v>5</v>
      </c>
      <c r="K333" s="288">
        <f t="shared" si="57"/>
        <v>3</v>
      </c>
      <c r="L333" s="289">
        <f>(I333*$H$259+J333*$H$260+K333*$H$261)*(1+2%)^1</f>
        <v>2992343.273</v>
      </c>
      <c r="M333" s="289">
        <f>(I333*'Modelo Matriz de Gastos (Ejempl'!$D$293+J333*'Modelo Matriz de Gastos (Ejempl'!$D$303+K333*'Modelo Matriz de Gastos (Ejempl'!$D$314)</f>
        <v>661410</v>
      </c>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c r="AQ333" s="220"/>
      <c r="AR333" s="220"/>
      <c r="AS333" s="220"/>
      <c r="AT333" s="220"/>
      <c r="AU333" s="220"/>
      <c r="AV333" s="220"/>
      <c r="AW333" s="220"/>
      <c r="AX333" s="220"/>
      <c r="AY333" s="220"/>
      <c r="AZ333" s="220"/>
    </row>
    <row r="334" ht="15.75" customHeight="1">
      <c r="A334" s="272"/>
      <c r="B334" s="236" t="s">
        <v>530</v>
      </c>
      <c r="C334" s="180">
        <v>31.0</v>
      </c>
      <c r="D334" s="189">
        <v>6.0</v>
      </c>
      <c r="E334" s="180">
        <f t="shared" si="51"/>
        <v>0.7</v>
      </c>
      <c r="F334" s="286">
        <f t="shared" si="52"/>
        <v>130.2</v>
      </c>
      <c r="G334" s="189">
        <f t="shared" si="53"/>
        <v>65.1</v>
      </c>
      <c r="H334" s="287">
        <f t="shared" si="54"/>
        <v>13</v>
      </c>
      <c r="I334" s="287">
        <f t="shared" si="55"/>
        <v>6</v>
      </c>
      <c r="J334" s="288">
        <f t="shared" si="56"/>
        <v>4</v>
      </c>
      <c r="K334" s="288">
        <f t="shared" si="57"/>
        <v>3</v>
      </c>
      <c r="L334" s="289">
        <f>(I334*$H$259+J334*$H$260+K334*$H$261)*(1+2%)^2</f>
        <v>2670076.921</v>
      </c>
      <c r="M334" s="289">
        <f>(I334*'Modelo Matriz de Gastos (Ejempl'!$D$293+J334*'Modelo Matriz de Gastos (Ejempl'!$D$303+K334*'Modelo Matriz de Gastos (Ejempl'!$D$314)</f>
        <v>579810</v>
      </c>
      <c r="N334" s="220"/>
      <c r="O334" s="220"/>
      <c r="P334" s="220"/>
      <c r="Q334" s="220"/>
      <c r="R334" s="220"/>
      <c r="S334" s="220"/>
      <c r="T334" s="220"/>
      <c r="U334" s="220"/>
      <c r="V334" s="220"/>
      <c r="W334" s="220"/>
      <c r="X334" s="220"/>
      <c r="Y334" s="220"/>
      <c r="Z334" s="220"/>
      <c r="AA334" s="220"/>
      <c r="AB334" s="220"/>
      <c r="AC334" s="220"/>
      <c r="AD334" s="220"/>
      <c r="AE334" s="220"/>
      <c r="AF334" s="220"/>
      <c r="AG334" s="220"/>
      <c r="AH334" s="220"/>
      <c r="AI334" s="220"/>
      <c r="AJ334" s="220"/>
      <c r="AK334" s="220"/>
      <c r="AL334" s="220"/>
      <c r="AM334" s="220"/>
      <c r="AN334" s="220"/>
      <c r="AO334" s="220"/>
      <c r="AP334" s="220"/>
      <c r="AQ334" s="220"/>
      <c r="AR334" s="220"/>
      <c r="AS334" s="220"/>
      <c r="AT334" s="220"/>
      <c r="AU334" s="220"/>
      <c r="AV334" s="220"/>
      <c r="AW334" s="220"/>
      <c r="AX334" s="220"/>
      <c r="AY334" s="220"/>
      <c r="AZ334" s="220"/>
    </row>
    <row r="335" ht="15.75" customHeight="1">
      <c r="A335" s="272"/>
      <c r="B335" s="236" t="s">
        <v>531</v>
      </c>
      <c r="C335" s="189">
        <v>30.0</v>
      </c>
      <c r="D335" s="189">
        <v>6.0</v>
      </c>
      <c r="E335" s="180">
        <f t="shared" si="51"/>
        <v>0.7</v>
      </c>
      <c r="F335" s="286">
        <f t="shared" si="52"/>
        <v>126</v>
      </c>
      <c r="G335" s="189">
        <f t="shared" si="53"/>
        <v>63</v>
      </c>
      <c r="H335" s="287">
        <f t="shared" si="54"/>
        <v>13</v>
      </c>
      <c r="I335" s="287">
        <f t="shared" si="55"/>
        <v>6</v>
      </c>
      <c r="J335" s="288">
        <f t="shared" si="56"/>
        <v>4</v>
      </c>
      <c r="K335" s="288">
        <f t="shared" si="57"/>
        <v>3</v>
      </c>
      <c r="L335" s="289">
        <f>(I335*$H$259+J335*$H$260+K335*$H$261)*(1+2%)^3</f>
        <v>2723478.46</v>
      </c>
      <c r="M335" s="289">
        <f>(I335*'Modelo Matriz de Gastos (Ejempl'!$D$293+J335*'Modelo Matriz de Gastos (Ejempl'!$D$303+K335*'Modelo Matriz de Gastos (Ejempl'!$D$314)</f>
        <v>579810</v>
      </c>
      <c r="N335" s="220"/>
      <c r="O335" s="220"/>
      <c r="P335" s="220"/>
      <c r="Q335" s="220"/>
      <c r="R335" s="220"/>
      <c r="S335" s="220"/>
      <c r="T335" s="220"/>
      <c r="U335" s="220"/>
      <c r="V335" s="220"/>
      <c r="W335" s="220"/>
      <c r="X335" s="220"/>
      <c r="Y335" s="220"/>
      <c r="Z335" s="220"/>
      <c r="AA335" s="220"/>
      <c r="AB335" s="220"/>
      <c r="AC335" s="220"/>
      <c r="AD335" s="220"/>
      <c r="AE335" s="220"/>
      <c r="AF335" s="220"/>
      <c r="AG335" s="220"/>
      <c r="AH335" s="220"/>
      <c r="AI335" s="220"/>
      <c r="AJ335" s="220"/>
      <c r="AK335" s="220"/>
      <c r="AL335" s="220"/>
      <c r="AM335" s="220"/>
      <c r="AN335" s="220"/>
      <c r="AO335" s="220"/>
      <c r="AP335" s="220"/>
      <c r="AQ335" s="220"/>
      <c r="AR335" s="220"/>
      <c r="AS335" s="220"/>
      <c r="AT335" s="220"/>
      <c r="AU335" s="220"/>
      <c r="AV335" s="220"/>
      <c r="AW335" s="220"/>
      <c r="AX335" s="220"/>
      <c r="AY335" s="220"/>
      <c r="AZ335" s="220"/>
    </row>
    <row r="336" ht="15.75" customHeight="1">
      <c r="A336" s="272"/>
      <c r="B336" s="236" t="s">
        <v>532</v>
      </c>
      <c r="C336" s="189">
        <v>31.0</v>
      </c>
      <c r="D336" s="189">
        <v>6.0</v>
      </c>
      <c r="E336" s="180">
        <f t="shared" si="51"/>
        <v>0.4</v>
      </c>
      <c r="F336" s="286">
        <f t="shared" si="52"/>
        <v>74.4</v>
      </c>
      <c r="G336" s="189">
        <f t="shared" si="53"/>
        <v>37.2</v>
      </c>
      <c r="H336" s="287">
        <f t="shared" si="54"/>
        <v>7</v>
      </c>
      <c r="I336" s="287">
        <f t="shared" si="55"/>
        <v>3</v>
      </c>
      <c r="J336" s="288">
        <f t="shared" si="56"/>
        <v>2</v>
      </c>
      <c r="K336" s="288">
        <f t="shared" si="57"/>
        <v>1</v>
      </c>
      <c r="L336" s="289">
        <f>(I336*$H$259+J336*$H$260+K336*$H$261)*(1+2%)^4</f>
        <v>1257809.603</v>
      </c>
      <c r="M336" s="289">
        <f>(I336*'Modelo Matriz de Gastos (Ejempl'!$D$293+J336*'Modelo Matriz de Gastos (Ejempl'!$D$303+K336*'Modelo Matriz de Gastos (Ejempl'!$D$314)</f>
        <v>259770</v>
      </c>
      <c r="N336" s="220"/>
      <c r="O336" s="220"/>
      <c r="P336" s="220"/>
      <c r="Q336" s="220"/>
      <c r="R336" s="220"/>
      <c r="S336" s="220"/>
      <c r="T336" s="220"/>
      <c r="U336" s="220"/>
      <c r="V336" s="220"/>
      <c r="W336" s="220"/>
      <c r="X336" s="220"/>
      <c r="Y336" s="220"/>
      <c r="Z336" s="220"/>
      <c r="AA336" s="220"/>
      <c r="AB336" s="220"/>
      <c r="AC336" s="220"/>
      <c r="AD336" s="220"/>
      <c r="AE336" s="220"/>
      <c r="AF336" s="220"/>
      <c r="AG336" s="220"/>
      <c r="AH336" s="220"/>
      <c r="AI336" s="220"/>
      <c r="AJ336" s="220"/>
      <c r="AK336" s="220"/>
      <c r="AL336" s="220"/>
      <c r="AM336" s="220"/>
      <c r="AN336" s="220"/>
      <c r="AO336" s="220"/>
      <c r="AP336" s="220"/>
      <c r="AQ336" s="220"/>
      <c r="AR336" s="220"/>
      <c r="AS336" s="220"/>
      <c r="AT336" s="220"/>
      <c r="AU336" s="220"/>
      <c r="AV336" s="220"/>
      <c r="AW336" s="220"/>
      <c r="AX336" s="220"/>
      <c r="AY336" s="220"/>
      <c r="AZ336" s="220"/>
    </row>
    <row r="337" ht="15.75" customHeight="1">
      <c r="A337" s="272"/>
      <c r="B337" s="236" t="s">
        <v>533</v>
      </c>
      <c r="C337" s="189">
        <v>30.0</v>
      </c>
      <c r="D337" s="189">
        <v>6.0</v>
      </c>
      <c r="E337" s="180">
        <f t="shared" si="51"/>
        <v>0.4</v>
      </c>
      <c r="F337" s="286">
        <f t="shared" si="52"/>
        <v>72</v>
      </c>
      <c r="G337" s="189">
        <f t="shared" si="53"/>
        <v>36</v>
      </c>
      <c r="H337" s="287">
        <f t="shared" si="54"/>
        <v>7</v>
      </c>
      <c r="I337" s="287">
        <f t="shared" si="55"/>
        <v>3</v>
      </c>
      <c r="J337" s="288">
        <f t="shared" si="56"/>
        <v>2</v>
      </c>
      <c r="K337" s="288">
        <f t="shared" si="57"/>
        <v>1</v>
      </c>
      <c r="L337" s="289">
        <f>(I337*$H$259+J337*$H$260+K337*$H$261)*(1+2%)^5</f>
        <v>1282965.795</v>
      </c>
      <c r="M337" s="289">
        <f>(I337*'Modelo Matriz de Gastos (Ejempl'!$D$293+J337*'Modelo Matriz de Gastos (Ejempl'!$D$303+K337*'Modelo Matriz de Gastos (Ejempl'!$D$314)</f>
        <v>259770</v>
      </c>
      <c r="N337" s="220"/>
      <c r="O337" s="220"/>
      <c r="P337" s="220"/>
      <c r="Q337" s="220"/>
      <c r="R337" s="220"/>
      <c r="S337" s="220"/>
      <c r="T337" s="220"/>
      <c r="U337" s="220"/>
      <c r="V337" s="220"/>
      <c r="W337" s="220"/>
      <c r="X337" s="220"/>
      <c r="Y337" s="220"/>
      <c r="Z337" s="220"/>
      <c r="AA337" s="220"/>
      <c r="AB337" s="220"/>
      <c r="AC337" s="220"/>
      <c r="AD337" s="220"/>
      <c r="AE337" s="220"/>
      <c r="AF337" s="220"/>
      <c r="AG337" s="220"/>
      <c r="AH337" s="220"/>
      <c r="AI337" s="220"/>
      <c r="AJ337" s="220"/>
      <c r="AK337" s="220"/>
      <c r="AL337" s="220"/>
      <c r="AM337" s="220"/>
      <c r="AN337" s="220"/>
      <c r="AO337" s="220"/>
      <c r="AP337" s="220"/>
      <c r="AQ337" s="220"/>
      <c r="AR337" s="220"/>
      <c r="AS337" s="220"/>
      <c r="AT337" s="220"/>
      <c r="AU337" s="220"/>
      <c r="AV337" s="220"/>
      <c r="AW337" s="220"/>
      <c r="AX337" s="220"/>
      <c r="AY337" s="220"/>
      <c r="AZ337" s="220"/>
    </row>
    <row r="338" ht="15.75" customHeight="1">
      <c r="A338" s="272"/>
      <c r="B338" s="236" t="s">
        <v>534</v>
      </c>
      <c r="C338" s="189">
        <v>31.0</v>
      </c>
      <c r="D338" s="189">
        <v>6.0</v>
      </c>
      <c r="E338" s="180">
        <f t="shared" si="51"/>
        <v>1</v>
      </c>
      <c r="F338" s="286">
        <f t="shared" si="52"/>
        <v>186</v>
      </c>
      <c r="G338" s="189">
        <f t="shared" si="53"/>
        <v>93</v>
      </c>
      <c r="H338" s="287">
        <f t="shared" si="54"/>
        <v>19</v>
      </c>
      <c r="I338" s="287">
        <f t="shared" si="55"/>
        <v>9</v>
      </c>
      <c r="J338" s="288">
        <f t="shared" si="56"/>
        <v>6</v>
      </c>
      <c r="K338" s="288">
        <f t="shared" si="57"/>
        <v>4</v>
      </c>
      <c r="L338" s="289">
        <f>(I338*$H$259+J338*$H$260+K338*$H$261)*(1+2%)^6</f>
        <v>4198802.241</v>
      </c>
      <c r="M338" s="289">
        <f>(I338*'Modelo Matriz de Gastos (Ejempl'!$D$293+J338*'Modelo Matriz de Gastos (Ejempl'!$D$303+K338*'Modelo Matriz de Gastos (Ejempl'!$D$314)</f>
        <v>839580</v>
      </c>
      <c r="N338" s="220"/>
      <c r="O338" s="220"/>
      <c r="P338" s="220"/>
      <c r="Q338" s="220"/>
      <c r="R338" s="220"/>
      <c r="S338" s="220"/>
      <c r="T338" s="220"/>
      <c r="U338" s="220"/>
      <c r="V338" s="220"/>
      <c r="W338" s="220"/>
      <c r="X338" s="220"/>
      <c r="Y338" s="220"/>
      <c r="Z338" s="220"/>
      <c r="AA338" s="220"/>
      <c r="AB338" s="220"/>
      <c r="AC338" s="220"/>
      <c r="AD338" s="220"/>
      <c r="AE338" s="220"/>
      <c r="AF338" s="220"/>
      <c r="AG338" s="220"/>
      <c r="AH338" s="220"/>
      <c r="AI338" s="220"/>
      <c r="AJ338" s="220"/>
      <c r="AK338" s="220"/>
      <c r="AL338" s="220"/>
      <c r="AM338" s="220"/>
      <c r="AN338" s="220"/>
      <c r="AO338" s="220"/>
      <c r="AP338" s="220"/>
      <c r="AQ338" s="220"/>
      <c r="AR338" s="220"/>
      <c r="AS338" s="220"/>
      <c r="AT338" s="220"/>
      <c r="AU338" s="220"/>
      <c r="AV338" s="220"/>
      <c r="AW338" s="220"/>
      <c r="AX338" s="220"/>
      <c r="AY338" s="220"/>
      <c r="AZ338" s="220"/>
    </row>
    <row r="339" ht="15.75" customHeight="1">
      <c r="A339" s="272"/>
      <c r="B339" s="236" t="s">
        <v>535</v>
      </c>
      <c r="C339" s="189">
        <v>31.0</v>
      </c>
      <c r="D339" s="189">
        <v>6.0</v>
      </c>
      <c r="E339" s="180">
        <f t="shared" si="51"/>
        <v>1</v>
      </c>
      <c r="F339" s="286">
        <f t="shared" si="52"/>
        <v>186</v>
      </c>
      <c r="G339" s="189">
        <f t="shared" si="53"/>
        <v>93</v>
      </c>
      <c r="H339" s="287">
        <f t="shared" si="54"/>
        <v>19</v>
      </c>
      <c r="I339" s="287">
        <f t="shared" si="55"/>
        <v>9</v>
      </c>
      <c r="J339" s="288">
        <f t="shared" si="56"/>
        <v>6</v>
      </c>
      <c r="K339" s="288">
        <f t="shared" si="57"/>
        <v>4</v>
      </c>
      <c r="L339" s="289">
        <f>(I339*$H$259+J339*$H$260+K339*$H$261)*(1+2%)^7</f>
        <v>4282778.286</v>
      </c>
      <c r="M339" s="289">
        <f>(I339*'Modelo Matriz de Gastos (Ejempl'!$D$293+J339*'Modelo Matriz de Gastos (Ejempl'!$D$303+K339*'Modelo Matriz de Gastos (Ejempl'!$D$314)</f>
        <v>839580</v>
      </c>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row>
    <row r="340" ht="15.75" customHeight="1">
      <c r="A340" s="272"/>
      <c r="B340" s="236" t="s">
        <v>536</v>
      </c>
      <c r="C340" s="189">
        <v>30.0</v>
      </c>
      <c r="D340" s="189">
        <v>6.0</v>
      </c>
      <c r="E340" s="180">
        <f t="shared" si="51"/>
        <v>0.5</v>
      </c>
      <c r="F340" s="286">
        <f t="shared" si="52"/>
        <v>90</v>
      </c>
      <c r="G340" s="189">
        <f t="shared" si="53"/>
        <v>45</v>
      </c>
      <c r="H340" s="287">
        <f t="shared" si="54"/>
        <v>9</v>
      </c>
      <c r="I340" s="287">
        <f t="shared" si="55"/>
        <v>4</v>
      </c>
      <c r="J340" s="288">
        <f t="shared" si="56"/>
        <v>3</v>
      </c>
      <c r="K340" s="288">
        <f t="shared" si="57"/>
        <v>2</v>
      </c>
      <c r="L340" s="289">
        <f>(I340*$H$259+J340*$H$260+K340*$H$261)*(1+2%)^8</f>
        <v>2075768.264</v>
      </c>
      <c r="M340" s="289">
        <f>(I340*'Modelo Matriz de Gastos (Ejempl'!$D$293+J340*'Modelo Matriz de Gastos (Ejempl'!$D$303+K340*'Modelo Matriz de Gastos (Ejempl'!$D$314)</f>
        <v>401640</v>
      </c>
      <c r="N340" s="220"/>
      <c r="O340" s="220"/>
      <c r="P340" s="220"/>
      <c r="Q340" s="220"/>
      <c r="R340" s="220"/>
      <c r="S340" s="220"/>
      <c r="T340" s="220"/>
      <c r="U340" s="220"/>
      <c r="V340" s="220"/>
      <c r="W340" s="220"/>
      <c r="X340" s="220"/>
      <c r="Y340" s="220"/>
      <c r="Z340" s="220"/>
      <c r="AA340" s="220"/>
      <c r="AB340" s="220"/>
      <c r="AC340" s="220"/>
      <c r="AD340" s="220"/>
      <c r="AE340" s="220"/>
      <c r="AF340" s="220"/>
      <c r="AG340" s="220"/>
      <c r="AH340" s="220"/>
      <c r="AI340" s="220"/>
      <c r="AJ340" s="220"/>
      <c r="AK340" s="220"/>
      <c r="AL340" s="220"/>
      <c r="AM340" s="220"/>
      <c r="AN340" s="220"/>
      <c r="AO340" s="220"/>
      <c r="AP340" s="220"/>
      <c r="AQ340" s="220"/>
      <c r="AR340" s="220"/>
      <c r="AS340" s="220"/>
      <c r="AT340" s="220"/>
      <c r="AU340" s="220"/>
      <c r="AV340" s="220"/>
      <c r="AW340" s="220"/>
      <c r="AX340" s="220"/>
      <c r="AY340" s="220"/>
      <c r="AZ340" s="220"/>
    </row>
    <row r="341" ht="15.75" customHeight="1">
      <c r="A341" s="272"/>
      <c r="B341" s="236" t="s">
        <v>537</v>
      </c>
      <c r="C341" s="189">
        <v>31.0</v>
      </c>
      <c r="D341" s="189">
        <v>6.0</v>
      </c>
      <c r="E341" s="180">
        <f t="shared" si="51"/>
        <v>0.7</v>
      </c>
      <c r="F341" s="286">
        <f t="shared" si="52"/>
        <v>130.2</v>
      </c>
      <c r="G341" s="189">
        <f t="shared" si="53"/>
        <v>65.1</v>
      </c>
      <c r="H341" s="287">
        <f t="shared" si="54"/>
        <v>13</v>
      </c>
      <c r="I341" s="287">
        <f t="shared" si="55"/>
        <v>6</v>
      </c>
      <c r="J341" s="288">
        <f t="shared" si="56"/>
        <v>4</v>
      </c>
      <c r="K341" s="288">
        <f t="shared" si="57"/>
        <v>3</v>
      </c>
      <c r="L341" s="289">
        <f>(I341*$H$259+J341*$H$260+K341*$H$261)*(1+2%)^9</f>
        <v>3067079.091</v>
      </c>
      <c r="M341" s="289">
        <f>(I341*'Modelo Matriz de Gastos (Ejempl'!$D$293+J341*'Modelo Matriz de Gastos (Ejempl'!$D$303+K341*'Modelo Matriz de Gastos (Ejempl'!$D$314)</f>
        <v>579810</v>
      </c>
      <c r="N341" s="220"/>
      <c r="O341" s="220"/>
      <c r="P341" s="220"/>
      <c r="Q341" s="220"/>
      <c r="R341" s="220"/>
      <c r="S341" s="220"/>
      <c r="T341" s="220"/>
      <c r="U341" s="220"/>
      <c r="V341" s="220"/>
      <c r="W341" s="220"/>
      <c r="X341" s="220"/>
      <c r="Y341" s="220"/>
      <c r="Z341" s="220"/>
      <c r="AA341" s="220"/>
      <c r="AB341" s="220"/>
      <c r="AC341" s="220"/>
      <c r="AD341" s="220"/>
      <c r="AE341" s="220"/>
      <c r="AF341" s="220"/>
      <c r="AG341" s="220"/>
      <c r="AH341" s="220"/>
      <c r="AI341" s="220"/>
      <c r="AJ341" s="220"/>
      <c r="AK341" s="220"/>
      <c r="AL341" s="220"/>
      <c r="AM341" s="220"/>
      <c r="AN341" s="220"/>
      <c r="AO341" s="220"/>
      <c r="AP341" s="220"/>
      <c r="AQ341" s="220"/>
      <c r="AR341" s="220"/>
      <c r="AS341" s="220"/>
      <c r="AT341" s="220"/>
      <c r="AU341" s="220"/>
      <c r="AV341" s="220"/>
      <c r="AW341" s="220"/>
      <c r="AX341" s="220"/>
      <c r="AY341" s="220"/>
      <c r="AZ341" s="220"/>
    </row>
    <row r="342" ht="15.75" customHeight="1">
      <c r="A342" s="272"/>
      <c r="B342" s="236" t="s">
        <v>538</v>
      </c>
      <c r="C342" s="189">
        <v>30.0</v>
      </c>
      <c r="D342" s="189">
        <v>6.0</v>
      </c>
      <c r="E342" s="180">
        <f t="shared" si="51"/>
        <v>0.7</v>
      </c>
      <c r="F342" s="286">
        <f t="shared" si="52"/>
        <v>126</v>
      </c>
      <c r="G342" s="189">
        <f t="shared" si="53"/>
        <v>63</v>
      </c>
      <c r="H342" s="287">
        <f t="shared" si="54"/>
        <v>13</v>
      </c>
      <c r="I342" s="287">
        <f t="shared" si="55"/>
        <v>6</v>
      </c>
      <c r="J342" s="288">
        <f t="shared" si="56"/>
        <v>4</v>
      </c>
      <c r="K342" s="288">
        <f t="shared" si="57"/>
        <v>3</v>
      </c>
      <c r="L342" s="289">
        <f>(I342*$H$259+J342*$H$260+K342*$H$261)*(1+2%)^10</f>
        <v>3128420.673</v>
      </c>
      <c r="M342" s="289">
        <f>(I342*'Modelo Matriz de Gastos (Ejempl'!$D$293+J342*'Modelo Matriz de Gastos (Ejempl'!$D$303+K342*'Modelo Matriz de Gastos (Ejempl'!$D$314)</f>
        <v>579810</v>
      </c>
      <c r="N342" s="220"/>
      <c r="O342" s="220"/>
      <c r="P342" s="220"/>
      <c r="Q342" s="220"/>
      <c r="R342" s="220"/>
      <c r="S342" s="220"/>
      <c r="T342" s="220"/>
      <c r="U342" s="220"/>
      <c r="V342" s="220"/>
      <c r="W342" s="220"/>
      <c r="X342" s="220"/>
      <c r="Y342" s="220"/>
      <c r="Z342" s="220"/>
      <c r="AA342" s="220"/>
      <c r="AB342" s="220"/>
      <c r="AC342" s="220"/>
      <c r="AD342" s="220"/>
      <c r="AE342" s="220"/>
      <c r="AF342" s="220"/>
      <c r="AG342" s="220"/>
      <c r="AH342" s="220"/>
      <c r="AI342" s="220"/>
      <c r="AJ342" s="220"/>
      <c r="AK342" s="220"/>
      <c r="AL342" s="220"/>
      <c r="AM342" s="220"/>
      <c r="AN342" s="220"/>
      <c r="AO342" s="220"/>
      <c r="AP342" s="220"/>
      <c r="AQ342" s="220"/>
      <c r="AR342" s="220"/>
      <c r="AS342" s="220"/>
      <c r="AT342" s="220"/>
      <c r="AU342" s="220"/>
      <c r="AV342" s="220"/>
      <c r="AW342" s="220"/>
      <c r="AX342" s="220"/>
      <c r="AY342" s="220"/>
      <c r="AZ342" s="220"/>
    </row>
    <row r="343" ht="15.75" customHeight="1">
      <c r="A343" s="272"/>
      <c r="B343" s="236" t="s">
        <v>539</v>
      </c>
      <c r="C343" s="189">
        <v>31.0</v>
      </c>
      <c r="D343" s="189">
        <v>6.0</v>
      </c>
      <c r="E343" s="180">
        <f t="shared" si="51"/>
        <v>0.7</v>
      </c>
      <c r="F343" s="286">
        <f t="shared" si="52"/>
        <v>130.2</v>
      </c>
      <c r="G343" s="189">
        <f t="shared" si="53"/>
        <v>65.1</v>
      </c>
      <c r="H343" s="287">
        <f t="shared" si="54"/>
        <v>13</v>
      </c>
      <c r="I343" s="287">
        <f t="shared" si="55"/>
        <v>6</v>
      </c>
      <c r="J343" s="288">
        <f t="shared" si="56"/>
        <v>4</v>
      </c>
      <c r="K343" s="288">
        <f t="shared" si="57"/>
        <v>3</v>
      </c>
      <c r="L343" s="289">
        <f>(I343*$H$259+J343*$H$260+K343*$H$261)*(1+2%)^11</f>
        <v>3190989.086</v>
      </c>
      <c r="M343" s="289">
        <f>(I343*'Modelo Matriz de Gastos (Ejempl'!$D$293+J343*'Modelo Matriz de Gastos (Ejempl'!$D$303+K343*'Modelo Matriz de Gastos (Ejempl'!$D$314)</f>
        <v>579810</v>
      </c>
      <c r="N343" s="220"/>
      <c r="O343" s="220"/>
      <c r="P343" s="220"/>
      <c r="Q343" s="220"/>
      <c r="R343" s="220"/>
      <c r="S343" s="220"/>
      <c r="T343" s="220"/>
      <c r="U343" s="220"/>
      <c r="V343" s="220"/>
      <c r="W343" s="220"/>
      <c r="X343" s="220"/>
      <c r="Y343" s="220"/>
      <c r="Z343" s="220"/>
      <c r="AA343" s="220"/>
      <c r="AB343" s="220"/>
      <c r="AC343" s="220"/>
      <c r="AD343" s="220"/>
      <c r="AE343" s="220"/>
      <c r="AF343" s="220"/>
      <c r="AG343" s="220"/>
      <c r="AH343" s="220"/>
      <c r="AI343" s="220"/>
      <c r="AJ343" s="220"/>
      <c r="AK343" s="220"/>
      <c r="AL343" s="220"/>
      <c r="AM343" s="220"/>
      <c r="AN343" s="220"/>
      <c r="AO343" s="220"/>
      <c r="AP343" s="220"/>
      <c r="AQ343" s="220"/>
      <c r="AR343" s="220"/>
      <c r="AS343" s="220"/>
      <c r="AT343" s="220"/>
      <c r="AU343" s="220"/>
      <c r="AV343" s="220"/>
      <c r="AW343" s="220"/>
      <c r="AX343" s="220"/>
      <c r="AY343" s="220"/>
      <c r="AZ343" s="220"/>
    </row>
    <row r="344" ht="15.75" customHeight="1">
      <c r="A344" s="272"/>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c r="AA344" s="220"/>
      <c r="AB344" s="220"/>
      <c r="AC344" s="220"/>
      <c r="AD344" s="220"/>
      <c r="AE344" s="220"/>
      <c r="AF344" s="220"/>
      <c r="AG344" s="220"/>
      <c r="AH344" s="220"/>
      <c r="AI344" s="220"/>
      <c r="AJ344" s="220"/>
      <c r="AK344" s="220"/>
      <c r="AL344" s="220"/>
      <c r="AM344" s="220"/>
      <c r="AN344" s="220"/>
      <c r="AO344" s="220"/>
      <c r="AP344" s="220"/>
      <c r="AQ344" s="220"/>
      <c r="AR344" s="220"/>
      <c r="AS344" s="220"/>
      <c r="AT344" s="220"/>
      <c r="AU344" s="220"/>
      <c r="AV344" s="220"/>
      <c r="AW344" s="220"/>
      <c r="AX344" s="220"/>
      <c r="AY344" s="220"/>
      <c r="AZ344" s="220"/>
    </row>
    <row r="345" ht="30.75" customHeight="1">
      <c r="A345" s="272"/>
      <c r="B345" s="283" t="s">
        <v>647</v>
      </c>
      <c r="C345" s="47"/>
      <c r="D345" s="47"/>
      <c r="E345" s="47"/>
      <c r="F345" s="47"/>
      <c r="G345" s="220"/>
      <c r="H345" s="220"/>
      <c r="I345" s="220"/>
      <c r="J345" s="220"/>
      <c r="K345" s="220"/>
      <c r="L345" s="220"/>
      <c r="M345" s="220"/>
      <c r="N345" s="220"/>
      <c r="O345" s="220"/>
      <c r="P345" s="220"/>
      <c r="Q345" s="220"/>
      <c r="R345" s="220"/>
      <c r="S345" s="220"/>
      <c r="T345" s="220"/>
      <c r="U345" s="220"/>
      <c r="V345" s="220"/>
      <c r="W345" s="220"/>
      <c r="X345" s="220"/>
      <c r="Y345" s="220"/>
      <c r="Z345" s="220"/>
      <c r="AA345" s="220"/>
      <c r="AB345" s="220"/>
      <c r="AC345" s="220"/>
      <c r="AD345" s="220"/>
      <c r="AE345" s="220"/>
      <c r="AF345" s="220"/>
      <c r="AG345" s="220"/>
      <c r="AH345" s="220"/>
      <c r="AI345" s="220"/>
      <c r="AJ345" s="220"/>
      <c r="AK345" s="220"/>
      <c r="AL345" s="220"/>
      <c r="AM345" s="220"/>
      <c r="AN345" s="220"/>
      <c r="AO345" s="220"/>
      <c r="AP345" s="220"/>
      <c r="AQ345" s="220"/>
      <c r="AR345" s="220"/>
      <c r="AS345" s="220"/>
      <c r="AT345" s="220"/>
      <c r="AU345" s="220"/>
      <c r="AV345" s="220"/>
      <c r="AW345" s="220"/>
      <c r="AX345" s="220"/>
      <c r="AY345" s="220"/>
      <c r="AZ345" s="220"/>
    </row>
    <row r="346" ht="60.75" customHeight="1">
      <c r="A346" s="272"/>
      <c r="B346" s="284" t="s">
        <v>520</v>
      </c>
      <c r="C346" s="285" t="s">
        <v>641</v>
      </c>
      <c r="D346" s="285" t="s">
        <v>642</v>
      </c>
      <c r="E346" s="284" t="s">
        <v>643</v>
      </c>
      <c r="F346" s="284" t="s">
        <v>527</v>
      </c>
      <c r="G346" s="220"/>
      <c r="H346" s="220"/>
      <c r="I346" s="220"/>
      <c r="J346" s="220"/>
      <c r="K346" s="220"/>
      <c r="L346" s="220"/>
      <c r="M346" s="220"/>
      <c r="N346" s="220"/>
      <c r="O346" s="220"/>
      <c r="P346" s="220"/>
      <c r="Q346" s="220"/>
      <c r="R346" s="220"/>
      <c r="S346" s="220"/>
      <c r="T346" s="220"/>
      <c r="U346" s="220"/>
      <c r="V346" s="220"/>
      <c r="W346" s="220"/>
      <c r="X346" s="220"/>
      <c r="Y346" s="220"/>
      <c r="Z346" s="220"/>
      <c r="AA346" s="220"/>
      <c r="AB346" s="220"/>
      <c r="AC346" s="220"/>
      <c r="AD346" s="220"/>
      <c r="AE346" s="220"/>
      <c r="AF346" s="220"/>
      <c r="AG346" s="220"/>
      <c r="AH346" s="220"/>
      <c r="AI346" s="220"/>
      <c r="AJ346" s="220"/>
      <c r="AK346" s="220"/>
      <c r="AL346" s="220"/>
      <c r="AM346" s="220"/>
      <c r="AN346" s="220"/>
      <c r="AO346" s="220"/>
      <c r="AP346" s="220"/>
      <c r="AQ346" s="220"/>
      <c r="AR346" s="220"/>
      <c r="AS346" s="220"/>
      <c r="AT346" s="220"/>
      <c r="AU346" s="220"/>
      <c r="AV346" s="220"/>
      <c r="AW346" s="220"/>
      <c r="AX346" s="220"/>
      <c r="AY346" s="220"/>
      <c r="AZ346" s="220"/>
    </row>
    <row r="347" ht="15.75" customHeight="1">
      <c r="A347" s="272"/>
      <c r="B347" s="236" t="s">
        <v>598</v>
      </c>
      <c r="C347" s="189">
        <f t="shared" ref="C347:C358" si="58">E240+G240</f>
        <v>0</v>
      </c>
      <c r="D347" s="180">
        <f t="shared" ref="D347:D358" si="59">ROUNDDOWN(C347*$C$265,0)</f>
        <v>0</v>
      </c>
      <c r="E347" s="180">
        <f t="shared" ref="E347:E358" si="60">$C$264*D347</f>
        <v>0</v>
      </c>
      <c r="F347" s="286">
        <f>E347*$H$262*(1+2%)^24</f>
        <v>0</v>
      </c>
      <c r="G347" s="220"/>
      <c r="H347" s="220"/>
      <c r="I347" s="220"/>
      <c r="J347" s="220"/>
      <c r="K347" s="220"/>
      <c r="L347" s="220"/>
      <c r="M347" s="220"/>
      <c r="N347" s="220"/>
      <c r="O347" s="220"/>
      <c r="P347" s="220"/>
      <c r="Q347" s="220"/>
      <c r="R347" s="220"/>
      <c r="S347" s="220"/>
      <c r="T347" s="220"/>
      <c r="U347" s="220"/>
      <c r="V347" s="220"/>
      <c r="W347" s="220"/>
      <c r="X347" s="220"/>
      <c r="Y347" s="220"/>
      <c r="Z347" s="220"/>
      <c r="AA347" s="220"/>
      <c r="AB347" s="220"/>
      <c r="AC347" s="220"/>
      <c r="AD347" s="220"/>
      <c r="AE347" s="220"/>
      <c r="AF347" s="220"/>
      <c r="AG347" s="220"/>
      <c r="AH347" s="220"/>
      <c r="AI347" s="220"/>
      <c r="AJ347" s="220"/>
      <c r="AK347" s="220"/>
      <c r="AL347" s="220"/>
      <c r="AM347" s="220"/>
      <c r="AN347" s="220"/>
      <c r="AO347" s="220"/>
      <c r="AP347" s="220"/>
      <c r="AQ347" s="220"/>
      <c r="AR347" s="220"/>
      <c r="AS347" s="220"/>
      <c r="AT347" s="220"/>
      <c r="AU347" s="220"/>
      <c r="AV347" s="220"/>
      <c r="AW347" s="220"/>
      <c r="AX347" s="220"/>
      <c r="AY347" s="220"/>
      <c r="AZ347" s="220"/>
    </row>
    <row r="348" ht="15.75" customHeight="1">
      <c r="A348" s="272"/>
      <c r="B348" s="236" t="s">
        <v>599</v>
      </c>
      <c r="C348" s="189">
        <f t="shared" si="58"/>
        <v>0</v>
      </c>
      <c r="D348" s="180">
        <f t="shared" si="59"/>
        <v>0</v>
      </c>
      <c r="E348" s="180">
        <f t="shared" si="60"/>
        <v>0</v>
      </c>
      <c r="F348" s="286">
        <f>E348*$H$262*(1+2%)^25</f>
        <v>0</v>
      </c>
      <c r="G348" s="220"/>
      <c r="H348" s="220"/>
      <c r="I348" s="220"/>
      <c r="J348" s="220"/>
      <c r="K348" s="220"/>
      <c r="L348" s="220"/>
      <c r="M348" s="220"/>
      <c r="N348" s="220"/>
      <c r="O348" s="220"/>
      <c r="P348" s="220"/>
      <c r="Q348" s="220"/>
      <c r="R348" s="220"/>
      <c r="S348" s="220"/>
      <c r="T348" s="220"/>
      <c r="U348" s="220"/>
      <c r="V348" s="220"/>
      <c r="W348" s="220"/>
      <c r="X348" s="220"/>
      <c r="Y348" s="220"/>
      <c r="Z348" s="220"/>
      <c r="AA348" s="220"/>
      <c r="AB348" s="220"/>
      <c r="AC348" s="220"/>
      <c r="AD348" s="220"/>
      <c r="AE348" s="220"/>
      <c r="AF348" s="220"/>
      <c r="AG348" s="220"/>
      <c r="AH348" s="220"/>
      <c r="AI348" s="220"/>
      <c r="AJ348" s="220"/>
      <c r="AK348" s="220"/>
      <c r="AL348" s="220"/>
      <c r="AM348" s="220"/>
      <c r="AN348" s="220"/>
      <c r="AO348" s="220"/>
      <c r="AP348" s="220"/>
      <c r="AQ348" s="220"/>
      <c r="AR348" s="220"/>
      <c r="AS348" s="220"/>
      <c r="AT348" s="220"/>
      <c r="AU348" s="220"/>
      <c r="AV348" s="220"/>
      <c r="AW348" s="220"/>
      <c r="AX348" s="220"/>
      <c r="AY348" s="220"/>
      <c r="AZ348" s="220"/>
    </row>
    <row r="349" ht="15.75" customHeight="1">
      <c r="A349" s="272"/>
      <c r="B349" s="236" t="s">
        <v>600</v>
      </c>
      <c r="C349" s="189">
        <f t="shared" si="58"/>
        <v>0</v>
      </c>
      <c r="D349" s="180">
        <f t="shared" si="59"/>
        <v>0</v>
      </c>
      <c r="E349" s="180">
        <f t="shared" si="60"/>
        <v>0</v>
      </c>
      <c r="F349" s="286">
        <f>E349*$H$262*(1+2%)^26</f>
        <v>0</v>
      </c>
      <c r="G349" s="220"/>
      <c r="H349" s="220"/>
      <c r="I349" s="220"/>
      <c r="J349" s="220"/>
      <c r="K349" s="220"/>
      <c r="L349" s="220"/>
      <c r="M349" s="220"/>
      <c r="N349" s="220"/>
      <c r="O349" s="220"/>
      <c r="P349" s="220"/>
      <c r="Q349" s="220"/>
      <c r="R349" s="220"/>
      <c r="S349" s="220"/>
      <c r="T349" s="220"/>
      <c r="U349" s="220"/>
      <c r="V349" s="220"/>
      <c r="W349" s="220"/>
      <c r="X349" s="220"/>
      <c r="Y349" s="220"/>
      <c r="Z349" s="220"/>
      <c r="AA349" s="220"/>
      <c r="AB349" s="220"/>
      <c r="AC349" s="220"/>
      <c r="AD349" s="220"/>
      <c r="AE349" s="220"/>
      <c r="AF349" s="220"/>
      <c r="AG349" s="220"/>
      <c r="AH349" s="220"/>
      <c r="AI349" s="220"/>
      <c r="AJ349" s="220"/>
      <c r="AK349" s="220"/>
      <c r="AL349" s="220"/>
      <c r="AM349" s="220"/>
      <c r="AN349" s="220"/>
      <c r="AO349" s="220"/>
      <c r="AP349" s="220"/>
      <c r="AQ349" s="220"/>
      <c r="AR349" s="220"/>
      <c r="AS349" s="220"/>
      <c r="AT349" s="220"/>
      <c r="AU349" s="220"/>
      <c r="AV349" s="220"/>
      <c r="AW349" s="220"/>
      <c r="AX349" s="220"/>
      <c r="AY349" s="220"/>
      <c r="AZ349" s="220"/>
    </row>
    <row r="350" ht="15.75" customHeight="1">
      <c r="A350" s="272"/>
      <c r="B350" s="236" t="s">
        <v>531</v>
      </c>
      <c r="C350" s="189">
        <f t="shared" si="58"/>
        <v>3</v>
      </c>
      <c r="D350" s="180">
        <f t="shared" si="59"/>
        <v>1</v>
      </c>
      <c r="E350" s="180">
        <f t="shared" si="60"/>
        <v>10</v>
      </c>
      <c r="F350" s="286">
        <f>E350*$H$262*(1+2%)^27</f>
        <v>2261005.326</v>
      </c>
      <c r="G350" s="220"/>
      <c r="H350" s="220"/>
      <c r="I350" s="220"/>
      <c r="J350" s="220"/>
      <c r="K350" s="220"/>
      <c r="L350" s="220"/>
      <c r="M350" s="220"/>
      <c r="N350" s="220"/>
      <c r="O350" s="220"/>
      <c r="P350" s="220"/>
      <c r="Q350" s="220"/>
      <c r="R350" s="220"/>
      <c r="S350" s="220"/>
      <c r="T350" s="220"/>
      <c r="U350" s="220"/>
      <c r="V350" s="220"/>
      <c r="W350" s="220"/>
      <c r="X350" s="220"/>
      <c r="Y350" s="220"/>
      <c r="Z350" s="220"/>
      <c r="AA350" s="220"/>
      <c r="AB350" s="220"/>
      <c r="AC350" s="220"/>
      <c r="AD350" s="220"/>
      <c r="AE350" s="220"/>
      <c r="AF350" s="220"/>
      <c r="AG350" s="220"/>
      <c r="AH350" s="220"/>
      <c r="AI350" s="220"/>
      <c r="AJ350" s="220"/>
      <c r="AK350" s="220"/>
      <c r="AL350" s="220"/>
      <c r="AM350" s="220"/>
      <c r="AN350" s="220"/>
      <c r="AO350" s="220"/>
      <c r="AP350" s="220"/>
      <c r="AQ350" s="220"/>
      <c r="AR350" s="220"/>
      <c r="AS350" s="220"/>
      <c r="AT350" s="220"/>
      <c r="AU350" s="220"/>
      <c r="AV350" s="220"/>
      <c r="AW350" s="220"/>
      <c r="AX350" s="220"/>
      <c r="AY350" s="220"/>
      <c r="AZ350" s="220"/>
    </row>
    <row r="351" ht="15.75" customHeight="1">
      <c r="A351" s="272"/>
      <c r="B351" s="236" t="s">
        <v>601</v>
      </c>
      <c r="C351" s="189">
        <f t="shared" si="58"/>
        <v>3</v>
      </c>
      <c r="D351" s="180">
        <f t="shared" si="59"/>
        <v>1</v>
      </c>
      <c r="E351" s="180">
        <f t="shared" si="60"/>
        <v>10</v>
      </c>
      <c r="F351" s="286">
        <f>E351*$H$262*(1+2%)^28</f>
        <v>2306225.433</v>
      </c>
      <c r="G351" s="220"/>
      <c r="H351" s="220"/>
      <c r="I351" s="220"/>
      <c r="J351" s="220"/>
      <c r="K351" s="220"/>
      <c r="L351" s="220"/>
      <c r="M351" s="220"/>
      <c r="N351" s="220"/>
      <c r="O351" s="220"/>
      <c r="P351" s="220"/>
      <c r="Q351" s="220"/>
      <c r="R351" s="220"/>
      <c r="S351" s="220"/>
      <c r="T351" s="220"/>
      <c r="U351" s="220"/>
      <c r="V351" s="220"/>
      <c r="W351" s="220"/>
      <c r="X351" s="220"/>
      <c r="Y351" s="220"/>
      <c r="Z351" s="220"/>
      <c r="AA351" s="220"/>
      <c r="AB351" s="220"/>
      <c r="AC351" s="220"/>
      <c r="AD351" s="220"/>
      <c r="AE351" s="220"/>
      <c r="AF351" s="220"/>
      <c r="AG351" s="220"/>
      <c r="AH351" s="220"/>
      <c r="AI351" s="220"/>
      <c r="AJ351" s="220"/>
      <c r="AK351" s="220"/>
      <c r="AL351" s="220"/>
      <c r="AM351" s="220"/>
      <c r="AN351" s="220"/>
      <c r="AO351" s="220"/>
      <c r="AP351" s="220"/>
      <c r="AQ351" s="220"/>
      <c r="AR351" s="220"/>
      <c r="AS351" s="220"/>
      <c r="AT351" s="220"/>
      <c r="AU351" s="220"/>
      <c r="AV351" s="220"/>
      <c r="AW351" s="220"/>
      <c r="AX351" s="220"/>
      <c r="AY351" s="220"/>
      <c r="AZ351" s="220"/>
    </row>
    <row r="352" ht="15.75" customHeight="1">
      <c r="A352" s="272"/>
      <c r="B352" s="236" t="s">
        <v>602</v>
      </c>
      <c r="C352" s="189">
        <f t="shared" si="58"/>
        <v>3</v>
      </c>
      <c r="D352" s="180">
        <f t="shared" si="59"/>
        <v>1</v>
      </c>
      <c r="E352" s="180">
        <f t="shared" si="60"/>
        <v>10</v>
      </c>
      <c r="F352" s="286">
        <f>E352*$H$262*(1+2%)^29</f>
        <v>2352349.941</v>
      </c>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c r="AQ352" s="220"/>
      <c r="AR352" s="220"/>
      <c r="AS352" s="220"/>
      <c r="AT352" s="220"/>
      <c r="AU352" s="220"/>
      <c r="AV352" s="220"/>
      <c r="AW352" s="220"/>
      <c r="AX352" s="220"/>
      <c r="AY352" s="220"/>
      <c r="AZ352" s="220"/>
    </row>
    <row r="353" ht="15.75" customHeight="1">
      <c r="A353" s="272"/>
      <c r="B353" s="236" t="s">
        <v>603</v>
      </c>
      <c r="C353" s="189">
        <f t="shared" si="58"/>
        <v>0</v>
      </c>
      <c r="D353" s="180">
        <f t="shared" si="59"/>
        <v>0</v>
      </c>
      <c r="E353" s="180">
        <f t="shared" si="60"/>
        <v>0</v>
      </c>
      <c r="F353" s="286">
        <f>E353*$H$262*(1+2%)^30</f>
        <v>0</v>
      </c>
      <c r="G353" s="220"/>
      <c r="H353" s="220"/>
      <c r="I353" s="220"/>
      <c r="J353" s="220"/>
      <c r="K353" s="220"/>
      <c r="L353" s="220"/>
      <c r="M353" s="220"/>
      <c r="N353" s="220"/>
      <c r="O353" s="220"/>
      <c r="P353" s="220"/>
      <c r="Q353" s="220"/>
      <c r="R353" s="220"/>
      <c r="S353" s="220"/>
      <c r="T353" s="220"/>
      <c r="U353" s="220"/>
      <c r="V353" s="220"/>
      <c r="W353" s="220"/>
      <c r="X353" s="220"/>
      <c r="Y353" s="220"/>
      <c r="Z353" s="220"/>
      <c r="AA353" s="220"/>
      <c r="AB353" s="220"/>
      <c r="AC353" s="220"/>
      <c r="AD353" s="220"/>
      <c r="AE353" s="220"/>
      <c r="AF353" s="220"/>
      <c r="AG353" s="220"/>
      <c r="AH353" s="220"/>
      <c r="AI353" s="220"/>
      <c r="AJ353" s="220"/>
      <c r="AK353" s="220"/>
      <c r="AL353" s="220"/>
      <c r="AM353" s="220"/>
      <c r="AN353" s="220"/>
      <c r="AO353" s="220"/>
      <c r="AP353" s="220"/>
      <c r="AQ353" s="220"/>
      <c r="AR353" s="220"/>
      <c r="AS353" s="220"/>
      <c r="AT353" s="220"/>
      <c r="AU353" s="220"/>
      <c r="AV353" s="220"/>
      <c r="AW353" s="220"/>
      <c r="AX353" s="220"/>
      <c r="AY353" s="220"/>
      <c r="AZ353" s="220"/>
    </row>
    <row r="354" ht="15.75" customHeight="1">
      <c r="A354" s="272"/>
      <c r="B354" s="236" t="s">
        <v>604</v>
      </c>
      <c r="C354" s="189">
        <f t="shared" si="58"/>
        <v>4</v>
      </c>
      <c r="D354" s="180">
        <f t="shared" si="59"/>
        <v>2</v>
      </c>
      <c r="E354" s="180">
        <f t="shared" si="60"/>
        <v>20</v>
      </c>
      <c r="F354" s="286">
        <f>E354*$H$262*(1+2%)^31</f>
        <v>4894769.758</v>
      </c>
      <c r="G354" s="220"/>
      <c r="H354" s="220"/>
      <c r="I354" s="220"/>
      <c r="J354" s="220"/>
      <c r="K354" s="220"/>
      <c r="L354" s="220"/>
      <c r="M354" s="220"/>
      <c r="N354" s="220"/>
      <c r="O354" s="220"/>
      <c r="P354" s="220"/>
      <c r="Q354" s="220"/>
      <c r="R354" s="220"/>
      <c r="S354" s="220"/>
      <c r="T354" s="220"/>
      <c r="U354" s="220"/>
      <c r="V354" s="220"/>
      <c r="W354" s="220"/>
      <c r="X354" s="220"/>
      <c r="Y354" s="220"/>
      <c r="Z354" s="220"/>
      <c r="AA354" s="220"/>
      <c r="AB354" s="220"/>
      <c r="AC354" s="220"/>
      <c r="AD354" s="220"/>
      <c r="AE354" s="220"/>
      <c r="AF354" s="220"/>
      <c r="AG354" s="220"/>
      <c r="AH354" s="220"/>
      <c r="AI354" s="220"/>
      <c r="AJ354" s="220"/>
      <c r="AK354" s="220"/>
      <c r="AL354" s="220"/>
      <c r="AM354" s="220"/>
      <c r="AN354" s="220"/>
      <c r="AO354" s="220"/>
      <c r="AP354" s="220"/>
      <c r="AQ354" s="220"/>
      <c r="AR354" s="220"/>
      <c r="AS354" s="220"/>
      <c r="AT354" s="220"/>
      <c r="AU354" s="220"/>
      <c r="AV354" s="220"/>
      <c r="AW354" s="220"/>
      <c r="AX354" s="220"/>
      <c r="AY354" s="220"/>
      <c r="AZ354" s="220"/>
    </row>
    <row r="355" ht="15.75" customHeight="1">
      <c r="A355" s="272"/>
      <c r="B355" s="236" t="s">
        <v>605</v>
      </c>
      <c r="C355" s="189">
        <f t="shared" si="58"/>
        <v>7</v>
      </c>
      <c r="D355" s="180">
        <f t="shared" si="59"/>
        <v>3</v>
      </c>
      <c r="E355" s="180">
        <f t="shared" si="60"/>
        <v>30</v>
      </c>
      <c r="F355" s="286">
        <f>E355*$H$262*(1+2%)^32</f>
        <v>7488997.729</v>
      </c>
      <c r="G355" s="220"/>
      <c r="H355" s="220"/>
      <c r="I355" s="220"/>
      <c r="J355" s="220"/>
      <c r="K355" s="220"/>
      <c r="L355" s="220"/>
      <c r="M355" s="220"/>
      <c r="N355" s="220"/>
      <c r="O355" s="220"/>
      <c r="P355" s="220"/>
      <c r="Q355" s="220"/>
      <c r="R355" s="220"/>
      <c r="S355" s="220"/>
      <c r="T355" s="220"/>
      <c r="U355" s="220"/>
      <c r="V355" s="220"/>
      <c r="W355" s="220"/>
      <c r="X355" s="220"/>
      <c r="Y355" s="220"/>
      <c r="Z355" s="220"/>
      <c r="AA355" s="220"/>
      <c r="AB355" s="220"/>
      <c r="AC355" s="220"/>
      <c r="AD355" s="220"/>
      <c r="AE355" s="220"/>
      <c r="AF355" s="220"/>
      <c r="AG355" s="220"/>
      <c r="AH355" s="220"/>
      <c r="AI355" s="220"/>
      <c r="AJ355" s="220"/>
      <c r="AK355" s="220"/>
      <c r="AL355" s="220"/>
      <c r="AM355" s="220"/>
      <c r="AN355" s="220"/>
      <c r="AO355" s="220"/>
      <c r="AP355" s="220"/>
      <c r="AQ355" s="220"/>
      <c r="AR355" s="220"/>
      <c r="AS355" s="220"/>
      <c r="AT355" s="220"/>
      <c r="AU355" s="220"/>
      <c r="AV355" s="220"/>
      <c r="AW355" s="220"/>
      <c r="AX355" s="220"/>
      <c r="AY355" s="220"/>
      <c r="AZ355" s="220"/>
    </row>
    <row r="356" ht="15.75" customHeight="1">
      <c r="A356" s="272"/>
      <c r="B356" s="236" t="s">
        <v>606</v>
      </c>
      <c r="C356" s="189">
        <f t="shared" si="58"/>
        <v>7</v>
      </c>
      <c r="D356" s="180">
        <f t="shared" si="59"/>
        <v>3</v>
      </c>
      <c r="E356" s="180">
        <f t="shared" si="60"/>
        <v>30</v>
      </c>
      <c r="F356" s="286">
        <f t="shared" ref="F356:F357" si="61">E356*$H$262*(1+2%)^33</f>
        <v>7638777.684</v>
      </c>
      <c r="G356" s="220"/>
      <c r="H356" s="220"/>
      <c r="I356" s="220"/>
      <c r="J356" s="220"/>
      <c r="K356" s="220"/>
      <c r="L356" s="220"/>
      <c r="M356" s="220"/>
      <c r="N356" s="220"/>
      <c r="O356" s="220"/>
      <c r="P356" s="220"/>
      <c r="Q356" s="220"/>
      <c r="R356" s="220"/>
      <c r="S356" s="220"/>
      <c r="T356" s="220"/>
      <c r="U356" s="220"/>
      <c r="V356" s="220"/>
      <c r="W356" s="220"/>
      <c r="X356" s="220"/>
      <c r="Y356" s="220"/>
      <c r="Z356" s="220"/>
      <c r="AA356" s="220"/>
      <c r="AB356" s="220"/>
      <c r="AC356" s="220"/>
      <c r="AD356" s="220"/>
      <c r="AE356" s="220"/>
      <c r="AF356" s="220"/>
      <c r="AG356" s="220"/>
      <c r="AH356" s="220"/>
      <c r="AI356" s="220"/>
      <c r="AJ356" s="220"/>
      <c r="AK356" s="220"/>
      <c r="AL356" s="220"/>
      <c r="AM356" s="220"/>
      <c r="AN356" s="220"/>
      <c r="AO356" s="220"/>
      <c r="AP356" s="220"/>
      <c r="AQ356" s="220"/>
      <c r="AR356" s="220"/>
      <c r="AS356" s="220"/>
      <c r="AT356" s="220"/>
      <c r="AU356" s="220"/>
      <c r="AV356" s="220"/>
      <c r="AW356" s="220"/>
      <c r="AX356" s="220"/>
      <c r="AY356" s="220"/>
      <c r="AZ356" s="220"/>
    </row>
    <row r="357" ht="15.75" customHeight="1">
      <c r="A357" s="272"/>
      <c r="B357" s="236" t="s">
        <v>607</v>
      </c>
      <c r="C357" s="189">
        <f t="shared" si="58"/>
        <v>7</v>
      </c>
      <c r="D357" s="180">
        <f t="shared" si="59"/>
        <v>3</v>
      </c>
      <c r="E357" s="180">
        <f t="shared" si="60"/>
        <v>30</v>
      </c>
      <c r="F357" s="286">
        <f t="shared" si="61"/>
        <v>7638777.684</v>
      </c>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0"/>
      <c r="AC357" s="220"/>
      <c r="AD357" s="220"/>
      <c r="AE357" s="220"/>
      <c r="AF357" s="220"/>
      <c r="AG357" s="220"/>
      <c r="AH357" s="220"/>
      <c r="AI357" s="220"/>
      <c r="AJ357" s="220"/>
      <c r="AK357" s="220"/>
      <c r="AL357" s="220"/>
      <c r="AM357" s="220"/>
      <c r="AN357" s="220"/>
      <c r="AO357" s="220"/>
      <c r="AP357" s="220"/>
      <c r="AQ357" s="220"/>
      <c r="AR357" s="220"/>
      <c r="AS357" s="220"/>
      <c r="AT357" s="220"/>
      <c r="AU357" s="220"/>
      <c r="AV357" s="220"/>
      <c r="AW357" s="220"/>
      <c r="AX357" s="220"/>
      <c r="AY357" s="220"/>
      <c r="AZ357" s="220"/>
    </row>
    <row r="358" ht="15.75" customHeight="1">
      <c r="A358" s="272"/>
      <c r="B358" s="236" t="s">
        <v>608</v>
      </c>
      <c r="C358" s="189">
        <f t="shared" si="58"/>
        <v>7</v>
      </c>
      <c r="D358" s="180">
        <f t="shared" si="59"/>
        <v>3</v>
      </c>
      <c r="E358" s="180">
        <f t="shared" si="60"/>
        <v>30</v>
      </c>
      <c r="F358" s="286">
        <f>E358*$H$262*(1+2%)^35</f>
        <v>7947384.302</v>
      </c>
      <c r="G358" s="220"/>
      <c r="H358" s="220"/>
      <c r="I358" s="220"/>
      <c r="J358" s="220"/>
      <c r="K358" s="220"/>
      <c r="L358" s="220"/>
      <c r="M358" s="220"/>
      <c r="N358" s="220"/>
      <c r="O358" s="220"/>
      <c r="P358" s="220"/>
      <c r="Q358" s="220"/>
      <c r="R358" s="220"/>
      <c r="S358" s="220"/>
      <c r="T358" s="220"/>
      <c r="U358" s="220"/>
      <c r="V358" s="220"/>
      <c r="W358" s="220"/>
      <c r="X358" s="220"/>
      <c r="Y358" s="220"/>
      <c r="Z358" s="220"/>
      <c r="AA358" s="220"/>
      <c r="AB358" s="220"/>
      <c r="AC358" s="220"/>
      <c r="AD358" s="220"/>
      <c r="AE358" s="220"/>
      <c r="AF358" s="220"/>
      <c r="AG358" s="220"/>
      <c r="AH358" s="220"/>
      <c r="AI358" s="220"/>
      <c r="AJ358" s="220"/>
      <c r="AK358" s="220"/>
      <c r="AL358" s="220"/>
      <c r="AM358" s="220"/>
      <c r="AN358" s="220"/>
      <c r="AO358" s="220"/>
      <c r="AP358" s="220"/>
      <c r="AQ358" s="220"/>
      <c r="AR358" s="220"/>
      <c r="AS358" s="220"/>
      <c r="AT358" s="220"/>
      <c r="AU358" s="220"/>
      <c r="AV358" s="220"/>
      <c r="AW358" s="220"/>
      <c r="AX358" s="220"/>
      <c r="AY358" s="220"/>
      <c r="AZ358" s="220"/>
    </row>
    <row r="359" ht="15.75" customHeight="1">
      <c r="A359" s="272"/>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c r="AA359" s="220"/>
      <c r="AB359" s="220"/>
      <c r="AC359" s="220"/>
      <c r="AD359" s="220"/>
      <c r="AE359" s="220"/>
      <c r="AF359" s="220"/>
      <c r="AG359" s="220"/>
      <c r="AH359" s="220"/>
      <c r="AI359" s="220"/>
      <c r="AJ359" s="220"/>
      <c r="AK359" s="220"/>
      <c r="AL359" s="220"/>
      <c r="AM359" s="220"/>
      <c r="AN359" s="220"/>
      <c r="AO359" s="220"/>
      <c r="AP359" s="220"/>
      <c r="AQ359" s="220"/>
      <c r="AR359" s="220"/>
      <c r="AS359" s="220"/>
      <c r="AT359" s="220"/>
      <c r="AU359" s="220"/>
      <c r="AV359" s="220"/>
      <c r="AW359" s="220"/>
      <c r="AX359" s="220"/>
      <c r="AY359" s="220"/>
      <c r="AZ359" s="220"/>
    </row>
    <row r="360" ht="15.75" customHeight="1">
      <c r="A360" s="272"/>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c r="AA360" s="220"/>
      <c r="AB360" s="220"/>
      <c r="AC360" s="220"/>
      <c r="AD360" s="220"/>
      <c r="AE360" s="220"/>
      <c r="AF360" s="220"/>
      <c r="AG360" s="220"/>
      <c r="AH360" s="220"/>
      <c r="AI360" s="220"/>
      <c r="AJ360" s="220"/>
      <c r="AK360" s="220"/>
      <c r="AL360" s="220"/>
      <c r="AM360" s="220"/>
      <c r="AN360" s="220"/>
      <c r="AO360" s="220"/>
      <c r="AP360" s="220"/>
      <c r="AQ360" s="220"/>
      <c r="AR360" s="220"/>
      <c r="AS360" s="220"/>
      <c r="AT360" s="220"/>
      <c r="AU360" s="220"/>
      <c r="AV360" s="220"/>
      <c r="AW360" s="220"/>
      <c r="AX360" s="220"/>
      <c r="AY360" s="220"/>
      <c r="AZ360" s="220"/>
    </row>
    <row r="361" ht="15.75" customHeight="1">
      <c r="A361" s="272"/>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c r="AA361" s="220"/>
      <c r="AB361" s="220"/>
      <c r="AC361" s="220"/>
      <c r="AD361" s="220"/>
      <c r="AE361" s="220"/>
      <c r="AF361" s="220"/>
      <c r="AG361" s="220"/>
      <c r="AH361" s="220"/>
      <c r="AI361" s="220"/>
      <c r="AJ361" s="220"/>
      <c r="AK361" s="220"/>
      <c r="AL361" s="220"/>
      <c r="AM361" s="220"/>
      <c r="AN361" s="220"/>
      <c r="AO361" s="220"/>
      <c r="AP361" s="220"/>
      <c r="AQ361" s="220"/>
      <c r="AR361" s="220"/>
      <c r="AS361" s="220"/>
      <c r="AT361" s="220"/>
      <c r="AU361" s="220"/>
      <c r="AV361" s="220"/>
      <c r="AW361" s="220"/>
      <c r="AX361" s="220"/>
      <c r="AY361" s="220"/>
      <c r="AZ361" s="220"/>
    </row>
    <row r="362" ht="15.75" customHeight="1">
      <c r="A362" s="272"/>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c r="AA362" s="220"/>
      <c r="AB362" s="220"/>
      <c r="AC362" s="220"/>
      <c r="AD362" s="220"/>
      <c r="AE362" s="220"/>
      <c r="AF362" s="220"/>
      <c r="AG362" s="220"/>
      <c r="AH362" s="220"/>
      <c r="AI362" s="220"/>
      <c r="AJ362" s="220"/>
      <c r="AK362" s="220"/>
      <c r="AL362" s="220"/>
      <c r="AM362" s="220"/>
      <c r="AN362" s="220"/>
      <c r="AO362" s="220"/>
      <c r="AP362" s="220"/>
      <c r="AQ362" s="220"/>
      <c r="AR362" s="220"/>
      <c r="AS362" s="220"/>
      <c r="AT362" s="220"/>
      <c r="AU362" s="220"/>
      <c r="AV362" s="220"/>
      <c r="AW362" s="220"/>
      <c r="AX362" s="220"/>
      <c r="AY362" s="220"/>
      <c r="AZ362" s="220"/>
    </row>
    <row r="363" ht="15.75" customHeight="1">
      <c r="A363" s="272"/>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c r="AA363" s="220"/>
      <c r="AB363" s="220"/>
      <c r="AC363" s="220"/>
      <c r="AD363" s="220"/>
      <c r="AE363" s="220"/>
      <c r="AF363" s="220"/>
      <c r="AG363" s="220"/>
      <c r="AH363" s="220"/>
      <c r="AI363" s="220"/>
      <c r="AJ363" s="220"/>
      <c r="AK363" s="220"/>
      <c r="AL363" s="220"/>
      <c r="AM363" s="220"/>
      <c r="AN363" s="220"/>
      <c r="AO363" s="220"/>
      <c r="AP363" s="220"/>
      <c r="AQ363" s="220"/>
      <c r="AR363" s="220"/>
      <c r="AS363" s="220"/>
      <c r="AT363" s="220"/>
      <c r="AU363" s="220"/>
      <c r="AV363" s="220"/>
      <c r="AW363" s="220"/>
      <c r="AX363" s="220"/>
      <c r="AY363" s="220"/>
      <c r="AZ363" s="220"/>
    </row>
    <row r="364" ht="15.75" customHeight="1">
      <c r="A364" s="272"/>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c r="AB364" s="220"/>
      <c r="AC364" s="220"/>
      <c r="AD364" s="220"/>
      <c r="AE364" s="220"/>
      <c r="AF364" s="220"/>
      <c r="AG364" s="220"/>
      <c r="AH364" s="220"/>
      <c r="AI364" s="220"/>
      <c r="AJ364" s="220"/>
      <c r="AK364" s="220"/>
      <c r="AL364" s="220"/>
      <c r="AM364" s="220"/>
      <c r="AN364" s="220"/>
      <c r="AO364" s="220"/>
      <c r="AP364" s="220"/>
      <c r="AQ364" s="220"/>
      <c r="AR364" s="220"/>
      <c r="AS364" s="220"/>
      <c r="AT364" s="220"/>
      <c r="AU364" s="220"/>
      <c r="AV364" s="220"/>
      <c r="AW364" s="220"/>
      <c r="AX364" s="220"/>
      <c r="AY364" s="220"/>
      <c r="AZ364" s="220"/>
    </row>
    <row r="365" ht="15.75" customHeight="1">
      <c r="A365" s="272"/>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c r="AA365" s="220"/>
      <c r="AB365" s="220"/>
      <c r="AC365" s="220"/>
      <c r="AD365" s="220"/>
      <c r="AE365" s="220"/>
      <c r="AF365" s="220"/>
      <c r="AG365" s="220"/>
      <c r="AH365" s="220"/>
      <c r="AI365" s="220"/>
      <c r="AJ365" s="220"/>
      <c r="AK365" s="220"/>
      <c r="AL365" s="220"/>
      <c r="AM365" s="220"/>
      <c r="AN365" s="220"/>
      <c r="AO365" s="220"/>
      <c r="AP365" s="220"/>
      <c r="AQ365" s="220"/>
      <c r="AR365" s="220"/>
      <c r="AS365" s="220"/>
      <c r="AT365" s="220"/>
      <c r="AU365" s="220"/>
      <c r="AV365" s="220"/>
      <c r="AW365" s="220"/>
      <c r="AX365" s="220"/>
      <c r="AY365" s="220"/>
      <c r="AZ365" s="220"/>
    </row>
    <row r="366" ht="15.75" customHeight="1">
      <c r="A366" s="272"/>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20"/>
      <c r="AI366" s="220"/>
      <c r="AJ366" s="220"/>
      <c r="AK366" s="220"/>
      <c r="AL366" s="220"/>
      <c r="AM366" s="220"/>
      <c r="AN366" s="220"/>
      <c r="AO366" s="220"/>
      <c r="AP366" s="220"/>
      <c r="AQ366" s="220"/>
      <c r="AR366" s="220"/>
      <c r="AS366" s="220"/>
      <c r="AT366" s="220"/>
      <c r="AU366" s="220"/>
      <c r="AV366" s="220"/>
      <c r="AW366" s="220"/>
      <c r="AX366" s="220"/>
      <c r="AY366" s="220"/>
      <c r="AZ366" s="220"/>
    </row>
    <row r="367" ht="15.75" customHeight="1">
      <c r="A367" s="272"/>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c r="AQ367" s="220"/>
      <c r="AR367" s="220"/>
      <c r="AS367" s="220"/>
      <c r="AT367" s="220"/>
      <c r="AU367" s="220"/>
      <c r="AV367" s="220"/>
      <c r="AW367" s="220"/>
      <c r="AX367" s="220"/>
      <c r="AY367" s="220"/>
      <c r="AZ367" s="220"/>
    </row>
    <row r="368" ht="15.75" customHeight="1">
      <c r="A368" s="272"/>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c r="AA368" s="220"/>
      <c r="AB368" s="220"/>
      <c r="AC368" s="220"/>
      <c r="AD368" s="220"/>
      <c r="AE368" s="220"/>
      <c r="AF368" s="220"/>
      <c r="AG368" s="220"/>
      <c r="AH368" s="220"/>
      <c r="AI368" s="220"/>
      <c r="AJ368" s="220"/>
      <c r="AK368" s="220"/>
      <c r="AL368" s="220"/>
      <c r="AM368" s="220"/>
      <c r="AN368" s="220"/>
      <c r="AO368" s="220"/>
      <c r="AP368" s="220"/>
      <c r="AQ368" s="220"/>
      <c r="AR368" s="220"/>
      <c r="AS368" s="220"/>
      <c r="AT368" s="220"/>
      <c r="AU368" s="220"/>
      <c r="AV368" s="220"/>
      <c r="AW368" s="220"/>
      <c r="AX368" s="220"/>
      <c r="AY368" s="220"/>
      <c r="AZ368" s="220"/>
    </row>
    <row r="369" ht="15.75" customHeight="1">
      <c r="A369" s="272"/>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c r="AA369" s="220"/>
      <c r="AB369" s="220"/>
      <c r="AC369" s="220"/>
      <c r="AD369" s="220"/>
      <c r="AE369" s="220"/>
      <c r="AF369" s="220"/>
      <c r="AG369" s="220"/>
      <c r="AH369" s="220"/>
      <c r="AI369" s="220"/>
      <c r="AJ369" s="220"/>
      <c r="AK369" s="220"/>
      <c r="AL369" s="220"/>
      <c r="AM369" s="220"/>
      <c r="AN369" s="220"/>
      <c r="AO369" s="220"/>
      <c r="AP369" s="220"/>
      <c r="AQ369" s="220"/>
      <c r="AR369" s="220"/>
      <c r="AS369" s="220"/>
      <c r="AT369" s="220"/>
      <c r="AU369" s="220"/>
      <c r="AV369" s="220"/>
      <c r="AW369" s="220"/>
      <c r="AX369" s="220"/>
      <c r="AY369" s="220"/>
      <c r="AZ369" s="220"/>
    </row>
    <row r="370" ht="15.75" customHeight="1">
      <c r="A370" s="272"/>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c r="AA370" s="220"/>
      <c r="AB370" s="220"/>
      <c r="AC370" s="220"/>
      <c r="AD370" s="220"/>
      <c r="AE370" s="220"/>
      <c r="AF370" s="220"/>
      <c r="AG370" s="220"/>
      <c r="AH370" s="220"/>
      <c r="AI370" s="220"/>
      <c r="AJ370" s="220"/>
      <c r="AK370" s="220"/>
      <c r="AL370" s="220"/>
      <c r="AM370" s="220"/>
      <c r="AN370" s="220"/>
      <c r="AO370" s="220"/>
      <c r="AP370" s="220"/>
      <c r="AQ370" s="220"/>
      <c r="AR370" s="220"/>
      <c r="AS370" s="220"/>
      <c r="AT370" s="220"/>
      <c r="AU370" s="220"/>
      <c r="AV370" s="220"/>
      <c r="AW370" s="220"/>
      <c r="AX370" s="220"/>
      <c r="AY370" s="220"/>
      <c r="AZ370" s="220"/>
    </row>
    <row r="371" ht="15.75" customHeight="1">
      <c r="A371" s="272"/>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c r="AA371" s="220"/>
      <c r="AB371" s="220"/>
      <c r="AC371" s="220"/>
      <c r="AD371" s="220"/>
      <c r="AE371" s="220"/>
      <c r="AF371" s="220"/>
      <c r="AG371" s="220"/>
      <c r="AH371" s="220"/>
      <c r="AI371" s="220"/>
      <c r="AJ371" s="220"/>
      <c r="AK371" s="220"/>
      <c r="AL371" s="220"/>
      <c r="AM371" s="220"/>
      <c r="AN371" s="220"/>
      <c r="AO371" s="220"/>
      <c r="AP371" s="220"/>
      <c r="AQ371" s="220"/>
      <c r="AR371" s="220"/>
      <c r="AS371" s="220"/>
      <c r="AT371" s="220"/>
      <c r="AU371" s="220"/>
      <c r="AV371" s="220"/>
      <c r="AW371" s="220"/>
      <c r="AX371" s="220"/>
      <c r="AY371" s="220"/>
      <c r="AZ371" s="220"/>
    </row>
    <row r="372" ht="15.75" customHeight="1">
      <c r="A372" s="272"/>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c r="AB372" s="220"/>
      <c r="AC372" s="220"/>
      <c r="AD372" s="220"/>
      <c r="AE372" s="220"/>
      <c r="AF372" s="220"/>
      <c r="AG372" s="220"/>
      <c r="AH372" s="220"/>
      <c r="AI372" s="220"/>
      <c r="AJ372" s="220"/>
      <c r="AK372" s="220"/>
      <c r="AL372" s="220"/>
      <c r="AM372" s="220"/>
      <c r="AN372" s="220"/>
      <c r="AO372" s="220"/>
      <c r="AP372" s="220"/>
      <c r="AQ372" s="220"/>
      <c r="AR372" s="220"/>
      <c r="AS372" s="220"/>
      <c r="AT372" s="220"/>
      <c r="AU372" s="220"/>
      <c r="AV372" s="220"/>
      <c r="AW372" s="220"/>
      <c r="AX372" s="220"/>
      <c r="AY372" s="220"/>
      <c r="AZ372" s="220"/>
    </row>
    <row r="373" ht="15.75" customHeight="1">
      <c r="A373" s="272"/>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c r="AB373" s="220"/>
      <c r="AC373" s="220"/>
      <c r="AD373" s="220"/>
      <c r="AE373" s="220"/>
      <c r="AF373" s="220"/>
      <c r="AG373" s="220"/>
      <c r="AH373" s="220"/>
      <c r="AI373" s="220"/>
      <c r="AJ373" s="220"/>
      <c r="AK373" s="220"/>
      <c r="AL373" s="220"/>
      <c r="AM373" s="220"/>
      <c r="AN373" s="220"/>
      <c r="AO373" s="220"/>
      <c r="AP373" s="220"/>
      <c r="AQ373" s="220"/>
      <c r="AR373" s="220"/>
      <c r="AS373" s="220"/>
      <c r="AT373" s="220"/>
      <c r="AU373" s="220"/>
      <c r="AV373" s="220"/>
      <c r="AW373" s="220"/>
      <c r="AX373" s="220"/>
      <c r="AY373" s="220"/>
      <c r="AZ373" s="220"/>
    </row>
    <row r="374" ht="15.75" customHeight="1">
      <c r="A374" s="272"/>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c r="AA374" s="220"/>
      <c r="AB374" s="220"/>
      <c r="AC374" s="220"/>
      <c r="AD374" s="220"/>
      <c r="AE374" s="220"/>
      <c r="AF374" s="220"/>
      <c r="AG374" s="220"/>
      <c r="AH374" s="220"/>
      <c r="AI374" s="220"/>
      <c r="AJ374" s="220"/>
      <c r="AK374" s="220"/>
      <c r="AL374" s="220"/>
      <c r="AM374" s="220"/>
      <c r="AN374" s="220"/>
      <c r="AO374" s="220"/>
      <c r="AP374" s="220"/>
      <c r="AQ374" s="220"/>
      <c r="AR374" s="220"/>
      <c r="AS374" s="220"/>
      <c r="AT374" s="220"/>
      <c r="AU374" s="220"/>
      <c r="AV374" s="220"/>
      <c r="AW374" s="220"/>
      <c r="AX374" s="220"/>
      <c r="AY374" s="220"/>
      <c r="AZ374" s="220"/>
    </row>
    <row r="375" ht="15.75" customHeight="1">
      <c r="A375" s="272"/>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c r="AA375" s="220"/>
      <c r="AB375" s="220"/>
      <c r="AC375" s="220"/>
      <c r="AD375" s="220"/>
      <c r="AE375" s="220"/>
      <c r="AF375" s="220"/>
      <c r="AG375" s="220"/>
      <c r="AH375" s="220"/>
      <c r="AI375" s="220"/>
      <c r="AJ375" s="220"/>
      <c r="AK375" s="220"/>
      <c r="AL375" s="220"/>
      <c r="AM375" s="220"/>
      <c r="AN375" s="220"/>
      <c r="AO375" s="220"/>
      <c r="AP375" s="220"/>
      <c r="AQ375" s="220"/>
      <c r="AR375" s="220"/>
      <c r="AS375" s="220"/>
      <c r="AT375" s="220"/>
      <c r="AU375" s="220"/>
      <c r="AV375" s="220"/>
      <c r="AW375" s="220"/>
      <c r="AX375" s="220"/>
      <c r="AY375" s="220"/>
      <c r="AZ375" s="220"/>
    </row>
    <row r="376" ht="15.75" customHeight="1">
      <c r="A376" s="272"/>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c r="AA376" s="220"/>
      <c r="AB376" s="220"/>
      <c r="AC376" s="220"/>
      <c r="AD376" s="220"/>
      <c r="AE376" s="220"/>
      <c r="AF376" s="220"/>
      <c r="AG376" s="220"/>
      <c r="AH376" s="220"/>
      <c r="AI376" s="220"/>
      <c r="AJ376" s="220"/>
      <c r="AK376" s="220"/>
      <c r="AL376" s="220"/>
      <c r="AM376" s="220"/>
      <c r="AN376" s="220"/>
      <c r="AO376" s="220"/>
      <c r="AP376" s="220"/>
      <c r="AQ376" s="220"/>
      <c r="AR376" s="220"/>
      <c r="AS376" s="220"/>
      <c r="AT376" s="220"/>
      <c r="AU376" s="220"/>
      <c r="AV376" s="220"/>
      <c r="AW376" s="220"/>
      <c r="AX376" s="220"/>
      <c r="AY376" s="220"/>
      <c r="AZ376" s="220"/>
    </row>
    <row r="377" ht="15.75" customHeight="1">
      <c r="A377" s="272"/>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c r="AA377" s="220"/>
      <c r="AB377" s="220"/>
      <c r="AC377" s="220"/>
      <c r="AD377" s="220"/>
      <c r="AE377" s="220"/>
      <c r="AF377" s="220"/>
      <c r="AG377" s="220"/>
      <c r="AH377" s="220"/>
      <c r="AI377" s="220"/>
      <c r="AJ377" s="220"/>
      <c r="AK377" s="220"/>
      <c r="AL377" s="220"/>
      <c r="AM377" s="220"/>
      <c r="AN377" s="220"/>
      <c r="AO377" s="220"/>
      <c r="AP377" s="220"/>
      <c r="AQ377" s="220"/>
      <c r="AR377" s="220"/>
      <c r="AS377" s="220"/>
      <c r="AT377" s="220"/>
      <c r="AU377" s="220"/>
      <c r="AV377" s="220"/>
      <c r="AW377" s="220"/>
      <c r="AX377" s="220"/>
      <c r="AY377" s="220"/>
      <c r="AZ377" s="220"/>
    </row>
    <row r="378" ht="15.75" customHeight="1">
      <c r="A378" s="272"/>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c r="AA378" s="220"/>
      <c r="AB378" s="220"/>
      <c r="AC378" s="220"/>
      <c r="AD378" s="220"/>
      <c r="AE378" s="220"/>
      <c r="AF378" s="220"/>
      <c r="AG378" s="220"/>
      <c r="AH378" s="220"/>
      <c r="AI378" s="220"/>
      <c r="AJ378" s="220"/>
      <c r="AK378" s="220"/>
      <c r="AL378" s="220"/>
      <c r="AM378" s="220"/>
      <c r="AN378" s="220"/>
      <c r="AO378" s="220"/>
      <c r="AP378" s="220"/>
      <c r="AQ378" s="220"/>
      <c r="AR378" s="220"/>
      <c r="AS378" s="220"/>
      <c r="AT378" s="220"/>
      <c r="AU378" s="220"/>
      <c r="AV378" s="220"/>
      <c r="AW378" s="220"/>
      <c r="AX378" s="220"/>
      <c r="AY378" s="220"/>
      <c r="AZ378" s="220"/>
    </row>
    <row r="379" ht="15.75" customHeight="1">
      <c r="A379" s="272"/>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c r="AA379" s="220"/>
      <c r="AB379" s="220"/>
      <c r="AC379" s="220"/>
      <c r="AD379" s="220"/>
      <c r="AE379" s="220"/>
      <c r="AF379" s="220"/>
      <c r="AG379" s="220"/>
      <c r="AH379" s="220"/>
      <c r="AI379" s="220"/>
      <c r="AJ379" s="220"/>
      <c r="AK379" s="220"/>
      <c r="AL379" s="220"/>
      <c r="AM379" s="220"/>
      <c r="AN379" s="220"/>
      <c r="AO379" s="220"/>
      <c r="AP379" s="220"/>
      <c r="AQ379" s="220"/>
      <c r="AR379" s="220"/>
      <c r="AS379" s="220"/>
      <c r="AT379" s="220"/>
      <c r="AU379" s="220"/>
      <c r="AV379" s="220"/>
      <c r="AW379" s="220"/>
      <c r="AX379" s="220"/>
      <c r="AY379" s="220"/>
      <c r="AZ379" s="220"/>
    </row>
    <row r="380" ht="15.75" customHeight="1">
      <c r="A380" s="272"/>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c r="AA380" s="220"/>
      <c r="AB380" s="220"/>
      <c r="AC380" s="220"/>
      <c r="AD380" s="220"/>
      <c r="AE380" s="220"/>
      <c r="AF380" s="220"/>
      <c r="AG380" s="220"/>
      <c r="AH380" s="220"/>
      <c r="AI380" s="220"/>
      <c r="AJ380" s="220"/>
      <c r="AK380" s="220"/>
      <c r="AL380" s="220"/>
      <c r="AM380" s="220"/>
      <c r="AN380" s="220"/>
      <c r="AO380" s="220"/>
      <c r="AP380" s="220"/>
      <c r="AQ380" s="220"/>
      <c r="AR380" s="220"/>
      <c r="AS380" s="220"/>
      <c r="AT380" s="220"/>
      <c r="AU380" s="220"/>
      <c r="AV380" s="220"/>
      <c r="AW380" s="220"/>
      <c r="AX380" s="220"/>
      <c r="AY380" s="220"/>
      <c r="AZ380" s="220"/>
    </row>
    <row r="381" ht="15.75" customHeight="1">
      <c r="A381" s="272"/>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c r="AN381" s="220"/>
      <c r="AO381" s="220"/>
      <c r="AP381" s="220"/>
      <c r="AQ381" s="220"/>
      <c r="AR381" s="220"/>
      <c r="AS381" s="220"/>
      <c r="AT381" s="220"/>
      <c r="AU381" s="220"/>
      <c r="AV381" s="220"/>
      <c r="AW381" s="220"/>
      <c r="AX381" s="220"/>
      <c r="AY381" s="220"/>
      <c r="AZ381" s="220"/>
    </row>
    <row r="382" ht="15.75" customHeight="1">
      <c r="A382" s="272"/>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c r="AQ382" s="220"/>
      <c r="AR382" s="220"/>
      <c r="AS382" s="220"/>
      <c r="AT382" s="220"/>
      <c r="AU382" s="220"/>
      <c r="AV382" s="220"/>
      <c r="AW382" s="220"/>
      <c r="AX382" s="220"/>
      <c r="AY382" s="220"/>
      <c r="AZ382" s="220"/>
    </row>
    <row r="383" ht="15.75" customHeight="1">
      <c r="A383" s="272"/>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c r="AA383" s="220"/>
      <c r="AB383" s="220"/>
      <c r="AC383" s="220"/>
      <c r="AD383" s="220"/>
      <c r="AE383" s="220"/>
      <c r="AF383" s="220"/>
      <c r="AG383" s="220"/>
      <c r="AH383" s="220"/>
      <c r="AI383" s="220"/>
      <c r="AJ383" s="220"/>
      <c r="AK383" s="220"/>
      <c r="AL383" s="220"/>
      <c r="AM383" s="220"/>
      <c r="AN383" s="220"/>
      <c r="AO383" s="220"/>
      <c r="AP383" s="220"/>
      <c r="AQ383" s="220"/>
      <c r="AR383" s="220"/>
      <c r="AS383" s="220"/>
      <c r="AT383" s="220"/>
      <c r="AU383" s="220"/>
      <c r="AV383" s="220"/>
      <c r="AW383" s="220"/>
      <c r="AX383" s="220"/>
      <c r="AY383" s="220"/>
      <c r="AZ383" s="220"/>
    </row>
    <row r="384" ht="15.75" customHeight="1">
      <c r="A384" s="272"/>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c r="AA384" s="220"/>
      <c r="AB384" s="220"/>
      <c r="AC384" s="220"/>
      <c r="AD384" s="220"/>
      <c r="AE384" s="220"/>
      <c r="AF384" s="220"/>
      <c r="AG384" s="220"/>
      <c r="AH384" s="220"/>
      <c r="AI384" s="220"/>
      <c r="AJ384" s="220"/>
      <c r="AK384" s="220"/>
      <c r="AL384" s="220"/>
      <c r="AM384" s="220"/>
      <c r="AN384" s="220"/>
      <c r="AO384" s="220"/>
      <c r="AP384" s="220"/>
      <c r="AQ384" s="220"/>
      <c r="AR384" s="220"/>
      <c r="AS384" s="220"/>
      <c r="AT384" s="220"/>
      <c r="AU384" s="220"/>
      <c r="AV384" s="220"/>
      <c r="AW384" s="220"/>
      <c r="AX384" s="220"/>
      <c r="AY384" s="220"/>
      <c r="AZ384" s="220"/>
    </row>
    <row r="385" ht="15.75" customHeight="1">
      <c r="A385" s="272"/>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c r="AA385" s="220"/>
      <c r="AB385" s="220"/>
      <c r="AC385" s="220"/>
      <c r="AD385" s="220"/>
      <c r="AE385" s="220"/>
      <c r="AF385" s="220"/>
      <c r="AG385" s="220"/>
      <c r="AH385" s="220"/>
      <c r="AI385" s="220"/>
      <c r="AJ385" s="220"/>
      <c r="AK385" s="220"/>
      <c r="AL385" s="220"/>
      <c r="AM385" s="220"/>
      <c r="AN385" s="220"/>
      <c r="AO385" s="220"/>
      <c r="AP385" s="220"/>
      <c r="AQ385" s="220"/>
      <c r="AR385" s="220"/>
      <c r="AS385" s="220"/>
      <c r="AT385" s="220"/>
      <c r="AU385" s="220"/>
      <c r="AV385" s="220"/>
      <c r="AW385" s="220"/>
      <c r="AX385" s="220"/>
      <c r="AY385" s="220"/>
      <c r="AZ385" s="220"/>
    </row>
    <row r="386" ht="15.75" customHeight="1">
      <c r="A386" s="272"/>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c r="AA386" s="220"/>
      <c r="AB386" s="220"/>
      <c r="AC386" s="220"/>
      <c r="AD386" s="220"/>
      <c r="AE386" s="220"/>
      <c r="AF386" s="220"/>
      <c r="AG386" s="220"/>
      <c r="AH386" s="220"/>
      <c r="AI386" s="220"/>
      <c r="AJ386" s="220"/>
      <c r="AK386" s="220"/>
      <c r="AL386" s="220"/>
      <c r="AM386" s="220"/>
      <c r="AN386" s="220"/>
      <c r="AO386" s="220"/>
      <c r="AP386" s="220"/>
      <c r="AQ386" s="220"/>
      <c r="AR386" s="220"/>
      <c r="AS386" s="220"/>
      <c r="AT386" s="220"/>
      <c r="AU386" s="220"/>
      <c r="AV386" s="220"/>
      <c r="AW386" s="220"/>
      <c r="AX386" s="220"/>
      <c r="AY386" s="220"/>
      <c r="AZ386" s="220"/>
    </row>
    <row r="387" ht="15.75" customHeight="1">
      <c r="A387" s="272"/>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c r="AA387" s="220"/>
      <c r="AB387" s="220"/>
      <c r="AC387" s="220"/>
      <c r="AD387" s="220"/>
      <c r="AE387" s="220"/>
      <c r="AF387" s="220"/>
      <c r="AG387" s="220"/>
      <c r="AH387" s="220"/>
      <c r="AI387" s="220"/>
      <c r="AJ387" s="220"/>
      <c r="AK387" s="220"/>
      <c r="AL387" s="220"/>
      <c r="AM387" s="220"/>
      <c r="AN387" s="220"/>
      <c r="AO387" s="220"/>
      <c r="AP387" s="220"/>
      <c r="AQ387" s="220"/>
      <c r="AR387" s="220"/>
      <c r="AS387" s="220"/>
      <c r="AT387" s="220"/>
      <c r="AU387" s="220"/>
      <c r="AV387" s="220"/>
      <c r="AW387" s="220"/>
      <c r="AX387" s="220"/>
      <c r="AY387" s="220"/>
      <c r="AZ387" s="220"/>
    </row>
    <row r="388" ht="15.75" customHeight="1">
      <c r="A388" s="272"/>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c r="AN388" s="220"/>
      <c r="AO388" s="220"/>
      <c r="AP388" s="220"/>
      <c r="AQ388" s="220"/>
      <c r="AR388" s="220"/>
      <c r="AS388" s="220"/>
      <c r="AT388" s="220"/>
      <c r="AU388" s="220"/>
      <c r="AV388" s="220"/>
      <c r="AW388" s="220"/>
      <c r="AX388" s="220"/>
      <c r="AY388" s="220"/>
      <c r="AZ388" s="220"/>
    </row>
    <row r="389" ht="15.75" customHeight="1">
      <c r="A389" s="272"/>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c r="AA389" s="220"/>
      <c r="AB389" s="220"/>
      <c r="AC389" s="220"/>
      <c r="AD389" s="220"/>
      <c r="AE389" s="220"/>
      <c r="AF389" s="220"/>
      <c r="AG389" s="220"/>
      <c r="AH389" s="220"/>
      <c r="AI389" s="220"/>
      <c r="AJ389" s="220"/>
      <c r="AK389" s="220"/>
      <c r="AL389" s="220"/>
      <c r="AM389" s="220"/>
      <c r="AN389" s="220"/>
      <c r="AO389" s="220"/>
      <c r="AP389" s="220"/>
      <c r="AQ389" s="220"/>
      <c r="AR389" s="220"/>
      <c r="AS389" s="220"/>
      <c r="AT389" s="220"/>
      <c r="AU389" s="220"/>
      <c r="AV389" s="220"/>
      <c r="AW389" s="220"/>
      <c r="AX389" s="220"/>
      <c r="AY389" s="220"/>
      <c r="AZ389" s="220"/>
    </row>
    <row r="390" ht="15.75" customHeight="1">
      <c r="A390" s="272"/>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c r="AA390" s="220"/>
      <c r="AB390" s="220"/>
      <c r="AC390" s="220"/>
      <c r="AD390" s="220"/>
      <c r="AE390" s="220"/>
      <c r="AF390" s="220"/>
      <c r="AG390" s="220"/>
      <c r="AH390" s="220"/>
      <c r="AI390" s="220"/>
      <c r="AJ390" s="220"/>
      <c r="AK390" s="220"/>
      <c r="AL390" s="220"/>
      <c r="AM390" s="220"/>
      <c r="AN390" s="220"/>
      <c r="AO390" s="220"/>
      <c r="AP390" s="220"/>
      <c r="AQ390" s="220"/>
      <c r="AR390" s="220"/>
      <c r="AS390" s="220"/>
      <c r="AT390" s="220"/>
      <c r="AU390" s="220"/>
      <c r="AV390" s="220"/>
      <c r="AW390" s="220"/>
      <c r="AX390" s="220"/>
      <c r="AY390" s="220"/>
      <c r="AZ390" s="220"/>
    </row>
    <row r="391" ht="15.75" customHeight="1">
      <c r="A391" s="272"/>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c r="AA391" s="220"/>
      <c r="AB391" s="220"/>
      <c r="AC391" s="220"/>
      <c r="AD391" s="220"/>
      <c r="AE391" s="220"/>
      <c r="AF391" s="220"/>
      <c r="AG391" s="220"/>
      <c r="AH391" s="220"/>
      <c r="AI391" s="220"/>
      <c r="AJ391" s="220"/>
      <c r="AK391" s="220"/>
      <c r="AL391" s="220"/>
      <c r="AM391" s="220"/>
      <c r="AN391" s="220"/>
      <c r="AO391" s="220"/>
      <c r="AP391" s="220"/>
      <c r="AQ391" s="220"/>
      <c r="AR391" s="220"/>
      <c r="AS391" s="220"/>
      <c r="AT391" s="220"/>
      <c r="AU391" s="220"/>
      <c r="AV391" s="220"/>
      <c r="AW391" s="220"/>
      <c r="AX391" s="220"/>
      <c r="AY391" s="220"/>
      <c r="AZ391" s="220"/>
    </row>
    <row r="392" ht="15.75" customHeight="1">
      <c r="A392" s="272"/>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c r="AA392" s="220"/>
      <c r="AB392" s="220"/>
      <c r="AC392" s="220"/>
      <c r="AD392" s="220"/>
      <c r="AE392" s="220"/>
      <c r="AF392" s="220"/>
      <c r="AG392" s="220"/>
      <c r="AH392" s="220"/>
      <c r="AI392" s="220"/>
      <c r="AJ392" s="220"/>
      <c r="AK392" s="220"/>
      <c r="AL392" s="220"/>
      <c r="AM392" s="220"/>
      <c r="AN392" s="220"/>
      <c r="AO392" s="220"/>
      <c r="AP392" s="220"/>
      <c r="AQ392" s="220"/>
      <c r="AR392" s="220"/>
      <c r="AS392" s="220"/>
      <c r="AT392" s="220"/>
      <c r="AU392" s="220"/>
      <c r="AV392" s="220"/>
      <c r="AW392" s="220"/>
      <c r="AX392" s="220"/>
      <c r="AY392" s="220"/>
      <c r="AZ392" s="220"/>
    </row>
    <row r="393" ht="15.75" customHeight="1">
      <c r="A393" s="272"/>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c r="AO393" s="220"/>
      <c r="AP393" s="220"/>
      <c r="AQ393" s="220"/>
      <c r="AR393" s="220"/>
      <c r="AS393" s="220"/>
      <c r="AT393" s="220"/>
      <c r="AU393" s="220"/>
      <c r="AV393" s="220"/>
      <c r="AW393" s="220"/>
      <c r="AX393" s="220"/>
      <c r="AY393" s="220"/>
      <c r="AZ393" s="220"/>
    </row>
    <row r="394" ht="15.75" customHeight="1">
      <c r="A394" s="272"/>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20"/>
      <c r="AK394" s="220"/>
      <c r="AL394" s="220"/>
      <c r="AM394" s="220"/>
      <c r="AN394" s="220"/>
      <c r="AO394" s="220"/>
      <c r="AP394" s="220"/>
      <c r="AQ394" s="220"/>
      <c r="AR394" s="220"/>
      <c r="AS394" s="220"/>
      <c r="AT394" s="220"/>
      <c r="AU394" s="220"/>
      <c r="AV394" s="220"/>
      <c r="AW394" s="220"/>
      <c r="AX394" s="220"/>
      <c r="AY394" s="220"/>
      <c r="AZ394" s="220"/>
    </row>
    <row r="395" ht="15.75" customHeight="1">
      <c r="A395" s="272"/>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c r="AA395" s="220"/>
      <c r="AB395" s="220"/>
      <c r="AC395" s="220"/>
      <c r="AD395" s="220"/>
      <c r="AE395" s="220"/>
      <c r="AF395" s="220"/>
      <c r="AG395" s="220"/>
      <c r="AH395" s="220"/>
      <c r="AI395" s="220"/>
      <c r="AJ395" s="220"/>
      <c r="AK395" s="220"/>
      <c r="AL395" s="220"/>
      <c r="AM395" s="220"/>
      <c r="AN395" s="220"/>
      <c r="AO395" s="220"/>
      <c r="AP395" s="220"/>
      <c r="AQ395" s="220"/>
      <c r="AR395" s="220"/>
      <c r="AS395" s="220"/>
      <c r="AT395" s="220"/>
      <c r="AU395" s="220"/>
      <c r="AV395" s="220"/>
      <c r="AW395" s="220"/>
      <c r="AX395" s="220"/>
      <c r="AY395" s="220"/>
      <c r="AZ395" s="220"/>
    </row>
    <row r="396" ht="15.75" customHeight="1">
      <c r="A396" s="272"/>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c r="AA396" s="220"/>
      <c r="AB396" s="220"/>
      <c r="AC396" s="220"/>
      <c r="AD396" s="220"/>
      <c r="AE396" s="220"/>
      <c r="AF396" s="220"/>
      <c r="AG396" s="220"/>
      <c r="AH396" s="220"/>
      <c r="AI396" s="220"/>
      <c r="AJ396" s="220"/>
      <c r="AK396" s="220"/>
      <c r="AL396" s="220"/>
      <c r="AM396" s="220"/>
      <c r="AN396" s="220"/>
      <c r="AO396" s="220"/>
      <c r="AP396" s="220"/>
      <c r="AQ396" s="220"/>
      <c r="AR396" s="220"/>
      <c r="AS396" s="220"/>
      <c r="AT396" s="220"/>
      <c r="AU396" s="220"/>
      <c r="AV396" s="220"/>
      <c r="AW396" s="220"/>
      <c r="AX396" s="220"/>
      <c r="AY396" s="220"/>
      <c r="AZ396" s="220"/>
    </row>
    <row r="397" ht="15.75" customHeight="1">
      <c r="A397" s="272"/>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c r="AA397" s="220"/>
      <c r="AB397" s="220"/>
      <c r="AC397" s="220"/>
      <c r="AD397" s="220"/>
      <c r="AE397" s="220"/>
      <c r="AF397" s="220"/>
      <c r="AG397" s="220"/>
      <c r="AH397" s="220"/>
      <c r="AI397" s="220"/>
      <c r="AJ397" s="220"/>
      <c r="AK397" s="220"/>
      <c r="AL397" s="220"/>
      <c r="AM397" s="220"/>
      <c r="AN397" s="220"/>
      <c r="AO397" s="220"/>
      <c r="AP397" s="220"/>
      <c r="AQ397" s="220"/>
      <c r="AR397" s="220"/>
      <c r="AS397" s="220"/>
      <c r="AT397" s="220"/>
      <c r="AU397" s="220"/>
      <c r="AV397" s="220"/>
      <c r="AW397" s="220"/>
      <c r="AX397" s="220"/>
      <c r="AY397" s="220"/>
      <c r="AZ397" s="220"/>
    </row>
    <row r="398" ht="15.75" customHeight="1">
      <c r="A398" s="272"/>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c r="AA398" s="220"/>
      <c r="AB398" s="220"/>
      <c r="AC398" s="220"/>
      <c r="AD398" s="220"/>
      <c r="AE398" s="220"/>
      <c r="AF398" s="220"/>
      <c r="AG398" s="220"/>
      <c r="AH398" s="220"/>
      <c r="AI398" s="220"/>
      <c r="AJ398" s="220"/>
      <c r="AK398" s="220"/>
      <c r="AL398" s="220"/>
      <c r="AM398" s="220"/>
      <c r="AN398" s="220"/>
      <c r="AO398" s="220"/>
      <c r="AP398" s="220"/>
      <c r="AQ398" s="220"/>
      <c r="AR398" s="220"/>
      <c r="AS398" s="220"/>
      <c r="AT398" s="220"/>
      <c r="AU398" s="220"/>
      <c r="AV398" s="220"/>
      <c r="AW398" s="220"/>
      <c r="AX398" s="220"/>
      <c r="AY398" s="220"/>
      <c r="AZ398" s="220"/>
    </row>
    <row r="399" ht="15.75" customHeight="1">
      <c r="A399" s="272"/>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c r="AA399" s="220"/>
      <c r="AB399" s="220"/>
      <c r="AC399" s="220"/>
      <c r="AD399" s="220"/>
      <c r="AE399" s="220"/>
      <c r="AF399" s="220"/>
      <c r="AG399" s="220"/>
      <c r="AH399" s="220"/>
      <c r="AI399" s="220"/>
      <c r="AJ399" s="220"/>
      <c r="AK399" s="220"/>
      <c r="AL399" s="220"/>
      <c r="AM399" s="220"/>
      <c r="AN399" s="220"/>
      <c r="AO399" s="220"/>
      <c r="AP399" s="220"/>
      <c r="AQ399" s="220"/>
      <c r="AR399" s="220"/>
      <c r="AS399" s="220"/>
      <c r="AT399" s="220"/>
      <c r="AU399" s="220"/>
      <c r="AV399" s="220"/>
      <c r="AW399" s="220"/>
      <c r="AX399" s="220"/>
      <c r="AY399" s="220"/>
      <c r="AZ399" s="220"/>
    </row>
    <row r="400" ht="15.75" customHeight="1">
      <c r="A400" s="272"/>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220"/>
      <c r="AM400" s="220"/>
      <c r="AN400" s="220"/>
      <c r="AO400" s="220"/>
      <c r="AP400" s="220"/>
      <c r="AQ400" s="220"/>
      <c r="AR400" s="220"/>
      <c r="AS400" s="220"/>
      <c r="AT400" s="220"/>
      <c r="AU400" s="220"/>
      <c r="AV400" s="220"/>
      <c r="AW400" s="220"/>
      <c r="AX400" s="220"/>
      <c r="AY400" s="220"/>
      <c r="AZ400" s="220"/>
    </row>
    <row r="401" ht="15.75" customHeight="1">
      <c r="A401" s="272"/>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c r="AQ401" s="220"/>
      <c r="AR401" s="220"/>
      <c r="AS401" s="220"/>
      <c r="AT401" s="220"/>
      <c r="AU401" s="220"/>
      <c r="AV401" s="220"/>
      <c r="AW401" s="220"/>
      <c r="AX401" s="220"/>
      <c r="AY401" s="220"/>
      <c r="AZ401" s="220"/>
    </row>
    <row r="402" ht="15.75" customHeight="1">
      <c r="A402" s="272"/>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row>
    <row r="403" ht="15.75" customHeight="1">
      <c r="A403" s="272"/>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c r="AA403" s="220"/>
      <c r="AB403" s="220"/>
      <c r="AC403" s="220"/>
      <c r="AD403" s="220"/>
      <c r="AE403" s="220"/>
      <c r="AF403" s="220"/>
      <c r="AG403" s="220"/>
      <c r="AH403" s="220"/>
      <c r="AI403" s="220"/>
      <c r="AJ403" s="220"/>
      <c r="AK403" s="220"/>
      <c r="AL403" s="220"/>
      <c r="AM403" s="220"/>
      <c r="AN403" s="220"/>
      <c r="AO403" s="220"/>
      <c r="AP403" s="220"/>
      <c r="AQ403" s="220"/>
      <c r="AR403" s="220"/>
      <c r="AS403" s="220"/>
      <c r="AT403" s="220"/>
      <c r="AU403" s="220"/>
      <c r="AV403" s="220"/>
      <c r="AW403" s="220"/>
      <c r="AX403" s="220"/>
      <c r="AY403" s="220"/>
      <c r="AZ403" s="220"/>
    </row>
    <row r="404" ht="15.75" customHeight="1">
      <c r="A404" s="272"/>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c r="AA404" s="220"/>
      <c r="AB404" s="220"/>
      <c r="AC404" s="220"/>
      <c r="AD404" s="220"/>
      <c r="AE404" s="220"/>
      <c r="AF404" s="220"/>
      <c r="AG404" s="220"/>
      <c r="AH404" s="220"/>
      <c r="AI404" s="220"/>
      <c r="AJ404" s="220"/>
      <c r="AK404" s="220"/>
      <c r="AL404" s="220"/>
      <c r="AM404" s="220"/>
      <c r="AN404" s="220"/>
      <c r="AO404" s="220"/>
      <c r="AP404" s="220"/>
      <c r="AQ404" s="220"/>
      <c r="AR404" s="220"/>
      <c r="AS404" s="220"/>
      <c r="AT404" s="220"/>
      <c r="AU404" s="220"/>
      <c r="AV404" s="220"/>
      <c r="AW404" s="220"/>
      <c r="AX404" s="220"/>
      <c r="AY404" s="220"/>
      <c r="AZ404" s="220"/>
    </row>
    <row r="405" ht="15.75" customHeight="1">
      <c r="A405" s="272"/>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c r="AN405" s="220"/>
      <c r="AO405" s="220"/>
      <c r="AP405" s="220"/>
      <c r="AQ405" s="220"/>
      <c r="AR405" s="220"/>
      <c r="AS405" s="220"/>
      <c r="AT405" s="220"/>
      <c r="AU405" s="220"/>
      <c r="AV405" s="220"/>
      <c r="AW405" s="220"/>
      <c r="AX405" s="220"/>
      <c r="AY405" s="220"/>
      <c r="AZ405" s="220"/>
    </row>
    <row r="406" ht="15.75" customHeight="1">
      <c r="A406" s="272"/>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c r="AA406" s="220"/>
      <c r="AB406" s="220"/>
      <c r="AC406" s="220"/>
      <c r="AD406" s="220"/>
      <c r="AE406" s="220"/>
      <c r="AF406" s="220"/>
      <c r="AG406" s="220"/>
      <c r="AH406" s="220"/>
      <c r="AI406" s="220"/>
      <c r="AJ406" s="220"/>
      <c r="AK406" s="220"/>
      <c r="AL406" s="220"/>
      <c r="AM406" s="220"/>
      <c r="AN406" s="220"/>
      <c r="AO406" s="220"/>
      <c r="AP406" s="220"/>
      <c r="AQ406" s="220"/>
      <c r="AR406" s="220"/>
      <c r="AS406" s="220"/>
      <c r="AT406" s="220"/>
      <c r="AU406" s="220"/>
      <c r="AV406" s="220"/>
      <c r="AW406" s="220"/>
      <c r="AX406" s="220"/>
      <c r="AY406" s="220"/>
      <c r="AZ406" s="220"/>
    </row>
    <row r="407" ht="15.75" customHeight="1">
      <c r="A407" s="272"/>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c r="AA407" s="220"/>
      <c r="AB407" s="220"/>
      <c r="AC407" s="220"/>
      <c r="AD407" s="220"/>
      <c r="AE407" s="220"/>
      <c r="AF407" s="220"/>
      <c r="AG407" s="220"/>
      <c r="AH407" s="220"/>
      <c r="AI407" s="220"/>
      <c r="AJ407" s="220"/>
      <c r="AK407" s="220"/>
      <c r="AL407" s="220"/>
      <c r="AM407" s="220"/>
      <c r="AN407" s="220"/>
      <c r="AO407" s="220"/>
      <c r="AP407" s="220"/>
      <c r="AQ407" s="220"/>
      <c r="AR407" s="220"/>
      <c r="AS407" s="220"/>
      <c r="AT407" s="220"/>
      <c r="AU407" s="220"/>
      <c r="AV407" s="220"/>
      <c r="AW407" s="220"/>
      <c r="AX407" s="220"/>
      <c r="AY407" s="220"/>
      <c r="AZ407" s="220"/>
    </row>
    <row r="408" ht="15.75" customHeight="1">
      <c r="A408" s="272"/>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c r="AB408" s="220"/>
      <c r="AC408" s="220"/>
      <c r="AD408" s="220"/>
      <c r="AE408" s="220"/>
      <c r="AF408" s="220"/>
      <c r="AG408" s="220"/>
      <c r="AH408" s="220"/>
      <c r="AI408" s="220"/>
      <c r="AJ408" s="220"/>
      <c r="AK408" s="220"/>
      <c r="AL408" s="220"/>
      <c r="AM408" s="220"/>
      <c r="AN408" s="220"/>
      <c r="AO408" s="220"/>
      <c r="AP408" s="220"/>
      <c r="AQ408" s="220"/>
      <c r="AR408" s="220"/>
      <c r="AS408" s="220"/>
      <c r="AT408" s="220"/>
      <c r="AU408" s="220"/>
      <c r="AV408" s="220"/>
      <c r="AW408" s="220"/>
      <c r="AX408" s="220"/>
      <c r="AY408" s="220"/>
      <c r="AZ408" s="220"/>
    </row>
    <row r="409" ht="15.75" customHeight="1">
      <c r="A409" s="272"/>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c r="AA409" s="220"/>
      <c r="AB409" s="220"/>
      <c r="AC409" s="220"/>
      <c r="AD409" s="220"/>
      <c r="AE409" s="220"/>
      <c r="AF409" s="220"/>
      <c r="AG409" s="220"/>
      <c r="AH409" s="220"/>
      <c r="AI409" s="220"/>
      <c r="AJ409" s="220"/>
      <c r="AK409" s="220"/>
      <c r="AL409" s="220"/>
      <c r="AM409" s="220"/>
      <c r="AN409" s="220"/>
      <c r="AO409" s="220"/>
      <c r="AP409" s="220"/>
      <c r="AQ409" s="220"/>
      <c r="AR409" s="220"/>
      <c r="AS409" s="220"/>
      <c r="AT409" s="220"/>
      <c r="AU409" s="220"/>
      <c r="AV409" s="220"/>
      <c r="AW409" s="220"/>
      <c r="AX409" s="220"/>
      <c r="AY409" s="220"/>
      <c r="AZ409" s="220"/>
    </row>
    <row r="410" ht="15.75" customHeight="1">
      <c r="A410" s="272"/>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c r="AN410" s="220"/>
      <c r="AO410" s="220"/>
      <c r="AP410" s="220"/>
      <c r="AQ410" s="220"/>
      <c r="AR410" s="220"/>
      <c r="AS410" s="220"/>
      <c r="AT410" s="220"/>
      <c r="AU410" s="220"/>
      <c r="AV410" s="220"/>
      <c r="AW410" s="220"/>
      <c r="AX410" s="220"/>
      <c r="AY410" s="220"/>
      <c r="AZ410" s="220"/>
    </row>
    <row r="411" ht="15.75" customHeight="1">
      <c r="A411" s="272"/>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c r="AN411" s="220"/>
      <c r="AO411" s="220"/>
      <c r="AP411" s="220"/>
      <c r="AQ411" s="220"/>
      <c r="AR411" s="220"/>
      <c r="AS411" s="220"/>
      <c r="AT411" s="220"/>
      <c r="AU411" s="220"/>
      <c r="AV411" s="220"/>
      <c r="AW411" s="220"/>
      <c r="AX411" s="220"/>
      <c r="AY411" s="220"/>
      <c r="AZ411" s="220"/>
    </row>
    <row r="412" ht="15.75" customHeight="1">
      <c r="A412" s="272"/>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c r="AN412" s="220"/>
      <c r="AO412" s="220"/>
      <c r="AP412" s="220"/>
      <c r="AQ412" s="220"/>
      <c r="AR412" s="220"/>
      <c r="AS412" s="220"/>
      <c r="AT412" s="220"/>
      <c r="AU412" s="220"/>
      <c r="AV412" s="220"/>
      <c r="AW412" s="220"/>
      <c r="AX412" s="220"/>
      <c r="AY412" s="220"/>
      <c r="AZ412" s="220"/>
    </row>
    <row r="413" ht="15.75" customHeight="1">
      <c r="A413" s="272"/>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c r="AN413" s="220"/>
      <c r="AO413" s="220"/>
      <c r="AP413" s="220"/>
      <c r="AQ413" s="220"/>
      <c r="AR413" s="220"/>
      <c r="AS413" s="220"/>
      <c r="AT413" s="220"/>
      <c r="AU413" s="220"/>
      <c r="AV413" s="220"/>
      <c r="AW413" s="220"/>
      <c r="AX413" s="220"/>
      <c r="AY413" s="220"/>
      <c r="AZ413" s="220"/>
    </row>
    <row r="414" ht="15.75" customHeight="1">
      <c r="A414" s="272"/>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c r="AA414" s="220"/>
      <c r="AB414" s="220"/>
      <c r="AC414" s="220"/>
      <c r="AD414" s="220"/>
      <c r="AE414" s="220"/>
      <c r="AF414" s="220"/>
      <c r="AG414" s="220"/>
      <c r="AH414" s="220"/>
      <c r="AI414" s="220"/>
      <c r="AJ414" s="220"/>
      <c r="AK414" s="220"/>
      <c r="AL414" s="220"/>
      <c r="AM414" s="220"/>
      <c r="AN414" s="220"/>
      <c r="AO414" s="220"/>
      <c r="AP414" s="220"/>
      <c r="AQ414" s="220"/>
      <c r="AR414" s="220"/>
      <c r="AS414" s="220"/>
      <c r="AT414" s="220"/>
      <c r="AU414" s="220"/>
      <c r="AV414" s="220"/>
      <c r="AW414" s="220"/>
      <c r="AX414" s="220"/>
      <c r="AY414" s="220"/>
      <c r="AZ414" s="220"/>
    </row>
    <row r="415" ht="15.75" customHeight="1">
      <c r="A415" s="272"/>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c r="AA415" s="220"/>
      <c r="AB415" s="220"/>
      <c r="AC415" s="220"/>
      <c r="AD415" s="220"/>
      <c r="AE415" s="220"/>
      <c r="AF415" s="220"/>
      <c r="AG415" s="220"/>
      <c r="AH415" s="220"/>
      <c r="AI415" s="220"/>
      <c r="AJ415" s="220"/>
      <c r="AK415" s="220"/>
      <c r="AL415" s="220"/>
      <c r="AM415" s="220"/>
      <c r="AN415" s="220"/>
      <c r="AO415" s="220"/>
      <c r="AP415" s="220"/>
      <c r="AQ415" s="220"/>
      <c r="AR415" s="220"/>
      <c r="AS415" s="220"/>
      <c r="AT415" s="220"/>
      <c r="AU415" s="220"/>
      <c r="AV415" s="220"/>
      <c r="AW415" s="220"/>
      <c r="AX415" s="220"/>
      <c r="AY415" s="220"/>
      <c r="AZ415" s="220"/>
    </row>
    <row r="416" ht="15.75" customHeight="1">
      <c r="A416" s="272"/>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c r="AQ416" s="220"/>
      <c r="AR416" s="220"/>
      <c r="AS416" s="220"/>
      <c r="AT416" s="220"/>
      <c r="AU416" s="220"/>
      <c r="AV416" s="220"/>
      <c r="AW416" s="220"/>
      <c r="AX416" s="220"/>
      <c r="AY416" s="220"/>
      <c r="AZ416" s="220"/>
    </row>
    <row r="417" ht="15.75" customHeight="1">
      <c r="A417" s="272"/>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c r="AO417" s="220"/>
      <c r="AP417" s="220"/>
      <c r="AQ417" s="220"/>
      <c r="AR417" s="220"/>
      <c r="AS417" s="220"/>
      <c r="AT417" s="220"/>
      <c r="AU417" s="220"/>
      <c r="AV417" s="220"/>
      <c r="AW417" s="220"/>
      <c r="AX417" s="220"/>
      <c r="AY417" s="220"/>
      <c r="AZ417" s="220"/>
    </row>
    <row r="418" ht="15.75" customHeight="1">
      <c r="A418" s="272"/>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c r="AA418" s="220"/>
      <c r="AB418" s="220"/>
      <c r="AC418" s="220"/>
      <c r="AD418" s="220"/>
      <c r="AE418" s="220"/>
      <c r="AF418" s="220"/>
      <c r="AG418" s="220"/>
      <c r="AH418" s="220"/>
      <c r="AI418" s="220"/>
      <c r="AJ418" s="220"/>
      <c r="AK418" s="220"/>
      <c r="AL418" s="220"/>
      <c r="AM418" s="220"/>
      <c r="AN418" s="220"/>
      <c r="AO418" s="220"/>
      <c r="AP418" s="220"/>
      <c r="AQ418" s="220"/>
      <c r="AR418" s="220"/>
      <c r="AS418" s="220"/>
      <c r="AT418" s="220"/>
      <c r="AU418" s="220"/>
      <c r="AV418" s="220"/>
      <c r="AW418" s="220"/>
      <c r="AX418" s="220"/>
      <c r="AY418" s="220"/>
      <c r="AZ418" s="220"/>
    </row>
    <row r="419" ht="15.75" customHeight="1">
      <c r="A419" s="272"/>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c r="AA419" s="220"/>
      <c r="AB419" s="220"/>
      <c r="AC419" s="220"/>
      <c r="AD419" s="220"/>
      <c r="AE419" s="220"/>
      <c r="AF419" s="220"/>
      <c r="AG419" s="220"/>
      <c r="AH419" s="220"/>
      <c r="AI419" s="220"/>
      <c r="AJ419" s="220"/>
      <c r="AK419" s="220"/>
      <c r="AL419" s="220"/>
      <c r="AM419" s="220"/>
      <c r="AN419" s="220"/>
      <c r="AO419" s="220"/>
      <c r="AP419" s="220"/>
      <c r="AQ419" s="220"/>
      <c r="AR419" s="220"/>
      <c r="AS419" s="220"/>
      <c r="AT419" s="220"/>
      <c r="AU419" s="220"/>
      <c r="AV419" s="220"/>
      <c r="AW419" s="220"/>
      <c r="AX419" s="220"/>
      <c r="AY419" s="220"/>
      <c r="AZ419" s="220"/>
    </row>
    <row r="420" ht="15.75" customHeight="1">
      <c r="A420" s="272"/>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c r="AA420" s="220"/>
      <c r="AB420" s="220"/>
      <c r="AC420" s="220"/>
      <c r="AD420" s="220"/>
      <c r="AE420" s="220"/>
      <c r="AF420" s="220"/>
      <c r="AG420" s="220"/>
      <c r="AH420" s="220"/>
      <c r="AI420" s="220"/>
      <c r="AJ420" s="220"/>
      <c r="AK420" s="220"/>
      <c r="AL420" s="220"/>
      <c r="AM420" s="220"/>
      <c r="AN420" s="220"/>
      <c r="AO420" s="220"/>
      <c r="AP420" s="220"/>
      <c r="AQ420" s="220"/>
      <c r="AR420" s="220"/>
      <c r="AS420" s="220"/>
      <c r="AT420" s="220"/>
      <c r="AU420" s="220"/>
      <c r="AV420" s="220"/>
      <c r="AW420" s="220"/>
      <c r="AX420" s="220"/>
      <c r="AY420" s="220"/>
      <c r="AZ420" s="220"/>
    </row>
    <row r="421" ht="15.75" customHeight="1">
      <c r="A421" s="272"/>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c r="AA421" s="220"/>
      <c r="AB421" s="220"/>
      <c r="AC421" s="220"/>
      <c r="AD421" s="220"/>
      <c r="AE421" s="220"/>
      <c r="AF421" s="220"/>
      <c r="AG421" s="220"/>
      <c r="AH421" s="220"/>
      <c r="AI421" s="220"/>
      <c r="AJ421" s="220"/>
      <c r="AK421" s="220"/>
      <c r="AL421" s="220"/>
      <c r="AM421" s="220"/>
      <c r="AN421" s="220"/>
      <c r="AO421" s="220"/>
      <c r="AP421" s="220"/>
      <c r="AQ421" s="220"/>
      <c r="AR421" s="220"/>
      <c r="AS421" s="220"/>
      <c r="AT421" s="220"/>
      <c r="AU421" s="220"/>
      <c r="AV421" s="220"/>
      <c r="AW421" s="220"/>
      <c r="AX421" s="220"/>
      <c r="AY421" s="220"/>
      <c r="AZ421" s="220"/>
    </row>
    <row r="422" ht="15.75" customHeight="1">
      <c r="A422" s="272"/>
      <c r="B422" s="290"/>
      <c r="J422" s="220"/>
      <c r="K422" s="220"/>
      <c r="L422" s="220"/>
      <c r="M422" s="220"/>
      <c r="N422" s="220"/>
      <c r="O422" s="220"/>
      <c r="P422" s="220"/>
      <c r="Q422" s="220"/>
      <c r="R422" s="220"/>
      <c r="S422" s="220"/>
      <c r="T422" s="220"/>
      <c r="U422" s="220"/>
      <c r="V422" s="220"/>
      <c r="W422" s="220"/>
      <c r="X422" s="220"/>
      <c r="Y422" s="220"/>
      <c r="Z422" s="220"/>
      <c r="AA422" s="220"/>
      <c r="AB422" s="220"/>
      <c r="AC422" s="220"/>
      <c r="AD422" s="220"/>
      <c r="AE422" s="220"/>
      <c r="AF422" s="220"/>
      <c r="AG422" s="220"/>
      <c r="AH422" s="220"/>
      <c r="AI422" s="220"/>
      <c r="AJ422" s="220"/>
      <c r="AK422" s="220"/>
      <c r="AL422" s="220"/>
      <c r="AM422" s="220"/>
      <c r="AN422" s="220"/>
      <c r="AO422" s="220"/>
      <c r="AP422" s="220"/>
      <c r="AQ422" s="220"/>
      <c r="AR422" s="220"/>
      <c r="AS422" s="220"/>
      <c r="AT422" s="220"/>
      <c r="AU422" s="220"/>
      <c r="AV422" s="220"/>
      <c r="AW422" s="220"/>
      <c r="AX422" s="220"/>
      <c r="AY422" s="220"/>
      <c r="AZ422" s="220"/>
    </row>
    <row r="423" ht="15.75" customHeight="1">
      <c r="A423" s="272"/>
      <c r="B423" s="291"/>
      <c r="C423" s="292"/>
      <c r="D423" s="292"/>
      <c r="E423" s="292"/>
      <c r="F423" s="291"/>
      <c r="G423" s="291"/>
      <c r="H423" s="291"/>
      <c r="I423" s="291"/>
      <c r="J423" s="220"/>
      <c r="K423" s="220"/>
      <c r="L423" s="220"/>
      <c r="M423" s="220"/>
      <c r="N423" s="220"/>
      <c r="O423" s="220"/>
      <c r="P423" s="220"/>
      <c r="Q423" s="220"/>
      <c r="R423" s="220"/>
      <c r="S423" s="220"/>
      <c r="T423" s="220"/>
      <c r="U423" s="220"/>
      <c r="V423" s="220"/>
      <c r="W423" s="220"/>
      <c r="X423" s="220"/>
      <c r="Y423" s="220"/>
      <c r="Z423" s="220"/>
      <c r="AA423" s="220"/>
      <c r="AB423" s="220"/>
      <c r="AC423" s="220"/>
      <c r="AD423" s="220"/>
      <c r="AE423" s="220"/>
      <c r="AF423" s="220"/>
      <c r="AG423" s="220"/>
      <c r="AH423" s="220"/>
      <c r="AI423" s="220"/>
      <c r="AJ423" s="220"/>
      <c r="AK423" s="220"/>
      <c r="AL423" s="220"/>
      <c r="AM423" s="220"/>
      <c r="AN423" s="220"/>
      <c r="AO423" s="220"/>
      <c r="AP423" s="220"/>
      <c r="AQ423" s="220"/>
      <c r="AR423" s="220"/>
      <c r="AS423" s="220"/>
      <c r="AT423" s="220"/>
      <c r="AU423" s="220"/>
      <c r="AV423" s="220"/>
      <c r="AW423" s="220"/>
      <c r="AX423" s="220"/>
      <c r="AY423" s="220"/>
      <c r="AZ423" s="220"/>
    </row>
    <row r="424" ht="15.75" customHeight="1">
      <c r="A424" s="272"/>
      <c r="B424" s="291"/>
      <c r="C424" s="293"/>
      <c r="D424" s="293"/>
      <c r="E424" s="293"/>
      <c r="F424" s="294"/>
      <c r="G424" s="293"/>
      <c r="H424" s="295"/>
      <c r="I424" s="295"/>
      <c r="J424" s="220"/>
      <c r="K424" s="220"/>
      <c r="L424" s="220"/>
      <c r="M424" s="220"/>
      <c r="N424" s="220"/>
      <c r="O424" s="220"/>
      <c r="P424" s="220"/>
      <c r="Q424" s="220"/>
      <c r="R424" s="220"/>
      <c r="S424" s="220"/>
      <c r="T424" s="220"/>
      <c r="U424" s="220"/>
      <c r="V424" s="220"/>
      <c r="W424" s="220"/>
      <c r="X424" s="220"/>
      <c r="Y424" s="220"/>
      <c r="Z424" s="220"/>
      <c r="AA424" s="220"/>
      <c r="AB424" s="220"/>
      <c r="AC424" s="220"/>
      <c r="AD424" s="220"/>
      <c r="AE424" s="220"/>
      <c r="AF424" s="220"/>
      <c r="AG424" s="220"/>
      <c r="AH424" s="220"/>
      <c r="AI424" s="220"/>
      <c r="AJ424" s="220"/>
      <c r="AK424" s="220"/>
      <c r="AL424" s="220"/>
      <c r="AM424" s="220"/>
      <c r="AN424" s="220"/>
      <c r="AO424" s="220"/>
      <c r="AP424" s="220"/>
      <c r="AQ424" s="220"/>
      <c r="AR424" s="220"/>
      <c r="AS424" s="220"/>
      <c r="AT424" s="220"/>
      <c r="AU424" s="220"/>
      <c r="AV424" s="220"/>
      <c r="AW424" s="220"/>
      <c r="AX424" s="220"/>
      <c r="AY424" s="220"/>
      <c r="AZ424" s="220"/>
    </row>
    <row r="425" ht="15.75" customHeight="1">
      <c r="A425" s="272"/>
      <c r="B425" s="291"/>
      <c r="C425" s="293"/>
      <c r="D425" s="293"/>
      <c r="E425" s="293"/>
      <c r="F425" s="294"/>
      <c r="G425" s="293"/>
      <c r="H425" s="295"/>
      <c r="I425" s="295"/>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0"/>
      <c r="AG425" s="220"/>
      <c r="AH425" s="220"/>
      <c r="AI425" s="220"/>
      <c r="AJ425" s="220"/>
      <c r="AK425" s="220"/>
      <c r="AL425" s="220"/>
      <c r="AM425" s="220"/>
      <c r="AN425" s="220"/>
      <c r="AO425" s="220"/>
      <c r="AP425" s="220"/>
      <c r="AQ425" s="220"/>
      <c r="AR425" s="220"/>
      <c r="AS425" s="220"/>
      <c r="AT425" s="220"/>
      <c r="AU425" s="220"/>
      <c r="AV425" s="220"/>
      <c r="AW425" s="220"/>
      <c r="AX425" s="220"/>
      <c r="AY425" s="220"/>
      <c r="AZ425" s="220"/>
    </row>
    <row r="426" ht="15.75" customHeight="1">
      <c r="A426" s="272"/>
      <c r="B426" s="291"/>
      <c r="C426" s="293"/>
      <c r="D426" s="293"/>
      <c r="E426" s="293"/>
      <c r="F426" s="294"/>
      <c r="G426" s="293"/>
      <c r="H426" s="295"/>
      <c r="I426" s="295"/>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20"/>
      <c r="AK426" s="220"/>
      <c r="AL426" s="220"/>
      <c r="AM426" s="220"/>
      <c r="AN426" s="220"/>
      <c r="AO426" s="220"/>
      <c r="AP426" s="220"/>
      <c r="AQ426" s="220"/>
      <c r="AR426" s="220"/>
      <c r="AS426" s="220"/>
      <c r="AT426" s="220"/>
      <c r="AU426" s="220"/>
      <c r="AV426" s="220"/>
      <c r="AW426" s="220"/>
      <c r="AX426" s="220"/>
      <c r="AY426" s="220"/>
      <c r="AZ426" s="220"/>
    </row>
    <row r="427" ht="15.75" customHeight="1">
      <c r="A427" s="272"/>
      <c r="B427" s="291"/>
      <c r="C427" s="293"/>
      <c r="D427" s="293"/>
      <c r="E427" s="293"/>
      <c r="F427" s="294"/>
      <c r="G427" s="293"/>
      <c r="H427" s="295"/>
      <c r="I427" s="295"/>
      <c r="J427" s="220"/>
      <c r="K427" s="220"/>
      <c r="L427" s="220"/>
      <c r="M427" s="220"/>
      <c r="N427" s="220"/>
      <c r="O427" s="220"/>
      <c r="P427" s="220"/>
      <c r="Q427" s="220"/>
      <c r="R427" s="220"/>
      <c r="S427" s="220"/>
      <c r="T427" s="220"/>
      <c r="U427" s="220"/>
      <c r="V427" s="220"/>
      <c r="W427" s="220"/>
      <c r="X427" s="220"/>
      <c r="Y427" s="220"/>
      <c r="Z427" s="220"/>
      <c r="AA427" s="220"/>
      <c r="AB427" s="220"/>
      <c r="AC427" s="220"/>
      <c r="AD427" s="220"/>
      <c r="AE427" s="220"/>
      <c r="AF427" s="220"/>
      <c r="AG427" s="220"/>
      <c r="AH427" s="220"/>
      <c r="AI427" s="220"/>
      <c r="AJ427" s="220"/>
      <c r="AK427" s="220"/>
      <c r="AL427" s="220"/>
      <c r="AM427" s="220"/>
      <c r="AN427" s="220"/>
      <c r="AO427" s="220"/>
      <c r="AP427" s="220"/>
      <c r="AQ427" s="220"/>
      <c r="AR427" s="220"/>
      <c r="AS427" s="220"/>
      <c r="AT427" s="220"/>
      <c r="AU427" s="220"/>
      <c r="AV427" s="220"/>
      <c r="AW427" s="220"/>
      <c r="AX427" s="220"/>
      <c r="AY427" s="220"/>
      <c r="AZ427" s="220"/>
    </row>
    <row r="428" ht="15.75" customHeight="1">
      <c r="A428" s="272"/>
      <c r="B428" s="291"/>
      <c r="C428" s="293"/>
      <c r="D428" s="293"/>
      <c r="E428" s="293"/>
      <c r="F428" s="294"/>
      <c r="G428" s="293"/>
      <c r="H428" s="295"/>
      <c r="I428" s="295"/>
      <c r="J428" s="220"/>
      <c r="K428" s="220"/>
      <c r="L428" s="220"/>
      <c r="M428" s="220"/>
      <c r="N428" s="220"/>
      <c r="O428" s="220"/>
      <c r="P428" s="220"/>
      <c r="Q428" s="220"/>
      <c r="R428" s="220"/>
      <c r="S428" s="220"/>
      <c r="T428" s="220"/>
      <c r="U428" s="220"/>
      <c r="V428" s="220"/>
      <c r="W428" s="220"/>
      <c r="X428" s="220"/>
      <c r="Y428" s="220"/>
      <c r="Z428" s="220"/>
      <c r="AA428" s="220"/>
      <c r="AB428" s="220"/>
      <c r="AC428" s="220"/>
      <c r="AD428" s="220"/>
      <c r="AE428" s="220"/>
      <c r="AF428" s="220"/>
      <c r="AG428" s="220"/>
      <c r="AH428" s="220"/>
      <c r="AI428" s="220"/>
      <c r="AJ428" s="220"/>
      <c r="AK428" s="220"/>
      <c r="AL428" s="220"/>
      <c r="AM428" s="220"/>
      <c r="AN428" s="220"/>
      <c r="AO428" s="220"/>
      <c r="AP428" s="220"/>
      <c r="AQ428" s="220"/>
      <c r="AR428" s="220"/>
      <c r="AS428" s="220"/>
      <c r="AT428" s="220"/>
      <c r="AU428" s="220"/>
      <c r="AV428" s="220"/>
      <c r="AW428" s="220"/>
      <c r="AX428" s="220"/>
      <c r="AY428" s="220"/>
      <c r="AZ428" s="220"/>
    </row>
    <row r="429" ht="15.75" customHeight="1">
      <c r="A429" s="272"/>
      <c r="B429" s="291"/>
      <c r="C429" s="293"/>
      <c r="D429" s="293"/>
      <c r="E429" s="293"/>
      <c r="F429" s="294"/>
      <c r="G429" s="293"/>
      <c r="H429" s="295"/>
      <c r="I429" s="295"/>
      <c r="J429" s="220"/>
      <c r="K429" s="220"/>
      <c r="L429" s="220"/>
      <c r="M429" s="220"/>
      <c r="N429" s="220"/>
      <c r="O429" s="220"/>
      <c r="P429" s="220"/>
      <c r="Q429" s="220"/>
      <c r="R429" s="220"/>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c r="AO429" s="220"/>
      <c r="AP429" s="220"/>
      <c r="AQ429" s="220"/>
      <c r="AR429" s="220"/>
      <c r="AS429" s="220"/>
      <c r="AT429" s="220"/>
      <c r="AU429" s="220"/>
      <c r="AV429" s="220"/>
      <c r="AW429" s="220"/>
      <c r="AX429" s="220"/>
      <c r="AY429" s="220"/>
      <c r="AZ429" s="220"/>
    </row>
    <row r="430" ht="15.75" customHeight="1">
      <c r="A430" s="272"/>
      <c r="B430" s="291"/>
      <c r="C430" s="293"/>
      <c r="D430" s="293"/>
      <c r="E430" s="293"/>
      <c r="F430" s="294"/>
      <c r="G430" s="293"/>
      <c r="H430" s="295"/>
      <c r="I430" s="295"/>
      <c r="J430" s="220"/>
      <c r="K430" s="220"/>
      <c r="L430" s="220"/>
      <c r="M430" s="220"/>
      <c r="N430" s="220"/>
      <c r="O430" s="220"/>
      <c r="P430" s="220"/>
      <c r="Q430" s="220"/>
      <c r="R430" s="220"/>
      <c r="S430" s="220"/>
      <c r="T430" s="220"/>
      <c r="U430" s="220"/>
      <c r="V430" s="220"/>
      <c r="W430" s="220"/>
      <c r="X430" s="220"/>
      <c r="Y430" s="220"/>
      <c r="Z430" s="220"/>
      <c r="AA430" s="220"/>
      <c r="AB430" s="220"/>
      <c r="AC430" s="220"/>
      <c r="AD430" s="220"/>
      <c r="AE430" s="220"/>
      <c r="AF430" s="220"/>
      <c r="AG430" s="220"/>
      <c r="AH430" s="220"/>
      <c r="AI430" s="220"/>
      <c r="AJ430" s="220"/>
      <c r="AK430" s="220"/>
      <c r="AL430" s="220"/>
      <c r="AM430" s="220"/>
      <c r="AN430" s="220"/>
      <c r="AO430" s="220"/>
      <c r="AP430" s="220"/>
      <c r="AQ430" s="220"/>
      <c r="AR430" s="220"/>
      <c r="AS430" s="220"/>
      <c r="AT430" s="220"/>
      <c r="AU430" s="220"/>
      <c r="AV430" s="220"/>
      <c r="AW430" s="220"/>
      <c r="AX430" s="220"/>
      <c r="AY430" s="220"/>
      <c r="AZ430" s="220"/>
    </row>
    <row r="431" ht="15.75" customHeight="1">
      <c r="A431" s="272"/>
      <c r="B431" s="291"/>
      <c r="C431" s="293"/>
      <c r="D431" s="293"/>
      <c r="E431" s="293"/>
      <c r="F431" s="294"/>
      <c r="G431" s="293"/>
      <c r="H431" s="295"/>
      <c r="I431" s="295"/>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c r="AQ431" s="220"/>
      <c r="AR431" s="220"/>
      <c r="AS431" s="220"/>
      <c r="AT431" s="220"/>
      <c r="AU431" s="220"/>
      <c r="AV431" s="220"/>
      <c r="AW431" s="220"/>
      <c r="AX431" s="220"/>
      <c r="AY431" s="220"/>
      <c r="AZ431" s="220"/>
    </row>
    <row r="432" ht="15.75" customHeight="1">
      <c r="A432" s="272"/>
      <c r="B432" s="291"/>
      <c r="C432" s="293"/>
      <c r="D432" s="293"/>
      <c r="E432" s="293"/>
      <c r="F432" s="294"/>
      <c r="G432" s="293"/>
      <c r="H432" s="295"/>
      <c r="I432" s="295"/>
      <c r="J432" s="220"/>
      <c r="K432" s="220"/>
      <c r="L432" s="220"/>
      <c r="M432" s="220"/>
      <c r="N432" s="220"/>
      <c r="O432" s="220"/>
      <c r="P432" s="220"/>
      <c r="Q432" s="220"/>
      <c r="R432" s="220"/>
      <c r="S432" s="220"/>
      <c r="T432" s="220"/>
      <c r="U432" s="220"/>
      <c r="V432" s="220"/>
      <c r="W432" s="220"/>
      <c r="X432" s="220"/>
      <c r="Y432" s="220"/>
      <c r="Z432" s="220"/>
      <c r="AA432" s="220"/>
      <c r="AB432" s="220"/>
      <c r="AC432" s="220"/>
      <c r="AD432" s="220"/>
      <c r="AE432" s="220"/>
      <c r="AF432" s="220"/>
      <c r="AG432" s="220"/>
      <c r="AH432" s="220"/>
      <c r="AI432" s="220"/>
      <c r="AJ432" s="220"/>
      <c r="AK432" s="220"/>
      <c r="AL432" s="220"/>
      <c r="AM432" s="220"/>
      <c r="AN432" s="220"/>
      <c r="AO432" s="220"/>
      <c r="AP432" s="220"/>
      <c r="AQ432" s="220"/>
      <c r="AR432" s="220"/>
      <c r="AS432" s="220"/>
      <c r="AT432" s="220"/>
      <c r="AU432" s="220"/>
      <c r="AV432" s="220"/>
      <c r="AW432" s="220"/>
      <c r="AX432" s="220"/>
      <c r="AY432" s="220"/>
      <c r="AZ432" s="220"/>
    </row>
    <row r="433" ht="15.75" customHeight="1">
      <c r="A433" s="272"/>
      <c r="B433" s="291"/>
      <c r="C433" s="293"/>
      <c r="D433" s="293"/>
      <c r="E433" s="293"/>
      <c r="F433" s="294"/>
      <c r="G433" s="293"/>
      <c r="H433" s="295"/>
      <c r="I433" s="295"/>
      <c r="J433" s="220"/>
      <c r="K433" s="220"/>
      <c r="L433" s="220"/>
      <c r="M433" s="220"/>
      <c r="N433" s="220"/>
      <c r="O433" s="220"/>
      <c r="P433" s="220"/>
      <c r="Q433" s="220"/>
      <c r="R433" s="220"/>
      <c r="S433" s="220"/>
      <c r="T433" s="220"/>
      <c r="U433" s="220"/>
      <c r="V433" s="220"/>
      <c r="W433" s="220"/>
      <c r="X433" s="220"/>
      <c r="Y433" s="220"/>
      <c r="Z433" s="220"/>
      <c r="AA433" s="220"/>
      <c r="AB433" s="220"/>
      <c r="AC433" s="220"/>
      <c r="AD433" s="220"/>
      <c r="AE433" s="220"/>
      <c r="AF433" s="220"/>
      <c r="AG433" s="220"/>
      <c r="AH433" s="220"/>
      <c r="AI433" s="220"/>
      <c r="AJ433" s="220"/>
      <c r="AK433" s="220"/>
      <c r="AL433" s="220"/>
      <c r="AM433" s="220"/>
      <c r="AN433" s="220"/>
      <c r="AO433" s="220"/>
      <c r="AP433" s="220"/>
      <c r="AQ433" s="220"/>
      <c r="AR433" s="220"/>
      <c r="AS433" s="220"/>
      <c r="AT433" s="220"/>
      <c r="AU433" s="220"/>
      <c r="AV433" s="220"/>
      <c r="AW433" s="220"/>
      <c r="AX433" s="220"/>
      <c r="AY433" s="220"/>
      <c r="AZ433" s="220"/>
    </row>
    <row r="434" ht="15.75" customHeight="1">
      <c r="A434" s="272"/>
      <c r="B434" s="291"/>
      <c r="C434" s="293"/>
      <c r="D434" s="293"/>
      <c r="E434" s="293"/>
      <c r="F434" s="294"/>
      <c r="G434" s="293"/>
      <c r="H434" s="295"/>
      <c r="I434" s="295"/>
      <c r="J434" s="220"/>
      <c r="K434" s="220"/>
      <c r="L434" s="220"/>
      <c r="M434" s="220"/>
      <c r="N434" s="220"/>
      <c r="O434" s="220"/>
      <c r="P434" s="220"/>
      <c r="Q434" s="220"/>
      <c r="R434" s="220"/>
      <c r="S434" s="220"/>
      <c r="T434" s="220"/>
      <c r="U434" s="220"/>
      <c r="V434" s="220"/>
      <c r="W434" s="220"/>
      <c r="X434" s="220"/>
      <c r="Y434" s="220"/>
      <c r="Z434" s="220"/>
      <c r="AA434" s="220"/>
      <c r="AB434" s="220"/>
      <c r="AC434" s="220"/>
      <c r="AD434" s="220"/>
      <c r="AE434" s="220"/>
      <c r="AF434" s="220"/>
      <c r="AG434" s="220"/>
      <c r="AH434" s="220"/>
      <c r="AI434" s="220"/>
      <c r="AJ434" s="220"/>
      <c r="AK434" s="220"/>
      <c r="AL434" s="220"/>
      <c r="AM434" s="220"/>
      <c r="AN434" s="220"/>
      <c r="AO434" s="220"/>
      <c r="AP434" s="220"/>
      <c r="AQ434" s="220"/>
      <c r="AR434" s="220"/>
      <c r="AS434" s="220"/>
      <c r="AT434" s="220"/>
      <c r="AU434" s="220"/>
      <c r="AV434" s="220"/>
      <c r="AW434" s="220"/>
      <c r="AX434" s="220"/>
      <c r="AY434" s="220"/>
      <c r="AZ434" s="220"/>
    </row>
    <row r="435" ht="15.75" customHeight="1">
      <c r="A435" s="272"/>
      <c r="B435" s="291"/>
      <c r="C435" s="293"/>
      <c r="D435" s="293"/>
      <c r="E435" s="293"/>
      <c r="F435" s="294"/>
      <c r="G435" s="293"/>
      <c r="H435" s="295"/>
      <c r="I435" s="295"/>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20"/>
      <c r="AK435" s="220"/>
      <c r="AL435" s="220"/>
      <c r="AM435" s="220"/>
      <c r="AN435" s="220"/>
      <c r="AO435" s="220"/>
      <c r="AP435" s="220"/>
      <c r="AQ435" s="220"/>
      <c r="AR435" s="220"/>
      <c r="AS435" s="220"/>
      <c r="AT435" s="220"/>
      <c r="AU435" s="220"/>
      <c r="AV435" s="220"/>
      <c r="AW435" s="220"/>
      <c r="AX435" s="220"/>
      <c r="AY435" s="220"/>
      <c r="AZ435" s="220"/>
    </row>
    <row r="436" ht="15.75" customHeight="1">
      <c r="A436" s="272"/>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220"/>
      <c r="AL436" s="220"/>
      <c r="AM436" s="220"/>
      <c r="AN436" s="220"/>
      <c r="AO436" s="220"/>
      <c r="AP436" s="220"/>
      <c r="AQ436" s="220"/>
      <c r="AR436" s="220"/>
      <c r="AS436" s="220"/>
      <c r="AT436" s="220"/>
      <c r="AU436" s="220"/>
      <c r="AV436" s="220"/>
      <c r="AW436" s="220"/>
      <c r="AX436" s="220"/>
      <c r="AY436" s="220"/>
      <c r="AZ436" s="220"/>
    </row>
    <row r="437" ht="15.75" customHeight="1">
      <c r="A437" s="272"/>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220"/>
      <c r="AL437" s="220"/>
      <c r="AM437" s="220"/>
      <c r="AN437" s="220"/>
      <c r="AO437" s="220"/>
      <c r="AP437" s="220"/>
      <c r="AQ437" s="220"/>
      <c r="AR437" s="220"/>
      <c r="AS437" s="220"/>
      <c r="AT437" s="220"/>
      <c r="AU437" s="220"/>
      <c r="AV437" s="220"/>
      <c r="AW437" s="220"/>
      <c r="AX437" s="220"/>
      <c r="AY437" s="220"/>
      <c r="AZ437" s="220"/>
    </row>
    <row r="438" ht="15.75" customHeight="1">
      <c r="A438" s="272"/>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c r="AA438" s="220"/>
      <c r="AB438" s="220"/>
      <c r="AC438" s="220"/>
      <c r="AD438" s="220"/>
      <c r="AE438" s="220"/>
      <c r="AF438" s="220"/>
      <c r="AG438" s="220"/>
      <c r="AH438" s="220"/>
      <c r="AI438" s="220"/>
      <c r="AJ438" s="220"/>
      <c r="AK438" s="220"/>
      <c r="AL438" s="220"/>
      <c r="AM438" s="220"/>
      <c r="AN438" s="220"/>
      <c r="AO438" s="220"/>
      <c r="AP438" s="220"/>
      <c r="AQ438" s="220"/>
      <c r="AR438" s="220"/>
      <c r="AS438" s="220"/>
      <c r="AT438" s="220"/>
      <c r="AU438" s="220"/>
      <c r="AV438" s="220"/>
      <c r="AW438" s="220"/>
      <c r="AX438" s="220"/>
      <c r="AY438" s="220"/>
      <c r="AZ438" s="220"/>
    </row>
    <row r="439" ht="15.75" customHeight="1">
      <c r="A439" s="272"/>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c r="AA439" s="220"/>
      <c r="AB439" s="220"/>
      <c r="AC439" s="220"/>
      <c r="AD439" s="220"/>
      <c r="AE439" s="220"/>
      <c r="AF439" s="220"/>
      <c r="AG439" s="220"/>
      <c r="AH439" s="220"/>
      <c r="AI439" s="220"/>
      <c r="AJ439" s="220"/>
      <c r="AK439" s="220"/>
      <c r="AL439" s="220"/>
      <c r="AM439" s="220"/>
      <c r="AN439" s="220"/>
      <c r="AO439" s="220"/>
      <c r="AP439" s="220"/>
      <c r="AQ439" s="220"/>
      <c r="AR439" s="220"/>
      <c r="AS439" s="220"/>
      <c r="AT439" s="220"/>
      <c r="AU439" s="220"/>
      <c r="AV439" s="220"/>
      <c r="AW439" s="220"/>
      <c r="AX439" s="220"/>
      <c r="AY439" s="220"/>
      <c r="AZ439" s="220"/>
    </row>
    <row r="440" ht="15.75" customHeight="1">
      <c r="A440" s="272"/>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20"/>
      <c r="AK440" s="220"/>
      <c r="AL440" s="220"/>
      <c r="AM440" s="220"/>
      <c r="AN440" s="220"/>
      <c r="AO440" s="220"/>
      <c r="AP440" s="220"/>
      <c r="AQ440" s="220"/>
      <c r="AR440" s="220"/>
      <c r="AS440" s="220"/>
      <c r="AT440" s="220"/>
      <c r="AU440" s="220"/>
      <c r="AV440" s="220"/>
      <c r="AW440" s="220"/>
      <c r="AX440" s="220"/>
      <c r="AY440" s="220"/>
      <c r="AZ440" s="220"/>
    </row>
    <row r="441" ht="15.75" customHeight="1">
      <c r="A441" s="272"/>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c r="AO441" s="220"/>
      <c r="AP441" s="220"/>
      <c r="AQ441" s="220"/>
      <c r="AR441" s="220"/>
      <c r="AS441" s="220"/>
      <c r="AT441" s="220"/>
      <c r="AU441" s="220"/>
      <c r="AV441" s="220"/>
      <c r="AW441" s="220"/>
      <c r="AX441" s="220"/>
      <c r="AY441" s="220"/>
      <c r="AZ441" s="220"/>
    </row>
    <row r="442" ht="15.75" customHeight="1">
      <c r="A442" s="272"/>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c r="AA442" s="220"/>
      <c r="AB442" s="220"/>
      <c r="AC442" s="220"/>
      <c r="AD442" s="220"/>
      <c r="AE442" s="220"/>
      <c r="AF442" s="220"/>
      <c r="AG442" s="220"/>
      <c r="AH442" s="220"/>
      <c r="AI442" s="220"/>
      <c r="AJ442" s="220"/>
      <c r="AK442" s="220"/>
      <c r="AL442" s="220"/>
      <c r="AM442" s="220"/>
      <c r="AN442" s="220"/>
      <c r="AO442" s="220"/>
      <c r="AP442" s="220"/>
      <c r="AQ442" s="220"/>
      <c r="AR442" s="220"/>
      <c r="AS442" s="220"/>
      <c r="AT442" s="220"/>
      <c r="AU442" s="220"/>
      <c r="AV442" s="220"/>
      <c r="AW442" s="220"/>
      <c r="AX442" s="220"/>
      <c r="AY442" s="220"/>
      <c r="AZ442" s="220"/>
    </row>
    <row r="443" ht="15.75" customHeight="1">
      <c r="A443" s="272"/>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c r="AA443" s="220"/>
      <c r="AB443" s="220"/>
      <c r="AC443" s="220"/>
      <c r="AD443" s="220"/>
      <c r="AE443" s="220"/>
      <c r="AF443" s="220"/>
      <c r="AG443" s="220"/>
      <c r="AH443" s="220"/>
      <c r="AI443" s="220"/>
      <c r="AJ443" s="220"/>
      <c r="AK443" s="220"/>
      <c r="AL443" s="220"/>
      <c r="AM443" s="220"/>
      <c r="AN443" s="220"/>
      <c r="AO443" s="220"/>
      <c r="AP443" s="220"/>
      <c r="AQ443" s="220"/>
      <c r="AR443" s="220"/>
      <c r="AS443" s="220"/>
      <c r="AT443" s="220"/>
      <c r="AU443" s="220"/>
      <c r="AV443" s="220"/>
      <c r="AW443" s="220"/>
      <c r="AX443" s="220"/>
      <c r="AY443" s="220"/>
      <c r="AZ443" s="220"/>
    </row>
    <row r="444" ht="15.75" customHeight="1">
      <c r="A444" s="272"/>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c r="AA444" s="220"/>
      <c r="AB444" s="220"/>
      <c r="AC444" s="220"/>
      <c r="AD444" s="220"/>
      <c r="AE444" s="220"/>
      <c r="AF444" s="220"/>
      <c r="AG444" s="220"/>
      <c r="AH444" s="220"/>
      <c r="AI444" s="220"/>
      <c r="AJ444" s="220"/>
      <c r="AK444" s="220"/>
      <c r="AL444" s="220"/>
      <c r="AM444" s="220"/>
      <c r="AN444" s="220"/>
      <c r="AO444" s="220"/>
      <c r="AP444" s="220"/>
      <c r="AQ444" s="220"/>
      <c r="AR444" s="220"/>
      <c r="AS444" s="220"/>
      <c r="AT444" s="220"/>
      <c r="AU444" s="220"/>
      <c r="AV444" s="220"/>
      <c r="AW444" s="220"/>
      <c r="AX444" s="220"/>
      <c r="AY444" s="220"/>
      <c r="AZ444" s="220"/>
    </row>
    <row r="445" ht="15.75" customHeight="1">
      <c r="A445" s="272"/>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0"/>
      <c r="AL445" s="220"/>
      <c r="AM445" s="220"/>
      <c r="AN445" s="220"/>
      <c r="AO445" s="220"/>
      <c r="AP445" s="220"/>
      <c r="AQ445" s="220"/>
      <c r="AR445" s="220"/>
      <c r="AS445" s="220"/>
      <c r="AT445" s="220"/>
      <c r="AU445" s="220"/>
      <c r="AV445" s="220"/>
      <c r="AW445" s="220"/>
      <c r="AX445" s="220"/>
      <c r="AY445" s="220"/>
      <c r="AZ445" s="220"/>
    </row>
    <row r="446" ht="15.75" customHeight="1">
      <c r="A446" s="272"/>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c r="AA446" s="220"/>
      <c r="AB446" s="220"/>
      <c r="AC446" s="220"/>
      <c r="AD446" s="220"/>
      <c r="AE446" s="220"/>
      <c r="AF446" s="220"/>
      <c r="AG446" s="220"/>
      <c r="AH446" s="220"/>
      <c r="AI446" s="220"/>
      <c r="AJ446" s="220"/>
      <c r="AK446" s="220"/>
      <c r="AL446" s="220"/>
      <c r="AM446" s="220"/>
      <c r="AN446" s="220"/>
      <c r="AO446" s="220"/>
      <c r="AP446" s="220"/>
      <c r="AQ446" s="220"/>
      <c r="AR446" s="220"/>
      <c r="AS446" s="220"/>
      <c r="AT446" s="220"/>
      <c r="AU446" s="220"/>
      <c r="AV446" s="220"/>
      <c r="AW446" s="220"/>
      <c r="AX446" s="220"/>
      <c r="AY446" s="220"/>
      <c r="AZ446" s="220"/>
    </row>
    <row r="447" ht="15.75" customHeight="1">
      <c r="A447" s="272"/>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c r="AA447" s="220"/>
      <c r="AB447" s="220"/>
      <c r="AC447" s="220"/>
      <c r="AD447" s="220"/>
      <c r="AE447" s="220"/>
      <c r="AF447" s="220"/>
      <c r="AG447" s="220"/>
      <c r="AH447" s="220"/>
      <c r="AI447" s="220"/>
      <c r="AJ447" s="220"/>
      <c r="AK447" s="220"/>
      <c r="AL447" s="220"/>
      <c r="AM447" s="220"/>
      <c r="AN447" s="220"/>
      <c r="AO447" s="220"/>
      <c r="AP447" s="220"/>
      <c r="AQ447" s="220"/>
      <c r="AR447" s="220"/>
      <c r="AS447" s="220"/>
      <c r="AT447" s="220"/>
      <c r="AU447" s="220"/>
      <c r="AV447" s="220"/>
      <c r="AW447" s="220"/>
      <c r="AX447" s="220"/>
      <c r="AY447" s="220"/>
      <c r="AZ447" s="220"/>
    </row>
    <row r="448" ht="15.75" customHeight="1">
      <c r="A448" s="272"/>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c r="AA448" s="220"/>
      <c r="AB448" s="220"/>
      <c r="AC448" s="220"/>
      <c r="AD448" s="220"/>
      <c r="AE448" s="220"/>
      <c r="AF448" s="220"/>
      <c r="AG448" s="220"/>
      <c r="AH448" s="220"/>
      <c r="AI448" s="220"/>
      <c r="AJ448" s="220"/>
      <c r="AK448" s="220"/>
      <c r="AL448" s="220"/>
      <c r="AM448" s="220"/>
      <c r="AN448" s="220"/>
      <c r="AO448" s="220"/>
      <c r="AP448" s="220"/>
      <c r="AQ448" s="220"/>
      <c r="AR448" s="220"/>
      <c r="AS448" s="220"/>
      <c r="AT448" s="220"/>
      <c r="AU448" s="220"/>
      <c r="AV448" s="220"/>
      <c r="AW448" s="220"/>
      <c r="AX448" s="220"/>
      <c r="AY448" s="220"/>
      <c r="AZ448" s="220"/>
    </row>
    <row r="449" ht="15.75" customHeight="1">
      <c r="A449" s="272"/>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c r="AA449" s="220"/>
      <c r="AB449" s="220"/>
      <c r="AC449" s="220"/>
      <c r="AD449" s="220"/>
      <c r="AE449" s="220"/>
      <c r="AF449" s="220"/>
      <c r="AG449" s="220"/>
      <c r="AH449" s="220"/>
      <c r="AI449" s="220"/>
      <c r="AJ449" s="220"/>
      <c r="AK449" s="220"/>
      <c r="AL449" s="220"/>
      <c r="AM449" s="220"/>
      <c r="AN449" s="220"/>
      <c r="AO449" s="220"/>
      <c r="AP449" s="220"/>
      <c r="AQ449" s="220"/>
      <c r="AR449" s="220"/>
      <c r="AS449" s="220"/>
      <c r="AT449" s="220"/>
      <c r="AU449" s="220"/>
      <c r="AV449" s="220"/>
      <c r="AW449" s="220"/>
      <c r="AX449" s="220"/>
      <c r="AY449" s="220"/>
      <c r="AZ449" s="220"/>
    </row>
    <row r="450" ht="15.75" customHeight="1">
      <c r="A450" s="272"/>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c r="AQ450" s="220"/>
      <c r="AR450" s="220"/>
      <c r="AS450" s="220"/>
      <c r="AT450" s="220"/>
      <c r="AU450" s="220"/>
      <c r="AV450" s="220"/>
      <c r="AW450" s="220"/>
      <c r="AX450" s="220"/>
      <c r="AY450" s="220"/>
      <c r="AZ450" s="220"/>
    </row>
    <row r="451" ht="15.75" customHeight="1">
      <c r="A451" s="272"/>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c r="AA451" s="220"/>
      <c r="AB451" s="220"/>
      <c r="AC451" s="220"/>
      <c r="AD451" s="220"/>
      <c r="AE451" s="220"/>
      <c r="AF451" s="220"/>
      <c r="AG451" s="220"/>
      <c r="AH451" s="220"/>
      <c r="AI451" s="220"/>
      <c r="AJ451" s="220"/>
      <c r="AK451" s="220"/>
      <c r="AL451" s="220"/>
      <c r="AM451" s="220"/>
      <c r="AN451" s="220"/>
      <c r="AO451" s="220"/>
      <c r="AP451" s="220"/>
      <c r="AQ451" s="220"/>
      <c r="AR451" s="220"/>
      <c r="AS451" s="220"/>
      <c r="AT451" s="220"/>
      <c r="AU451" s="220"/>
      <c r="AV451" s="220"/>
      <c r="AW451" s="220"/>
      <c r="AX451" s="220"/>
      <c r="AY451" s="220"/>
      <c r="AZ451" s="220"/>
    </row>
    <row r="452" ht="15.75" customHeight="1">
      <c r="A452" s="272"/>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c r="AA452" s="220"/>
      <c r="AB452" s="220"/>
      <c r="AC452" s="220"/>
      <c r="AD452" s="220"/>
      <c r="AE452" s="220"/>
      <c r="AF452" s="220"/>
      <c r="AG452" s="220"/>
      <c r="AH452" s="220"/>
      <c r="AI452" s="220"/>
      <c r="AJ452" s="220"/>
      <c r="AK452" s="220"/>
      <c r="AL452" s="220"/>
      <c r="AM452" s="220"/>
      <c r="AN452" s="220"/>
      <c r="AO452" s="220"/>
      <c r="AP452" s="220"/>
      <c r="AQ452" s="220"/>
      <c r="AR452" s="220"/>
      <c r="AS452" s="220"/>
      <c r="AT452" s="220"/>
      <c r="AU452" s="220"/>
      <c r="AV452" s="220"/>
      <c r="AW452" s="220"/>
      <c r="AX452" s="220"/>
      <c r="AY452" s="220"/>
      <c r="AZ452" s="220"/>
    </row>
    <row r="453" ht="15.75" customHeight="1">
      <c r="A453" s="272"/>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c r="AN453" s="220"/>
      <c r="AO453" s="220"/>
      <c r="AP453" s="220"/>
      <c r="AQ453" s="220"/>
      <c r="AR453" s="220"/>
      <c r="AS453" s="220"/>
      <c r="AT453" s="220"/>
      <c r="AU453" s="220"/>
      <c r="AV453" s="220"/>
      <c r="AW453" s="220"/>
      <c r="AX453" s="220"/>
      <c r="AY453" s="220"/>
      <c r="AZ453" s="220"/>
    </row>
    <row r="454" ht="15.75" customHeight="1">
      <c r="A454" s="272"/>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c r="AB454" s="220"/>
      <c r="AC454" s="220"/>
      <c r="AD454" s="220"/>
      <c r="AE454" s="220"/>
      <c r="AF454" s="220"/>
      <c r="AG454" s="220"/>
      <c r="AH454" s="220"/>
      <c r="AI454" s="220"/>
      <c r="AJ454" s="220"/>
      <c r="AK454" s="220"/>
      <c r="AL454" s="220"/>
      <c r="AM454" s="220"/>
      <c r="AN454" s="220"/>
      <c r="AO454" s="220"/>
      <c r="AP454" s="220"/>
      <c r="AQ454" s="220"/>
      <c r="AR454" s="220"/>
      <c r="AS454" s="220"/>
      <c r="AT454" s="220"/>
      <c r="AU454" s="220"/>
      <c r="AV454" s="220"/>
      <c r="AW454" s="220"/>
      <c r="AX454" s="220"/>
      <c r="AY454" s="220"/>
      <c r="AZ454" s="220"/>
    </row>
    <row r="455" ht="15.75" customHeight="1">
      <c r="A455" s="272"/>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c r="AA455" s="220"/>
      <c r="AB455" s="220"/>
      <c r="AC455" s="220"/>
      <c r="AD455" s="220"/>
      <c r="AE455" s="220"/>
      <c r="AF455" s="220"/>
      <c r="AG455" s="220"/>
      <c r="AH455" s="220"/>
      <c r="AI455" s="220"/>
      <c r="AJ455" s="220"/>
      <c r="AK455" s="220"/>
      <c r="AL455" s="220"/>
      <c r="AM455" s="220"/>
      <c r="AN455" s="220"/>
      <c r="AO455" s="220"/>
      <c r="AP455" s="220"/>
      <c r="AQ455" s="220"/>
      <c r="AR455" s="220"/>
      <c r="AS455" s="220"/>
      <c r="AT455" s="220"/>
      <c r="AU455" s="220"/>
      <c r="AV455" s="220"/>
      <c r="AW455" s="220"/>
      <c r="AX455" s="220"/>
      <c r="AY455" s="220"/>
      <c r="AZ455" s="220"/>
    </row>
    <row r="456" ht="15.75" customHeight="1">
      <c r="A456" s="272"/>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c r="AA456" s="220"/>
      <c r="AB456" s="220"/>
      <c r="AC456" s="220"/>
      <c r="AD456" s="220"/>
      <c r="AE456" s="220"/>
      <c r="AF456" s="220"/>
      <c r="AG456" s="220"/>
      <c r="AH456" s="220"/>
      <c r="AI456" s="220"/>
      <c r="AJ456" s="220"/>
      <c r="AK456" s="220"/>
      <c r="AL456" s="220"/>
      <c r="AM456" s="220"/>
      <c r="AN456" s="220"/>
      <c r="AO456" s="220"/>
      <c r="AP456" s="220"/>
      <c r="AQ456" s="220"/>
      <c r="AR456" s="220"/>
      <c r="AS456" s="220"/>
      <c r="AT456" s="220"/>
      <c r="AU456" s="220"/>
      <c r="AV456" s="220"/>
      <c r="AW456" s="220"/>
      <c r="AX456" s="220"/>
      <c r="AY456" s="220"/>
      <c r="AZ456" s="220"/>
    </row>
    <row r="457" ht="15.75" customHeight="1">
      <c r="A457" s="272"/>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c r="AB457" s="220"/>
      <c r="AC457" s="220"/>
      <c r="AD457" s="220"/>
      <c r="AE457" s="220"/>
      <c r="AF457" s="220"/>
      <c r="AG457" s="220"/>
      <c r="AH457" s="220"/>
      <c r="AI457" s="220"/>
      <c r="AJ457" s="220"/>
      <c r="AK457" s="220"/>
      <c r="AL457" s="220"/>
      <c r="AM457" s="220"/>
      <c r="AN457" s="220"/>
      <c r="AO457" s="220"/>
      <c r="AP457" s="220"/>
      <c r="AQ457" s="220"/>
      <c r="AR457" s="220"/>
      <c r="AS457" s="220"/>
      <c r="AT457" s="220"/>
      <c r="AU457" s="220"/>
      <c r="AV457" s="220"/>
      <c r="AW457" s="220"/>
      <c r="AX457" s="220"/>
      <c r="AY457" s="220"/>
      <c r="AZ457" s="220"/>
    </row>
    <row r="458" ht="15.75" customHeight="1">
      <c r="A458" s="272"/>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220"/>
      <c r="AN458" s="220"/>
      <c r="AO458" s="220"/>
      <c r="AP458" s="220"/>
      <c r="AQ458" s="220"/>
      <c r="AR458" s="220"/>
      <c r="AS458" s="220"/>
      <c r="AT458" s="220"/>
      <c r="AU458" s="220"/>
      <c r="AV458" s="220"/>
      <c r="AW458" s="220"/>
      <c r="AX458" s="220"/>
      <c r="AY458" s="220"/>
      <c r="AZ458" s="220"/>
    </row>
    <row r="459" ht="15.75" customHeight="1">
      <c r="A459" s="272"/>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220"/>
      <c r="AN459" s="220"/>
      <c r="AO459" s="220"/>
      <c r="AP459" s="220"/>
      <c r="AQ459" s="220"/>
      <c r="AR459" s="220"/>
      <c r="AS459" s="220"/>
      <c r="AT459" s="220"/>
      <c r="AU459" s="220"/>
      <c r="AV459" s="220"/>
      <c r="AW459" s="220"/>
      <c r="AX459" s="220"/>
      <c r="AY459" s="220"/>
      <c r="AZ459" s="220"/>
    </row>
    <row r="460" ht="15.75" customHeight="1">
      <c r="A460" s="272"/>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0"/>
      <c r="AL460" s="220"/>
      <c r="AM460" s="220"/>
      <c r="AN460" s="220"/>
      <c r="AO460" s="220"/>
      <c r="AP460" s="220"/>
      <c r="AQ460" s="220"/>
      <c r="AR460" s="220"/>
      <c r="AS460" s="220"/>
      <c r="AT460" s="220"/>
      <c r="AU460" s="220"/>
      <c r="AV460" s="220"/>
      <c r="AW460" s="220"/>
      <c r="AX460" s="220"/>
      <c r="AY460" s="220"/>
      <c r="AZ460" s="220"/>
    </row>
    <row r="461" ht="15.75" customHeight="1">
      <c r="A461" s="272"/>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220"/>
      <c r="AL461" s="220"/>
      <c r="AM461" s="220"/>
      <c r="AN461" s="220"/>
      <c r="AO461" s="220"/>
      <c r="AP461" s="220"/>
      <c r="AQ461" s="220"/>
      <c r="AR461" s="220"/>
      <c r="AS461" s="220"/>
      <c r="AT461" s="220"/>
      <c r="AU461" s="220"/>
      <c r="AV461" s="220"/>
      <c r="AW461" s="220"/>
      <c r="AX461" s="220"/>
      <c r="AY461" s="220"/>
      <c r="AZ461" s="220"/>
    </row>
    <row r="462" ht="15.75" customHeight="1">
      <c r="A462" s="272"/>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c r="AA462" s="220"/>
      <c r="AB462" s="220"/>
      <c r="AC462" s="220"/>
      <c r="AD462" s="220"/>
      <c r="AE462" s="220"/>
      <c r="AF462" s="220"/>
      <c r="AG462" s="220"/>
      <c r="AH462" s="220"/>
      <c r="AI462" s="220"/>
      <c r="AJ462" s="220"/>
      <c r="AK462" s="220"/>
      <c r="AL462" s="220"/>
      <c r="AM462" s="220"/>
      <c r="AN462" s="220"/>
      <c r="AO462" s="220"/>
      <c r="AP462" s="220"/>
      <c r="AQ462" s="220"/>
      <c r="AR462" s="220"/>
      <c r="AS462" s="220"/>
      <c r="AT462" s="220"/>
      <c r="AU462" s="220"/>
      <c r="AV462" s="220"/>
      <c r="AW462" s="220"/>
      <c r="AX462" s="220"/>
      <c r="AY462" s="220"/>
      <c r="AZ462" s="220"/>
    </row>
    <row r="463" ht="15.75" customHeight="1">
      <c r="A463" s="272"/>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c r="AA463" s="220"/>
      <c r="AB463" s="220"/>
      <c r="AC463" s="220"/>
      <c r="AD463" s="220"/>
      <c r="AE463" s="220"/>
      <c r="AF463" s="220"/>
      <c r="AG463" s="220"/>
      <c r="AH463" s="220"/>
      <c r="AI463" s="220"/>
      <c r="AJ463" s="220"/>
      <c r="AK463" s="220"/>
      <c r="AL463" s="220"/>
      <c r="AM463" s="220"/>
      <c r="AN463" s="220"/>
      <c r="AO463" s="220"/>
      <c r="AP463" s="220"/>
      <c r="AQ463" s="220"/>
      <c r="AR463" s="220"/>
      <c r="AS463" s="220"/>
      <c r="AT463" s="220"/>
      <c r="AU463" s="220"/>
      <c r="AV463" s="220"/>
      <c r="AW463" s="220"/>
      <c r="AX463" s="220"/>
      <c r="AY463" s="220"/>
      <c r="AZ463" s="220"/>
    </row>
    <row r="464" ht="15.75" customHeight="1">
      <c r="A464" s="272"/>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c r="AN464" s="220"/>
      <c r="AO464" s="220"/>
      <c r="AP464" s="220"/>
      <c r="AQ464" s="220"/>
      <c r="AR464" s="220"/>
      <c r="AS464" s="220"/>
      <c r="AT464" s="220"/>
      <c r="AU464" s="220"/>
      <c r="AV464" s="220"/>
      <c r="AW464" s="220"/>
      <c r="AX464" s="220"/>
      <c r="AY464" s="220"/>
      <c r="AZ464" s="220"/>
    </row>
    <row r="465" ht="15.75" customHeight="1">
      <c r="A465" s="272"/>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c r="AQ465" s="220"/>
      <c r="AR465" s="220"/>
      <c r="AS465" s="220"/>
      <c r="AT465" s="220"/>
      <c r="AU465" s="220"/>
      <c r="AV465" s="220"/>
      <c r="AW465" s="220"/>
      <c r="AX465" s="220"/>
      <c r="AY465" s="220"/>
      <c r="AZ465" s="220"/>
    </row>
    <row r="466" ht="15.75" customHeight="1">
      <c r="A466" s="272"/>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c r="AA466" s="220"/>
      <c r="AB466" s="220"/>
      <c r="AC466" s="220"/>
      <c r="AD466" s="220"/>
      <c r="AE466" s="220"/>
      <c r="AF466" s="220"/>
      <c r="AG466" s="220"/>
      <c r="AH466" s="220"/>
      <c r="AI466" s="220"/>
      <c r="AJ466" s="220"/>
      <c r="AK466" s="220"/>
      <c r="AL466" s="220"/>
      <c r="AM466" s="220"/>
      <c r="AN466" s="220"/>
      <c r="AO466" s="220"/>
      <c r="AP466" s="220"/>
      <c r="AQ466" s="220"/>
      <c r="AR466" s="220"/>
      <c r="AS466" s="220"/>
      <c r="AT466" s="220"/>
      <c r="AU466" s="220"/>
      <c r="AV466" s="220"/>
      <c r="AW466" s="220"/>
      <c r="AX466" s="220"/>
      <c r="AY466" s="220"/>
      <c r="AZ466" s="220"/>
    </row>
    <row r="467" ht="15.75" customHeight="1">
      <c r="A467" s="272"/>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c r="AA467" s="220"/>
      <c r="AB467" s="220"/>
      <c r="AC467" s="220"/>
      <c r="AD467" s="220"/>
      <c r="AE467" s="220"/>
      <c r="AF467" s="220"/>
      <c r="AG467" s="220"/>
      <c r="AH467" s="220"/>
      <c r="AI467" s="220"/>
      <c r="AJ467" s="220"/>
      <c r="AK467" s="220"/>
      <c r="AL467" s="220"/>
      <c r="AM467" s="220"/>
      <c r="AN467" s="220"/>
      <c r="AO467" s="220"/>
      <c r="AP467" s="220"/>
      <c r="AQ467" s="220"/>
      <c r="AR467" s="220"/>
      <c r="AS467" s="220"/>
      <c r="AT467" s="220"/>
      <c r="AU467" s="220"/>
      <c r="AV467" s="220"/>
      <c r="AW467" s="220"/>
      <c r="AX467" s="220"/>
      <c r="AY467" s="220"/>
      <c r="AZ467" s="220"/>
    </row>
    <row r="468" ht="15.75" customHeight="1">
      <c r="A468" s="272"/>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c r="AA468" s="220"/>
      <c r="AB468" s="220"/>
      <c r="AC468" s="220"/>
      <c r="AD468" s="220"/>
      <c r="AE468" s="220"/>
      <c r="AF468" s="220"/>
      <c r="AG468" s="220"/>
      <c r="AH468" s="220"/>
      <c r="AI468" s="220"/>
      <c r="AJ468" s="220"/>
      <c r="AK468" s="220"/>
      <c r="AL468" s="220"/>
      <c r="AM468" s="220"/>
      <c r="AN468" s="220"/>
      <c r="AO468" s="220"/>
      <c r="AP468" s="220"/>
      <c r="AQ468" s="220"/>
      <c r="AR468" s="220"/>
      <c r="AS468" s="220"/>
      <c r="AT468" s="220"/>
      <c r="AU468" s="220"/>
      <c r="AV468" s="220"/>
      <c r="AW468" s="220"/>
      <c r="AX468" s="220"/>
      <c r="AY468" s="220"/>
      <c r="AZ468" s="220"/>
    </row>
    <row r="469" ht="15.75" customHeight="1">
      <c r="A469" s="272"/>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0"/>
      <c r="AL469" s="220"/>
      <c r="AM469" s="220"/>
      <c r="AN469" s="220"/>
      <c r="AO469" s="220"/>
      <c r="AP469" s="220"/>
      <c r="AQ469" s="220"/>
      <c r="AR469" s="220"/>
      <c r="AS469" s="220"/>
      <c r="AT469" s="220"/>
      <c r="AU469" s="220"/>
      <c r="AV469" s="220"/>
      <c r="AW469" s="220"/>
      <c r="AX469" s="220"/>
      <c r="AY469" s="220"/>
      <c r="AZ469" s="220"/>
    </row>
    <row r="470" ht="15.75" customHeight="1">
      <c r="A470" s="272"/>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220"/>
      <c r="AL470" s="220"/>
      <c r="AM470" s="220"/>
      <c r="AN470" s="220"/>
      <c r="AO470" s="220"/>
      <c r="AP470" s="220"/>
      <c r="AQ470" s="220"/>
      <c r="AR470" s="220"/>
      <c r="AS470" s="220"/>
      <c r="AT470" s="220"/>
      <c r="AU470" s="220"/>
      <c r="AV470" s="220"/>
      <c r="AW470" s="220"/>
      <c r="AX470" s="220"/>
      <c r="AY470" s="220"/>
      <c r="AZ470" s="220"/>
    </row>
    <row r="471" ht="15.75" customHeight="1">
      <c r="A471" s="272"/>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c r="AA471" s="220"/>
      <c r="AB471" s="220"/>
      <c r="AC471" s="220"/>
      <c r="AD471" s="220"/>
      <c r="AE471" s="220"/>
      <c r="AF471" s="220"/>
      <c r="AG471" s="220"/>
      <c r="AH471" s="220"/>
      <c r="AI471" s="220"/>
      <c r="AJ471" s="220"/>
      <c r="AK471" s="220"/>
      <c r="AL471" s="220"/>
      <c r="AM471" s="220"/>
      <c r="AN471" s="220"/>
      <c r="AO471" s="220"/>
      <c r="AP471" s="220"/>
      <c r="AQ471" s="220"/>
      <c r="AR471" s="220"/>
      <c r="AS471" s="220"/>
      <c r="AT471" s="220"/>
      <c r="AU471" s="220"/>
      <c r="AV471" s="220"/>
      <c r="AW471" s="220"/>
      <c r="AX471" s="220"/>
      <c r="AY471" s="220"/>
      <c r="AZ471" s="220"/>
    </row>
    <row r="472" ht="15.75" customHeight="1">
      <c r="A472" s="272"/>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c r="AA472" s="220"/>
      <c r="AB472" s="220"/>
      <c r="AC472" s="220"/>
      <c r="AD472" s="220"/>
      <c r="AE472" s="220"/>
      <c r="AF472" s="220"/>
      <c r="AG472" s="220"/>
      <c r="AH472" s="220"/>
      <c r="AI472" s="220"/>
      <c r="AJ472" s="220"/>
      <c r="AK472" s="220"/>
      <c r="AL472" s="220"/>
      <c r="AM472" s="220"/>
      <c r="AN472" s="220"/>
      <c r="AO472" s="220"/>
      <c r="AP472" s="220"/>
      <c r="AQ472" s="220"/>
      <c r="AR472" s="220"/>
      <c r="AS472" s="220"/>
      <c r="AT472" s="220"/>
      <c r="AU472" s="220"/>
      <c r="AV472" s="220"/>
      <c r="AW472" s="220"/>
      <c r="AX472" s="220"/>
      <c r="AY472" s="220"/>
      <c r="AZ472" s="220"/>
    </row>
    <row r="473" ht="15.75" customHeight="1">
      <c r="A473" s="272"/>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220"/>
      <c r="AL473" s="220"/>
      <c r="AM473" s="220"/>
      <c r="AN473" s="220"/>
      <c r="AO473" s="220"/>
      <c r="AP473" s="220"/>
      <c r="AQ473" s="220"/>
      <c r="AR473" s="220"/>
      <c r="AS473" s="220"/>
      <c r="AT473" s="220"/>
      <c r="AU473" s="220"/>
      <c r="AV473" s="220"/>
      <c r="AW473" s="220"/>
      <c r="AX473" s="220"/>
      <c r="AY473" s="220"/>
      <c r="AZ473" s="220"/>
    </row>
    <row r="474" ht="15.75" customHeight="1">
      <c r="A474" s="272"/>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0"/>
      <c r="AL474" s="220"/>
      <c r="AM474" s="220"/>
      <c r="AN474" s="220"/>
      <c r="AO474" s="220"/>
      <c r="AP474" s="220"/>
      <c r="AQ474" s="220"/>
      <c r="AR474" s="220"/>
      <c r="AS474" s="220"/>
      <c r="AT474" s="220"/>
      <c r="AU474" s="220"/>
      <c r="AV474" s="220"/>
      <c r="AW474" s="220"/>
      <c r="AX474" s="220"/>
      <c r="AY474" s="220"/>
      <c r="AZ474" s="220"/>
    </row>
    <row r="475" ht="15.75" customHeight="1">
      <c r="A475" s="272"/>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c r="AA475" s="220"/>
      <c r="AB475" s="220"/>
      <c r="AC475" s="220"/>
      <c r="AD475" s="220"/>
      <c r="AE475" s="220"/>
      <c r="AF475" s="220"/>
      <c r="AG475" s="220"/>
      <c r="AH475" s="220"/>
      <c r="AI475" s="220"/>
      <c r="AJ475" s="220"/>
      <c r="AK475" s="220"/>
      <c r="AL475" s="220"/>
      <c r="AM475" s="220"/>
      <c r="AN475" s="220"/>
      <c r="AO475" s="220"/>
      <c r="AP475" s="220"/>
      <c r="AQ475" s="220"/>
      <c r="AR475" s="220"/>
      <c r="AS475" s="220"/>
      <c r="AT475" s="220"/>
      <c r="AU475" s="220"/>
      <c r="AV475" s="220"/>
      <c r="AW475" s="220"/>
      <c r="AX475" s="220"/>
      <c r="AY475" s="220"/>
      <c r="AZ475" s="220"/>
    </row>
    <row r="476" ht="15.75" customHeight="1">
      <c r="A476" s="272"/>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c r="AA476" s="220"/>
      <c r="AB476" s="220"/>
      <c r="AC476" s="220"/>
      <c r="AD476" s="220"/>
      <c r="AE476" s="220"/>
      <c r="AF476" s="220"/>
      <c r="AG476" s="220"/>
      <c r="AH476" s="220"/>
      <c r="AI476" s="220"/>
      <c r="AJ476" s="220"/>
      <c r="AK476" s="220"/>
      <c r="AL476" s="220"/>
      <c r="AM476" s="220"/>
      <c r="AN476" s="220"/>
      <c r="AO476" s="220"/>
      <c r="AP476" s="220"/>
      <c r="AQ476" s="220"/>
      <c r="AR476" s="220"/>
      <c r="AS476" s="220"/>
      <c r="AT476" s="220"/>
      <c r="AU476" s="220"/>
      <c r="AV476" s="220"/>
      <c r="AW476" s="220"/>
      <c r="AX476" s="220"/>
      <c r="AY476" s="220"/>
      <c r="AZ476" s="220"/>
    </row>
    <row r="477" ht="15.75" customHeight="1">
      <c r="A477" s="272"/>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c r="AO477" s="220"/>
      <c r="AP477" s="220"/>
      <c r="AQ477" s="220"/>
      <c r="AR477" s="220"/>
      <c r="AS477" s="220"/>
      <c r="AT477" s="220"/>
      <c r="AU477" s="220"/>
      <c r="AV477" s="220"/>
      <c r="AW477" s="220"/>
      <c r="AX477" s="220"/>
      <c r="AY477" s="220"/>
      <c r="AZ477" s="220"/>
    </row>
    <row r="478" ht="15.75" customHeight="1">
      <c r="A478" s="272"/>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c r="AA478" s="220"/>
      <c r="AB478" s="220"/>
      <c r="AC478" s="220"/>
      <c r="AD478" s="220"/>
      <c r="AE478" s="220"/>
      <c r="AF478" s="220"/>
      <c r="AG478" s="220"/>
      <c r="AH478" s="220"/>
      <c r="AI478" s="220"/>
      <c r="AJ478" s="220"/>
      <c r="AK478" s="220"/>
      <c r="AL478" s="220"/>
      <c r="AM478" s="220"/>
      <c r="AN478" s="220"/>
      <c r="AO478" s="220"/>
      <c r="AP478" s="220"/>
      <c r="AQ478" s="220"/>
      <c r="AR478" s="220"/>
      <c r="AS478" s="220"/>
      <c r="AT478" s="220"/>
      <c r="AU478" s="220"/>
      <c r="AV478" s="220"/>
      <c r="AW478" s="220"/>
      <c r="AX478" s="220"/>
      <c r="AY478" s="220"/>
      <c r="AZ478" s="220"/>
    </row>
    <row r="479" ht="15.75" customHeight="1">
      <c r="A479" s="272"/>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c r="AA479" s="220"/>
      <c r="AB479" s="220"/>
      <c r="AC479" s="220"/>
      <c r="AD479" s="220"/>
      <c r="AE479" s="220"/>
      <c r="AF479" s="220"/>
      <c r="AG479" s="220"/>
      <c r="AH479" s="220"/>
      <c r="AI479" s="220"/>
      <c r="AJ479" s="220"/>
      <c r="AK479" s="220"/>
      <c r="AL479" s="220"/>
      <c r="AM479" s="220"/>
      <c r="AN479" s="220"/>
      <c r="AO479" s="220"/>
      <c r="AP479" s="220"/>
      <c r="AQ479" s="220"/>
      <c r="AR479" s="220"/>
      <c r="AS479" s="220"/>
      <c r="AT479" s="220"/>
      <c r="AU479" s="220"/>
      <c r="AV479" s="220"/>
      <c r="AW479" s="220"/>
      <c r="AX479" s="220"/>
      <c r="AY479" s="220"/>
      <c r="AZ479" s="220"/>
    </row>
    <row r="480" ht="15.75" customHeight="1">
      <c r="A480" s="272"/>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c r="AQ480" s="220"/>
      <c r="AR480" s="220"/>
      <c r="AS480" s="220"/>
      <c r="AT480" s="220"/>
      <c r="AU480" s="220"/>
      <c r="AV480" s="220"/>
      <c r="AW480" s="220"/>
      <c r="AX480" s="220"/>
      <c r="AY480" s="220"/>
      <c r="AZ480" s="220"/>
    </row>
    <row r="481" ht="15.75" customHeight="1">
      <c r="A481" s="272"/>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220"/>
      <c r="AU481" s="220"/>
      <c r="AV481" s="220"/>
      <c r="AW481" s="220"/>
      <c r="AX481" s="220"/>
      <c r="AY481" s="220"/>
      <c r="AZ481" s="220"/>
    </row>
    <row r="482" ht="15.75" customHeight="1">
      <c r="A482" s="272"/>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c r="AA482" s="220"/>
      <c r="AB482" s="220"/>
      <c r="AC482" s="220"/>
      <c r="AD482" s="220"/>
      <c r="AE482" s="220"/>
      <c r="AF482" s="220"/>
      <c r="AG482" s="220"/>
      <c r="AH482" s="220"/>
      <c r="AI482" s="220"/>
      <c r="AJ482" s="220"/>
      <c r="AK482" s="220"/>
      <c r="AL482" s="220"/>
      <c r="AM482" s="220"/>
      <c r="AN482" s="220"/>
      <c r="AO482" s="220"/>
      <c r="AP482" s="220"/>
      <c r="AQ482" s="220"/>
      <c r="AR482" s="220"/>
      <c r="AS482" s="220"/>
      <c r="AT482" s="220"/>
      <c r="AU482" s="220"/>
      <c r="AV482" s="220"/>
      <c r="AW482" s="220"/>
      <c r="AX482" s="220"/>
      <c r="AY482" s="220"/>
      <c r="AZ482" s="220"/>
    </row>
    <row r="483" ht="15.75" customHeight="1">
      <c r="A483" s="272"/>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c r="AA483" s="220"/>
      <c r="AB483" s="220"/>
      <c r="AC483" s="220"/>
      <c r="AD483" s="220"/>
      <c r="AE483" s="220"/>
      <c r="AF483" s="220"/>
      <c r="AG483" s="220"/>
      <c r="AH483" s="220"/>
      <c r="AI483" s="220"/>
      <c r="AJ483" s="220"/>
      <c r="AK483" s="220"/>
      <c r="AL483" s="220"/>
      <c r="AM483" s="220"/>
      <c r="AN483" s="220"/>
      <c r="AO483" s="220"/>
      <c r="AP483" s="220"/>
      <c r="AQ483" s="220"/>
      <c r="AR483" s="220"/>
      <c r="AS483" s="220"/>
      <c r="AT483" s="220"/>
      <c r="AU483" s="220"/>
      <c r="AV483" s="220"/>
      <c r="AW483" s="220"/>
      <c r="AX483" s="220"/>
      <c r="AY483" s="220"/>
      <c r="AZ483" s="220"/>
    </row>
    <row r="484" ht="15.75" customHeight="1">
      <c r="A484" s="272"/>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c r="AA484" s="220"/>
      <c r="AB484" s="220"/>
      <c r="AC484" s="220"/>
      <c r="AD484" s="220"/>
      <c r="AE484" s="220"/>
      <c r="AF484" s="220"/>
      <c r="AG484" s="220"/>
      <c r="AH484" s="220"/>
      <c r="AI484" s="220"/>
      <c r="AJ484" s="220"/>
      <c r="AK484" s="220"/>
      <c r="AL484" s="220"/>
      <c r="AM484" s="220"/>
      <c r="AN484" s="220"/>
      <c r="AO484" s="220"/>
      <c r="AP484" s="220"/>
      <c r="AQ484" s="220"/>
      <c r="AR484" s="220"/>
      <c r="AS484" s="220"/>
      <c r="AT484" s="220"/>
      <c r="AU484" s="220"/>
      <c r="AV484" s="220"/>
      <c r="AW484" s="220"/>
      <c r="AX484" s="220"/>
      <c r="AY484" s="220"/>
      <c r="AZ484" s="220"/>
    </row>
    <row r="485" ht="15.75" customHeight="1">
      <c r="A485" s="272"/>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c r="AA485" s="220"/>
      <c r="AB485" s="220"/>
      <c r="AC485" s="220"/>
      <c r="AD485" s="220"/>
      <c r="AE485" s="220"/>
      <c r="AF485" s="220"/>
      <c r="AG485" s="220"/>
      <c r="AH485" s="220"/>
      <c r="AI485" s="220"/>
      <c r="AJ485" s="220"/>
      <c r="AK485" s="220"/>
      <c r="AL485" s="220"/>
      <c r="AM485" s="220"/>
      <c r="AN485" s="220"/>
      <c r="AO485" s="220"/>
      <c r="AP485" s="220"/>
      <c r="AQ485" s="220"/>
      <c r="AR485" s="220"/>
      <c r="AS485" s="220"/>
      <c r="AT485" s="220"/>
      <c r="AU485" s="220"/>
      <c r="AV485" s="220"/>
      <c r="AW485" s="220"/>
      <c r="AX485" s="220"/>
      <c r="AY485" s="220"/>
      <c r="AZ485" s="220"/>
    </row>
    <row r="486" ht="15.75" customHeight="1">
      <c r="A486" s="272"/>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c r="AA486" s="220"/>
      <c r="AB486" s="220"/>
      <c r="AC486" s="220"/>
      <c r="AD486" s="220"/>
      <c r="AE486" s="220"/>
      <c r="AF486" s="220"/>
      <c r="AG486" s="220"/>
      <c r="AH486" s="220"/>
      <c r="AI486" s="220"/>
      <c r="AJ486" s="220"/>
      <c r="AK486" s="220"/>
      <c r="AL486" s="220"/>
      <c r="AM486" s="220"/>
      <c r="AN486" s="220"/>
      <c r="AO486" s="220"/>
      <c r="AP486" s="220"/>
      <c r="AQ486" s="220"/>
      <c r="AR486" s="220"/>
      <c r="AS486" s="220"/>
      <c r="AT486" s="220"/>
      <c r="AU486" s="220"/>
      <c r="AV486" s="220"/>
      <c r="AW486" s="220"/>
      <c r="AX486" s="220"/>
      <c r="AY486" s="220"/>
      <c r="AZ486" s="220"/>
    </row>
    <row r="487" ht="15.75" customHeight="1">
      <c r="A487" s="272"/>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c r="AA487" s="220"/>
      <c r="AB487" s="220"/>
      <c r="AC487" s="220"/>
      <c r="AD487" s="220"/>
      <c r="AE487" s="220"/>
      <c r="AF487" s="220"/>
      <c r="AG487" s="220"/>
      <c r="AH487" s="220"/>
      <c r="AI487" s="220"/>
      <c r="AJ487" s="220"/>
      <c r="AK487" s="220"/>
      <c r="AL487" s="220"/>
      <c r="AM487" s="220"/>
      <c r="AN487" s="220"/>
      <c r="AO487" s="220"/>
      <c r="AP487" s="220"/>
      <c r="AQ487" s="220"/>
      <c r="AR487" s="220"/>
      <c r="AS487" s="220"/>
      <c r="AT487" s="220"/>
      <c r="AU487" s="220"/>
      <c r="AV487" s="220"/>
      <c r="AW487" s="220"/>
      <c r="AX487" s="220"/>
      <c r="AY487" s="220"/>
      <c r="AZ487" s="220"/>
    </row>
    <row r="488" ht="15.75" customHeight="1">
      <c r="A488" s="272"/>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c r="AA488" s="220"/>
      <c r="AB488" s="220"/>
      <c r="AC488" s="220"/>
      <c r="AD488" s="220"/>
      <c r="AE488" s="220"/>
      <c r="AF488" s="220"/>
      <c r="AG488" s="220"/>
      <c r="AH488" s="220"/>
      <c r="AI488" s="220"/>
      <c r="AJ488" s="220"/>
      <c r="AK488" s="220"/>
      <c r="AL488" s="220"/>
      <c r="AM488" s="220"/>
      <c r="AN488" s="220"/>
      <c r="AO488" s="220"/>
      <c r="AP488" s="220"/>
      <c r="AQ488" s="220"/>
      <c r="AR488" s="220"/>
      <c r="AS488" s="220"/>
      <c r="AT488" s="220"/>
      <c r="AU488" s="220"/>
      <c r="AV488" s="220"/>
      <c r="AW488" s="220"/>
      <c r="AX488" s="220"/>
      <c r="AY488" s="220"/>
      <c r="AZ488" s="220"/>
    </row>
    <row r="489" ht="15.75" customHeight="1">
      <c r="A489" s="272"/>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c r="AA489" s="220"/>
      <c r="AB489" s="220"/>
      <c r="AC489" s="220"/>
      <c r="AD489" s="220"/>
      <c r="AE489" s="220"/>
      <c r="AF489" s="220"/>
      <c r="AG489" s="220"/>
      <c r="AH489" s="220"/>
      <c r="AI489" s="220"/>
      <c r="AJ489" s="220"/>
      <c r="AK489" s="220"/>
      <c r="AL489" s="220"/>
      <c r="AM489" s="220"/>
      <c r="AN489" s="220"/>
      <c r="AO489" s="220"/>
      <c r="AP489" s="220"/>
      <c r="AQ489" s="220"/>
      <c r="AR489" s="220"/>
      <c r="AS489" s="220"/>
      <c r="AT489" s="220"/>
      <c r="AU489" s="220"/>
      <c r="AV489" s="220"/>
      <c r="AW489" s="220"/>
      <c r="AX489" s="220"/>
      <c r="AY489" s="220"/>
      <c r="AZ489" s="220"/>
    </row>
    <row r="490" ht="15.75" customHeight="1">
      <c r="A490" s="272"/>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c r="AA490" s="220"/>
      <c r="AB490" s="220"/>
      <c r="AC490" s="220"/>
      <c r="AD490" s="220"/>
      <c r="AE490" s="220"/>
      <c r="AF490" s="220"/>
      <c r="AG490" s="220"/>
      <c r="AH490" s="220"/>
      <c r="AI490" s="220"/>
      <c r="AJ490" s="220"/>
      <c r="AK490" s="220"/>
      <c r="AL490" s="220"/>
      <c r="AM490" s="220"/>
      <c r="AN490" s="220"/>
      <c r="AO490" s="220"/>
      <c r="AP490" s="220"/>
      <c r="AQ490" s="220"/>
      <c r="AR490" s="220"/>
      <c r="AS490" s="220"/>
      <c r="AT490" s="220"/>
      <c r="AU490" s="220"/>
      <c r="AV490" s="220"/>
      <c r="AW490" s="220"/>
      <c r="AX490" s="220"/>
      <c r="AY490" s="220"/>
      <c r="AZ490" s="220"/>
    </row>
    <row r="491" ht="15.75" customHeight="1">
      <c r="A491" s="272"/>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c r="AA491" s="220"/>
      <c r="AB491" s="220"/>
      <c r="AC491" s="220"/>
      <c r="AD491" s="220"/>
      <c r="AE491" s="220"/>
      <c r="AF491" s="220"/>
      <c r="AG491" s="220"/>
      <c r="AH491" s="220"/>
      <c r="AI491" s="220"/>
      <c r="AJ491" s="220"/>
      <c r="AK491" s="220"/>
      <c r="AL491" s="220"/>
      <c r="AM491" s="220"/>
      <c r="AN491" s="220"/>
      <c r="AO491" s="220"/>
      <c r="AP491" s="220"/>
      <c r="AQ491" s="220"/>
      <c r="AR491" s="220"/>
      <c r="AS491" s="220"/>
      <c r="AT491" s="220"/>
      <c r="AU491" s="220"/>
      <c r="AV491" s="220"/>
      <c r="AW491" s="220"/>
      <c r="AX491" s="220"/>
      <c r="AY491" s="220"/>
      <c r="AZ491" s="220"/>
    </row>
    <row r="492" ht="15.75" customHeight="1">
      <c r="A492" s="272"/>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c r="AA492" s="220"/>
      <c r="AB492" s="220"/>
      <c r="AC492" s="220"/>
      <c r="AD492" s="220"/>
      <c r="AE492" s="220"/>
      <c r="AF492" s="220"/>
      <c r="AG492" s="220"/>
      <c r="AH492" s="220"/>
      <c r="AI492" s="220"/>
      <c r="AJ492" s="220"/>
      <c r="AK492" s="220"/>
      <c r="AL492" s="220"/>
      <c r="AM492" s="220"/>
      <c r="AN492" s="220"/>
      <c r="AO492" s="220"/>
      <c r="AP492" s="220"/>
      <c r="AQ492" s="220"/>
      <c r="AR492" s="220"/>
      <c r="AS492" s="220"/>
      <c r="AT492" s="220"/>
      <c r="AU492" s="220"/>
      <c r="AV492" s="220"/>
      <c r="AW492" s="220"/>
      <c r="AX492" s="220"/>
      <c r="AY492" s="220"/>
      <c r="AZ492" s="220"/>
    </row>
    <row r="493" ht="15.75" customHeight="1">
      <c r="A493" s="272"/>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c r="AA493" s="220"/>
      <c r="AB493" s="220"/>
      <c r="AC493" s="220"/>
      <c r="AD493" s="220"/>
      <c r="AE493" s="220"/>
      <c r="AF493" s="220"/>
      <c r="AG493" s="220"/>
      <c r="AH493" s="220"/>
      <c r="AI493" s="220"/>
      <c r="AJ493" s="220"/>
      <c r="AK493" s="220"/>
      <c r="AL493" s="220"/>
      <c r="AM493" s="220"/>
      <c r="AN493" s="220"/>
      <c r="AO493" s="220"/>
      <c r="AP493" s="220"/>
      <c r="AQ493" s="220"/>
      <c r="AR493" s="220"/>
      <c r="AS493" s="220"/>
      <c r="AT493" s="220"/>
      <c r="AU493" s="220"/>
      <c r="AV493" s="220"/>
      <c r="AW493" s="220"/>
      <c r="AX493" s="220"/>
      <c r="AY493" s="220"/>
      <c r="AZ493" s="220"/>
    </row>
    <row r="494" ht="15.75" customHeight="1">
      <c r="A494" s="272"/>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c r="AA494" s="220"/>
      <c r="AB494" s="220"/>
      <c r="AC494" s="220"/>
      <c r="AD494" s="220"/>
      <c r="AE494" s="220"/>
      <c r="AF494" s="220"/>
      <c r="AG494" s="220"/>
      <c r="AH494" s="220"/>
      <c r="AI494" s="220"/>
      <c r="AJ494" s="220"/>
      <c r="AK494" s="220"/>
      <c r="AL494" s="220"/>
      <c r="AM494" s="220"/>
      <c r="AN494" s="220"/>
      <c r="AO494" s="220"/>
      <c r="AP494" s="220"/>
      <c r="AQ494" s="220"/>
      <c r="AR494" s="220"/>
      <c r="AS494" s="220"/>
      <c r="AT494" s="220"/>
      <c r="AU494" s="220"/>
      <c r="AV494" s="220"/>
      <c r="AW494" s="220"/>
      <c r="AX494" s="220"/>
      <c r="AY494" s="220"/>
      <c r="AZ494" s="220"/>
    </row>
    <row r="495" ht="15.75" customHeight="1">
      <c r="A495" s="272"/>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c r="AA495" s="220"/>
      <c r="AB495" s="220"/>
      <c r="AC495" s="220"/>
      <c r="AD495" s="220"/>
      <c r="AE495" s="220"/>
      <c r="AF495" s="220"/>
      <c r="AG495" s="220"/>
      <c r="AH495" s="220"/>
      <c r="AI495" s="220"/>
      <c r="AJ495" s="220"/>
      <c r="AK495" s="220"/>
      <c r="AL495" s="220"/>
      <c r="AM495" s="220"/>
      <c r="AN495" s="220"/>
      <c r="AO495" s="220"/>
      <c r="AP495" s="220"/>
      <c r="AQ495" s="220"/>
      <c r="AR495" s="220"/>
      <c r="AS495" s="220"/>
      <c r="AT495" s="220"/>
      <c r="AU495" s="220"/>
      <c r="AV495" s="220"/>
      <c r="AW495" s="220"/>
      <c r="AX495" s="220"/>
      <c r="AY495" s="220"/>
      <c r="AZ495" s="220"/>
    </row>
    <row r="496" ht="15.75" customHeight="1">
      <c r="A496" s="272"/>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c r="AA496" s="220"/>
      <c r="AB496" s="220"/>
      <c r="AC496" s="220"/>
      <c r="AD496" s="220"/>
      <c r="AE496" s="220"/>
      <c r="AF496" s="220"/>
      <c r="AG496" s="220"/>
      <c r="AH496" s="220"/>
      <c r="AI496" s="220"/>
      <c r="AJ496" s="220"/>
      <c r="AK496" s="220"/>
      <c r="AL496" s="220"/>
      <c r="AM496" s="220"/>
      <c r="AN496" s="220"/>
      <c r="AO496" s="220"/>
      <c r="AP496" s="220"/>
      <c r="AQ496" s="220"/>
      <c r="AR496" s="220"/>
      <c r="AS496" s="220"/>
      <c r="AT496" s="220"/>
      <c r="AU496" s="220"/>
      <c r="AV496" s="220"/>
      <c r="AW496" s="220"/>
      <c r="AX496" s="220"/>
      <c r="AY496" s="220"/>
      <c r="AZ496" s="220"/>
    </row>
    <row r="497" ht="15.75" customHeight="1">
      <c r="A497" s="272"/>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c r="AA497" s="220"/>
      <c r="AB497" s="220"/>
      <c r="AC497" s="220"/>
      <c r="AD497" s="220"/>
      <c r="AE497" s="220"/>
      <c r="AF497" s="220"/>
      <c r="AG497" s="220"/>
      <c r="AH497" s="220"/>
      <c r="AI497" s="220"/>
      <c r="AJ497" s="220"/>
      <c r="AK497" s="220"/>
      <c r="AL497" s="220"/>
      <c r="AM497" s="220"/>
      <c r="AN497" s="220"/>
      <c r="AO497" s="220"/>
      <c r="AP497" s="220"/>
      <c r="AQ497" s="220"/>
      <c r="AR497" s="220"/>
      <c r="AS497" s="220"/>
      <c r="AT497" s="220"/>
      <c r="AU497" s="220"/>
      <c r="AV497" s="220"/>
      <c r="AW497" s="220"/>
      <c r="AX497" s="220"/>
      <c r="AY497" s="220"/>
      <c r="AZ497" s="220"/>
    </row>
    <row r="498" ht="15.75" customHeight="1">
      <c r="A498" s="272"/>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c r="AA498" s="220"/>
      <c r="AB498" s="220"/>
      <c r="AC498" s="220"/>
      <c r="AD498" s="220"/>
      <c r="AE498" s="220"/>
      <c r="AF498" s="220"/>
      <c r="AG498" s="220"/>
      <c r="AH498" s="220"/>
      <c r="AI498" s="220"/>
      <c r="AJ498" s="220"/>
      <c r="AK498" s="220"/>
      <c r="AL498" s="220"/>
      <c r="AM498" s="220"/>
      <c r="AN498" s="220"/>
      <c r="AO498" s="220"/>
      <c r="AP498" s="220"/>
      <c r="AQ498" s="220"/>
      <c r="AR498" s="220"/>
      <c r="AS498" s="220"/>
      <c r="AT498" s="220"/>
      <c r="AU498" s="220"/>
      <c r="AV498" s="220"/>
      <c r="AW498" s="220"/>
      <c r="AX498" s="220"/>
      <c r="AY498" s="220"/>
      <c r="AZ498" s="220"/>
    </row>
    <row r="499" ht="15.75" customHeight="1">
      <c r="A499" s="272"/>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c r="AA499" s="220"/>
      <c r="AB499" s="220"/>
      <c r="AC499" s="220"/>
      <c r="AD499" s="220"/>
      <c r="AE499" s="220"/>
      <c r="AF499" s="220"/>
      <c r="AG499" s="220"/>
      <c r="AH499" s="220"/>
      <c r="AI499" s="220"/>
      <c r="AJ499" s="220"/>
      <c r="AK499" s="220"/>
      <c r="AL499" s="220"/>
      <c r="AM499" s="220"/>
      <c r="AN499" s="220"/>
      <c r="AO499" s="220"/>
      <c r="AP499" s="220"/>
      <c r="AQ499" s="220"/>
      <c r="AR499" s="220"/>
      <c r="AS499" s="220"/>
      <c r="AT499" s="220"/>
      <c r="AU499" s="220"/>
      <c r="AV499" s="220"/>
      <c r="AW499" s="220"/>
      <c r="AX499" s="220"/>
      <c r="AY499" s="220"/>
      <c r="AZ499" s="220"/>
    </row>
    <row r="500" ht="15.75" customHeight="1">
      <c r="A500" s="272"/>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c r="AQ500" s="220"/>
      <c r="AR500" s="220"/>
      <c r="AS500" s="220"/>
      <c r="AT500" s="220"/>
      <c r="AU500" s="220"/>
      <c r="AV500" s="220"/>
      <c r="AW500" s="220"/>
      <c r="AX500" s="220"/>
      <c r="AY500" s="220"/>
      <c r="AZ500" s="220"/>
    </row>
    <row r="501" ht="15.75" customHeight="1">
      <c r="A501" s="272"/>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c r="AN501" s="220"/>
      <c r="AO501" s="220"/>
      <c r="AP501" s="220"/>
      <c r="AQ501" s="220"/>
      <c r="AR501" s="220"/>
      <c r="AS501" s="220"/>
      <c r="AT501" s="220"/>
      <c r="AU501" s="220"/>
      <c r="AV501" s="220"/>
      <c r="AW501" s="220"/>
      <c r="AX501" s="220"/>
      <c r="AY501" s="220"/>
      <c r="AZ501" s="220"/>
    </row>
    <row r="502" ht="15.75" customHeight="1">
      <c r="A502" s="272"/>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c r="AA502" s="220"/>
      <c r="AB502" s="220"/>
      <c r="AC502" s="220"/>
      <c r="AD502" s="220"/>
      <c r="AE502" s="220"/>
      <c r="AF502" s="220"/>
      <c r="AG502" s="220"/>
      <c r="AH502" s="220"/>
      <c r="AI502" s="220"/>
      <c r="AJ502" s="220"/>
      <c r="AK502" s="220"/>
      <c r="AL502" s="220"/>
      <c r="AM502" s="220"/>
      <c r="AN502" s="220"/>
      <c r="AO502" s="220"/>
      <c r="AP502" s="220"/>
      <c r="AQ502" s="220"/>
      <c r="AR502" s="220"/>
      <c r="AS502" s="220"/>
      <c r="AT502" s="220"/>
      <c r="AU502" s="220"/>
      <c r="AV502" s="220"/>
      <c r="AW502" s="220"/>
      <c r="AX502" s="220"/>
      <c r="AY502" s="220"/>
      <c r="AZ502" s="220"/>
    </row>
    <row r="503" ht="15.75" customHeight="1">
      <c r="A503" s="272"/>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c r="AA503" s="220"/>
      <c r="AB503" s="220"/>
      <c r="AC503" s="220"/>
      <c r="AD503" s="220"/>
      <c r="AE503" s="220"/>
      <c r="AF503" s="220"/>
      <c r="AG503" s="220"/>
      <c r="AH503" s="220"/>
      <c r="AI503" s="220"/>
      <c r="AJ503" s="220"/>
      <c r="AK503" s="220"/>
      <c r="AL503" s="220"/>
      <c r="AM503" s="220"/>
      <c r="AN503" s="220"/>
      <c r="AO503" s="220"/>
      <c r="AP503" s="220"/>
      <c r="AQ503" s="220"/>
      <c r="AR503" s="220"/>
      <c r="AS503" s="220"/>
      <c r="AT503" s="220"/>
      <c r="AU503" s="220"/>
      <c r="AV503" s="220"/>
      <c r="AW503" s="220"/>
      <c r="AX503" s="220"/>
      <c r="AY503" s="220"/>
      <c r="AZ503" s="220"/>
    </row>
    <row r="504" ht="15.75" customHeight="1">
      <c r="A504" s="272"/>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c r="AA504" s="220"/>
      <c r="AB504" s="220"/>
      <c r="AC504" s="220"/>
      <c r="AD504" s="220"/>
      <c r="AE504" s="220"/>
      <c r="AF504" s="220"/>
      <c r="AG504" s="220"/>
      <c r="AH504" s="220"/>
      <c r="AI504" s="220"/>
      <c r="AJ504" s="220"/>
      <c r="AK504" s="220"/>
      <c r="AL504" s="220"/>
      <c r="AM504" s="220"/>
      <c r="AN504" s="220"/>
      <c r="AO504" s="220"/>
      <c r="AP504" s="220"/>
      <c r="AQ504" s="220"/>
      <c r="AR504" s="220"/>
      <c r="AS504" s="220"/>
      <c r="AT504" s="220"/>
      <c r="AU504" s="220"/>
      <c r="AV504" s="220"/>
      <c r="AW504" s="220"/>
      <c r="AX504" s="220"/>
      <c r="AY504" s="220"/>
      <c r="AZ504" s="220"/>
    </row>
    <row r="505" ht="15.75" customHeight="1">
      <c r="A505" s="272"/>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c r="AA505" s="220"/>
      <c r="AB505" s="220"/>
      <c r="AC505" s="220"/>
      <c r="AD505" s="220"/>
      <c r="AE505" s="220"/>
      <c r="AF505" s="220"/>
      <c r="AG505" s="220"/>
      <c r="AH505" s="220"/>
      <c r="AI505" s="220"/>
      <c r="AJ505" s="220"/>
      <c r="AK505" s="220"/>
      <c r="AL505" s="220"/>
      <c r="AM505" s="220"/>
      <c r="AN505" s="220"/>
      <c r="AO505" s="220"/>
      <c r="AP505" s="220"/>
      <c r="AQ505" s="220"/>
      <c r="AR505" s="220"/>
      <c r="AS505" s="220"/>
      <c r="AT505" s="220"/>
      <c r="AU505" s="220"/>
      <c r="AV505" s="220"/>
      <c r="AW505" s="220"/>
      <c r="AX505" s="220"/>
      <c r="AY505" s="220"/>
      <c r="AZ505" s="220"/>
    </row>
    <row r="506" ht="15.75" customHeight="1">
      <c r="A506" s="272"/>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c r="AA506" s="220"/>
      <c r="AB506" s="220"/>
      <c r="AC506" s="220"/>
      <c r="AD506" s="220"/>
      <c r="AE506" s="220"/>
      <c r="AF506" s="220"/>
      <c r="AG506" s="220"/>
      <c r="AH506" s="220"/>
      <c r="AI506" s="220"/>
      <c r="AJ506" s="220"/>
      <c r="AK506" s="220"/>
      <c r="AL506" s="220"/>
      <c r="AM506" s="220"/>
      <c r="AN506" s="220"/>
      <c r="AO506" s="220"/>
      <c r="AP506" s="220"/>
      <c r="AQ506" s="220"/>
      <c r="AR506" s="220"/>
      <c r="AS506" s="220"/>
      <c r="AT506" s="220"/>
      <c r="AU506" s="220"/>
      <c r="AV506" s="220"/>
      <c r="AW506" s="220"/>
      <c r="AX506" s="220"/>
      <c r="AY506" s="220"/>
      <c r="AZ506" s="220"/>
    </row>
    <row r="507" ht="15.75" customHeight="1">
      <c r="A507" s="272"/>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c r="AA507" s="220"/>
      <c r="AB507" s="220"/>
      <c r="AC507" s="220"/>
      <c r="AD507" s="220"/>
      <c r="AE507" s="220"/>
      <c r="AF507" s="220"/>
      <c r="AG507" s="220"/>
      <c r="AH507" s="220"/>
      <c r="AI507" s="220"/>
      <c r="AJ507" s="220"/>
      <c r="AK507" s="220"/>
      <c r="AL507" s="220"/>
      <c r="AM507" s="220"/>
      <c r="AN507" s="220"/>
      <c r="AO507" s="220"/>
      <c r="AP507" s="220"/>
      <c r="AQ507" s="220"/>
      <c r="AR507" s="220"/>
      <c r="AS507" s="220"/>
      <c r="AT507" s="220"/>
      <c r="AU507" s="220"/>
      <c r="AV507" s="220"/>
      <c r="AW507" s="220"/>
      <c r="AX507" s="220"/>
      <c r="AY507" s="220"/>
      <c r="AZ507" s="220"/>
    </row>
    <row r="508" ht="15.75" customHeight="1">
      <c r="A508" s="272"/>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c r="AA508" s="220"/>
      <c r="AB508" s="220"/>
      <c r="AC508" s="220"/>
      <c r="AD508" s="220"/>
      <c r="AE508" s="220"/>
      <c r="AF508" s="220"/>
      <c r="AG508" s="220"/>
      <c r="AH508" s="220"/>
      <c r="AI508" s="220"/>
      <c r="AJ508" s="220"/>
      <c r="AK508" s="220"/>
      <c r="AL508" s="220"/>
      <c r="AM508" s="220"/>
      <c r="AN508" s="220"/>
      <c r="AO508" s="220"/>
      <c r="AP508" s="220"/>
      <c r="AQ508" s="220"/>
      <c r="AR508" s="220"/>
      <c r="AS508" s="220"/>
      <c r="AT508" s="220"/>
      <c r="AU508" s="220"/>
      <c r="AV508" s="220"/>
      <c r="AW508" s="220"/>
      <c r="AX508" s="220"/>
      <c r="AY508" s="220"/>
      <c r="AZ508" s="220"/>
    </row>
    <row r="509" ht="15.75" customHeight="1">
      <c r="A509" s="272"/>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c r="AA509" s="220"/>
      <c r="AB509" s="220"/>
      <c r="AC509" s="220"/>
      <c r="AD509" s="220"/>
      <c r="AE509" s="220"/>
      <c r="AF509" s="220"/>
      <c r="AG509" s="220"/>
      <c r="AH509" s="220"/>
      <c r="AI509" s="220"/>
      <c r="AJ509" s="220"/>
      <c r="AK509" s="220"/>
      <c r="AL509" s="220"/>
      <c r="AM509" s="220"/>
      <c r="AN509" s="220"/>
      <c r="AO509" s="220"/>
      <c r="AP509" s="220"/>
      <c r="AQ509" s="220"/>
      <c r="AR509" s="220"/>
      <c r="AS509" s="220"/>
      <c r="AT509" s="220"/>
      <c r="AU509" s="220"/>
      <c r="AV509" s="220"/>
      <c r="AW509" s="220"/>
      <c r="AX509" s="220"/>
      <c r="AY509" s="220"/>
      <c r="AZ509" s="220"/>
    </row>
    <row r="510" ht="15.75" customHeight="1">
      <c r="A510" s="272"/>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c r="AA510" s="220"/>
      <c r="AB510" s="220"/>
      <c r="AC510" s="220"/>
      <c r="AD510" s="220"/>
      <c r="AE510" s="220"/>
      <c r="AF510" s="220"/>
      <c r="AG510" s="220"/>
      <c r="AH510" s="220"/>
      <c r="AI510" s="220"/>
      <c r="AJ510" s="220"/>
      <c r="AK510" s="220"/>
      <c r="AL510" s="220"/>
      <c r="AM510" s="220"/>
      <c r="AN510" s="220"/>
      <c r="AO510" s="220"/>
      <c r="AP510" s="220"/>
      <c r="AQ510" s="220"/>
      <c r="AR510" s="220"/>
      <c r="AS510" s="220"/>
      <c r="AT510" s="220"/>
      <c r="AU510" s="220"/>
      <c r="AV510" s="220"/>
      <c r="AW510" s="220"/>
      <c r="AX510" s="220"/>
      <c r="AY510" s="220"/>
      <c r="AZ510" s="220"/>
    </row>
    <row r="511" ht="15.75" customHeight="1">
      <c r="A511" s="272"/>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c r="AA511" s="220"/>
      <c r="AB511" s="220"/>
      <c r="AC511" s="220"/>
      <c r="AD511" s="220"/>
      <c r="AE511" s="220"/>
      <c r="AF511" s="220"/>
      <c r="AG511" s="220"/>
      <c r="AH511" s="220"/>
      <c r="AI511" s="220"/>
      <c r="AJ511" s="220"/>
      <c r="AK511" s="220"/>
      <c r="AL511" s="220"/>
      <c r="AM511" s="220"/>
      <c r="AN511" s="220"/>
      <c r="AO511" s="220"/>
      <c r="AP511" s="220"/>
      <c r="AQ511" s="220"/>
      <c r="AR511" s="220"/>
      <c r="AS511" s="220"/>
      <c r="AT511" s="220"/>
      <c r="AU511" s="220"/>
      <c r="AV511" s="220"/>
      <c r="AW511" s="220"/>
      <c r="AX511" s="220"/>
      <c r="AY511" s="220"/>
      <c r="AZ511" s="220"/>
    </row>
    <row r="512" ht="15.75" customHeight="1">
      <c r="A512" s="272"/>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0"/>
      <c r="AG512" s="220"/>
      <c r="AH512" s="220"/>
      <c r="AI512" s="220"/>
      <c r="AJ512" s="220"/>
      <c r="AK512" s="220"/>
      <c r="AL512" s="220"/>
      <c r="AM512" s="220"/>
      <c r="AN512" s="220"/>
      <c r="AO512" s="220"/>
      <c r="AP512" s="220"/>
      <c r="AQ512" s="220"/>
      <c r="AR512" s="220"/>
      <c r="AS512" s="220"/>
      <c r="AT512" s="220"/>
      <c r="AU512" s="220"/>
      <c r="AV512" s="220"/>
      <c r="AW512" s="220"/>
      <c r="AX512" s="220"/>
      <c r="AY512" s="220"/>
      <c r="AZ512" s="220"/>
    </row>
    <row r="513" ht="15.75" customHeight="1">
      <c r="A513" s="272"/>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c r="AN513" s="220"/>
      <c r="AO513" s="220"/>
      <c r="AP513" s="220"/>
      <c r="AQ513" s="220"/>
      <c r="AR513" s="220"/>
      <c r="AS513" s="220"/>
      <c r="AT513" s="220"/>
      <c r="AU513" s="220"/>
      <c r="AV513" s="220"/>
      <c r="AW513" s="220"/>
      <c r="AX513" s="220"/>
      <c r="AY513" s="220"/>
      <c r="AZ513" s="220"/>
    </row>
    <row r="514" ht="15.75" customHeight="1">
      <c r="A514" s="272"/>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0"/>
      <c r="AG514" s="220"/>
      <c r="AH514" s="220"/>
      <c r="AI514" s="220"/>
      <c r="AJ514" s="220"/>
      <c r="AK514" s="220"/>
      <c r="AL514" s="220"/>
      <c r="AM514" s="220"/>
      <c r="AN514" s="220"/>
      <c r="AO514" s="220"/>
      <c r="AP514" s="220"/>
      <c r="AQ514" s="220"/>
      <c r="AR514" s="220"/>
      <c r="AS514" s="220"/>
      <c r="AT514" s="220"/>
      <c r="AU514" s="220"/>
      <c r="AV514" s="220"/>
      <c r="AW514" s="220"/>
      <c r="AX514" s="220"/>
      <c r="AY514" s="220"/>
      <c r="AZ514" s="220"/>
    </row>
    <row r="515" ht="15.75" customHeight="1">
      <c r="A515" s="272"/>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c r="AA515" s="220"/>
      <c r="AB515" s="220"/>
      <c r="AC515" s="220"/>
      <c r="AD515" s="220"/>
      <c r="AE515" s="220"/>
      <c r="AF515" s="220"/>
      <c r="AG515" s="220"/>
      <c r="AH515" s="220"/>
      <c r="AI515" s="220"/>
      <c r="AJ515" s="220"/>
      <c r="AK515" s="220"/>
      <c r="AL515" s="220"/>
      <c r="AM515" s="220"/>
      <c r="AN515" s="220"/>
      <c r="AO515" s="220"/>
      <c r="AP515" s="220"/>
      <c r="AQ515" s="220"/>
      <c r="AR515" s="220"/>
      <c r="AS515" s="220"/>
      <c r="AT515" s="220"/>
      <c r="AU515" s="220"/>
      <c r="AV515" s="220"/>
      <c r="AW515" s="220"/>
      <c r="AX515" s="220"/>
      <c r="AY515" s="220"/>
      <c r="AZ515" s="220"/>
    </row>
    <row r="516" ht="15.75" customHeight="1">
      <c r="A516" s="272"/>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c r="AA516" s="220"/>
      <c r="AB516" s="220"/>
      <c r="AC516" s="220"/>
      <c r="AD516" s="220"/>
      <c r="AE516" s="220"/>
      <c r="AF516" s="220"/>
      <c r="AG516" s="220"/>
      <c r="AH516" s="220"/>
      <c r="AI516" s="220"/>
      <c r="AJ516" s="220"/>
      <c r="AK516" s="220"/>
      <c r="AL516" s="220"/>
      <c r="AM516" s="220"/>
      <c r="AN516" s="220"/>
      <c r="AO516" s="220"/>
      <c r="AP516" s="220"/>
      <c r="AQ516" s="220"/>
      <c r="AR516" s="220"/>
      <c r="AS516" s="220"/>
      <c r="AT516" s="220"/>
      <c r="AU516" s="220"/>
      <c r="AV516" s="220"/>
      <c r="AW516" s="220"/>
      <c r="AX516" s="220"/>
      <c r="AY516" s="220"/>
      <c r="AZ516" s="220"/>
    </row>
    <row r="517" ht="15.75" customHeight="1">
      <c r="A517" s="272"/>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c r="AA517" s="220"/>
      <c r="AB517" s="220"/>
      <c r="AC517" s="220"/>
      <c r="AD517" s="220"/>
      <c r="AE517" s="220"/>
      <c r="AF517" s="220"/>
      <c r="AG517" s="220"/>
      <c r="AH517" s="220"/>
      <c r="AI517" s="220"/>
      <c r="AJ517" s="220"/>
      <c r="AK517" s="220"/>
      <c r="AL517" s="220"/>
      <c r="AM517" s="220"/>
      <c r="AN517" s="220"/>
      <c r="AO517" s="220"/>
      <c r="AP517" s="220"/>
      <c r="AQ517" s="220"/>
      <c r="AR517" s="220"/>
      <c r="AS517" s="220"/>
      <c r="AT517" s="220"/>
      <c r="AU517" s="220"/>
      <c r="AV517" s="220"/>
      <c r="AW517" s="220"/>
      <c r="AX517" s="220"/>
      <c r="AY517" s="220"/>
      <c r="AZ517" s="220"/>
    </row>
    <row r="518" ht="15.75" customHeight="1">
      <c r="A518" s="272"/>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c r="AA518" s="220"/>
      <c r="AB518" s="220"/>
      <c r="AC518" s="220"/>
      <c r="AD518" s="220"/>
      <c r="AE518" s="220"/>
      <c r="AF518" s="220"/>
      <c r="AG518" s="220"/>
      <c r="AH518" s="220"/>
      <c r="AI518" s="220"/>
      <c r="AJ518" s="220"/>
      <c r="AK518" s="220"/>
      <c r="AL518" s="220"/>
      <c r="AM518" s="220"/>
      <c r="AN518" s="220"/>
      <c r="AO518" s="220"/>
      <c r="AP518" s="220"/>
      <c r="AQ518" s="220"/>
      <c r="AR518" s="220"/>
      <c r="AS518" s="220"/>
      <c r="AT518" s="220"/>
      <c r="AU518" s="220"/>
      <c r="AV518" s="220"/>
      <c r="AW518" s="220"/>
      <c r="AX518" s="220"/>
      <c r="AY518" s="220"/>
      <c r="AZ518" s="220"/>
    </row>
    <row r="519" ht="15.75" customHeight="1">
      <c r="A519" s="272"/>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c r="AA519" s="220"/>
      <c r="AB519" s="220"/>
      <c r="AC519" s="220"/>
      <c r="AD519" s="220"/>
      <c r="AE519" s="220"/>
      <c r="AF519" s="220"/>
      <c r="AG519" s="220"/>
      <c r="AH519" s="220"/>
      <c r="AI519" s="220"/>
      <c r="AJ519" s="220"/>
      <c r="AK519" s="220"/>
      <c r="AL519" s="220"/>
      <c r="AM519" s="220"/>
      <c r="AN519" s="220"/>
      <c r="AO519" s="220"/>
      <c r="AP519" s="220"/>
      <c r="AQ519" s="220"/>
      <c r="AR519" s="220"/>
      <c r="AS519" s="220"/>
      <c r="AT519" s="220"/>
      <c r="AU519" s="220"/>
      <c r="AV519" s="220"/>
      <c r="AW519" s="220"/>
      <c r="AX519" s="220"/>
      <c r="AY519" s="220"/>
      <c r="AZ519" s="220"/>
    </row>
    <row r="520" ht="15.75" customHeight="1">
      <c r="A520" s="272"/>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c r="AA520" s="220"/>
      <c r="AB520" s="220"/>
      <c r="AC520" s="220"/>
      <c r="AD520" s="220"/>
      <c r="AE520" s="220"/>
      <c r="AF520" s="220"/>
      <c r="AG520" s="220"/>
      <c r="AH520" s="220"/>
      <c r="AI520" s="220"/>
      <c r="AJ520" s="220"/>
      <c r="AK520" s="220"/>
      <c r="AL520" s="220"/>
      <c r="AM520" s="220"/>
      <c r="AN520" s="220"/>
      <c r="AO520" s="220"/>
      <c r="AP520" s="220"/>
      <c r="AQ520" s="220"/>
      <c r="AR520" s="220"/>
      <c r="AS520" s="220"/>
      <c r="AT520" s="220"/>
      <c r="AU520" s="220"/>
      <c r="AV520" s="220"/>
      <c r="AW520" s="220"/>
      <c r="AX520" s="220"/>
      <c r="AY520" s="220"/>
      <c r="AZ520" s="220"/>
    </row>
    <row r="521" ht="15.75" customHeight="1">
      <c r="A521" s="272"/>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c r="AA521" s="220"/>
      <c r="AB521" s="220"/>
      <c r="AC521" s="220"/>
      <c r="AD521" s="220"/>
      <c r="AE521" s="220"/>
      <c r="AF521" s="220"/>
      <c r="AG521" s="220"/>
      <c r="AH521" s="220"/>
      <c r="AI521" s="220"/>
      <c r="AJ521" s="220"/>
      <c r="AK521" s="220"/>
      <c r="AL521" s="220"/>
      <c r="AM521" s="220"/>
      <c r="AN521" s="220"/>
      <c r="AO521" s="220"/>
      <c r="AP521" s="220"/>
      <c r="AQ521" s="220"/>
      <c r="AR521" s="220"/>
      <c r="AS521" s="220"/>
      <c r="AT521" s="220"/>
      <c r="AU521" s="220"/>
      <c r="AV521" s="220"/>
      <c r="AW521" s="220"/>
      <c r="AX521" s="220"/>
      <c r="AY521" s="220"/>
      <c r="AZ521" s="220"/>
    </row>
    <row r="522" ht="15.75" customHeight="1">
      <c r="A522" s="272"/>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c r="AA522" s="220"/>
      <c r="AB522" s="220"/>
      <c r="AC522" s="220"/>
      <c r="AD522" s="220"/>
      <c r="AE522" s="220"/>
      <c r="AF522" s="220"/>
      <c r="AG522" s="220"/>
      <c r="AH522" s="220"/>
      <c r="AI522" s="220"/>
      <c r="AJ522" s="220"/>
      <c r="AK522" s="220"/>
      <c r="AL522" s="220"/>
      <c r="AM522" s="220"/>
      <c r="AN522" s="220"/>
      <c r="AO522" s="220"/>
      <c r="AP522" s="220"/>
      <c r="AQ522" s="220"/>
      <c r="AR522" s="220"/>
      <c r="AS522" s="220"/>
      <c r="AT522" s="220"/>
      <c r="AU522" s="220"/>
      <c r="AV522" s="220"/>
      <c r="AW522" s="220"/>
      <c r="AX522" s="220"/>
      <c r="AY522" s="220"/>
      <c r="AZ522" s="220"/>
    </row>
    <row r="523" ht="15.75" customHeight="1">
      <c r="A523" s="272"/>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0"/>
      <c r="AG523" s="220"/>
      <c r="AH523" s="220"/>
      <c r="AI523" s="220"/>
      <c r="AJ523" s="220"/>
      <c r="AK523" s="220"/>
      <c r="AL523" s="220"/>
      <c r="AM523" s="220"/>
      <c r="AN523" s="220"/>
      <c r="AO523" s="220"/>
      <c r="AP523" s="220"/>
      <c r="AQ523" s="220"/>
      <c r="AR523" s="220"/>
      <c r="AS523" s="220"/>
      <c r="AT523" s="220"/>
      <c r="AU523" s="220"/>
      <c r="AV523" s="220"/>
      <c r="AW523" s="220"/>
      <c r="AX523" s="220"/>
      <c r="AY523" s="220"/>
      <c r="AZ523" s="220"/>
    </row>
    <row r="524" ht="15.75" customHeight="1">
      <c r="A524" s="272"/>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c r="AA524" s="220"/>
      <c r="AB524" s="220"/>
      <c r="AC524" s="220"/>
      <c r="AD524" s="220"/>
      <c r="AE524" s="220"/>
      <c r="AF524" s="220"/>
      <c r="AG524" s="220"/>
      <c r="AH524" s="220"/>
      <c r="AI524" s="220"/>
      <c r="AJ524" s="220"/>
      <c r="AK524" s="220"/>
      <c r="AL524" s="220"/>
      <c r="AM524" s="220"/>
      <c r="AN524" s="220"/>
      <c r="AO524" s="220"/>
      <c r="AP524" s="220"/>
      <c r="AQ524" s="220"/>
      <c r="AR524" s="220"/>
      <c r="AS524" s="220"/>
      <c r="AT524" s="220"/>
      <c r="AU524" s="220"/>
      <c r="AV524" s="220"/>
      <c r="AW524" s="220"/>
      <c r="AX524" s="220"/>
      <c r="AY524" s="220"/>
      <c r="AZ524" s="220"/>
    </row>
    <row r="525" ht="15.75" customHeight="1">
      <c r="A525" s="272"/>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c r="AA525" s="220"/>
      <c r="AB525" s="220"/>
      <c r="AC525" s="220"/>
      <c r="AD525" s="220"/>
      <c r="AE525" s="220"/>
      <c r="AF525" s="220"/>
      <c r="AG525" s="220"/>
      <c r="AH525" s="220"/>
      <c r="AI525" s="220"/>
      <c r="AJ525" s="220"/>
      <c r="AK525" s="220"/>
      <c r="AL525" s="220"/>
      <c r="AM525" s="220"/>
      <c r="AN525" s="220"/>
      <c r="AO525" s="220"/>
      <c r="AP525" s="220"/>
      <c r="AQ525" s="220"/>
      <c r="AR525" s="220"/>
      <c r="AS525" s="220"/>
      <c r="AT525" s="220"/>
      <c r="AU525" s="220"/>
      <c r="AV525" s="220"/>
      <c r="AW525" s="220"/>
      <c r="AX525" s="220"/>
      <c r="AY525" s="220"/>
      <c r="AZ525" s="220"/>
    </row>
    <row r="526" ht="15.75" customHeight="1">
      <c r="A526" s="272"/>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c r="AA526" s="220"/>
      <c r="AB526" s="220"/>
      <c r="AC526" s="220"/>
      <c r="AD526" s="220"/>
      <c r="AE526" s="220"/>
      <c r="AF526" s="220"/>
      <c r="AG526" s="220"/>
      <c r="AH526" s="220"/>
      <c r="AI526" s="220"/>
      <c r="AJ526" s="220"/>
      <c r="AK526" s="220"/>
      <c r="AL526" s="220"/>
      <c r="AM526" s="220"/>
      <c r="AN526" s="220"/>
      <c r="AO526" s="220"/>
      <c r="AP526" s="220"/>
      <c r="AQ526" s="220"/>
      <c r="AR526" s="220"/>
      <c r="AS526" s="220"/>
      <c r="AT526" s="220"/>
      <c r="AU526" s="220"/>
      <c r="AV526" s="220"/>
      <c r="AW526" s="220"/>
      <c r="AX526" s="220"/>
      <c r="AY526" s="220"/>
      <c r="AZ526" s="220"/>
    </row>
    <row r="527" ht="15.75" customHeight="1">
      <c r="A527" s="272"/>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c r="AA527" s="220"/>
      <c r="AB527" s="220"/>
      <c r="AC527" s="220"/>
      <c r="AD527" s="220"/>
      <c r="AE527" s="220"/>
      <c r="AF527" s="220"/>
      <c r="AG527" s="220"/>
      <c r="AH527" s="220"/>
      <c r="AI527" s="220"/>
      <c r="AJ527" s="220"/>
      <c r="AK527" s="220"/>
      <c r="AL527" s="220"/>
      <c r="AM527" s="220"/>
      <c r="AN527" s="220"/>
      <c r="AO527" s="220"/>
      <c r="AP527" s="220"/>
      <c r="AQ527" s="220"/>
      <c r="AR527" s="220"/>
      <c r="AS527" s="220"/>
      <c r="AT527" s="220"/>
      <c r="AU527" s="220"/>
      <c r="AV527" s="220"/>
      <c r="AW527" s="220"/>
      <c r="AX527" s="220"/>
      <c r="AY527" s="220"/>
      <c r="AZ527" s="220"/>
    </row>
    <row r="528" ht="15.75" customHeight="1">
      <c r="A528" s="272"/>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c r="AA528" s="220"/>
      <c r="AB528" s="220"/>
      <c r="AC528" s="220"/>
      <c r="AD528" s="220"/>
      <c r="AE528" s="220"/>
      <c r="AF528" s="220"/>
      <c r="AG528" s="220"/>
      <c r="AH528" s="220"/>
      <c r="AI528" s="220"/>
      <c r="AJ528" s="220"/>
      <c r="AK528" s="220"/>
      <c r="AL528" s="220"/>
      <c r="AM528" s="220"/>
      <c r="AN528" s="220"/>
      <c r="AO528" s="220"/>
      <c r="AP528" s="220"/>
      <c r="AQ528" s="220"/>
      <c r="AR528" s="220"/>
      <c r="AS528" s="220"/>
      <c r="AT528" s="220"/>
      <c r="AU528" s="220"/>
      <c r="AV528" s="220"/>
      <c r="AW528" s="220"/>
      <c r="AX528" s="220"/>
      <c r="AY528" s="220"/>
      <c r="AZ528" s="220"/>
    </row>
    <row r="529" ht="15.75" customHeight="1">
      <c r="A529" s="272"/>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c r="AA529" s="220"/>
      <c r="AB529" s="220"/>
      <c r="AC529" s="220"/>
      <c r="AD529" s="220"/>
      <c r="AE529" s="220"/>
      <c r="AF529" s="220"/>
      <c r="AG529" s="220"/>
      <c r="AH529" s="220"/>
      <c r="AI529" s="220"/>
      <c r="AJ529" s="220"/>
      <c r="AK529" s="220"/>
      <c r="AL529" s="220"/>
      <c r="AM529" s="220"/>
      <c r="AN529" s="220"/>
      <c r="AO529" s="220"/>
      <c r="AP529" s="220"/>
      <c r="AQ529" s="220"/>
      <c r="AR529" s="220"/>
      <c r="AS529" s="220"/>
      <c r="AT529" s="220"/>
      <c r="AU529" s="220"/>
      <c r="AV529" s="220"/>
      <c r="AW529" s="220"/>
      <c r="AX529" s="220"/>
      <c r="AY529" s="220"/>
      <c r="AZ529" s="220"/>
    </row>
    <row r="530" ht="15.75" customHeight="1">
      <c r="A530" s="272"/>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c r="AA530" s="220"/>
      <c r="AB530" s="220"/>
      <c r="AC530" s="220"/>
      <c r="AD530" s="220"/>
      <c r="AE530" s="220"/>
      <c r="AF530" s="220"/>
      <c r="AG530" s="220"/>
      <c r="AH530" s="220"/>
      <c r="AI530" s="220"/>
      <c r="AJ530" s="220"/>
      <c r="AK530" s="220"/>
      <c r="AL530" s="220"/>
      <c r="AM530" s="220"/>
      <c r="AN530" s="220"/>
      <c r="AO530" s="220"/>
      <c r="AP530" s="220"/>
      <c r="AQ530" s="220"/>
      <c r="AR530" s="220"/>
      <c r="AS530" s="220"/>
      <c r="AT530" s="220"/>
      <c r="AU530" s="220"/>
      <c r="AV530" s="220"/>
      <c r="AW530" s="220"/>
      <c r="AX530" s="220"/>
      <c r="AY530" s="220"/>
      <c r="AZ530" s="220"/>
    </row>
    <row r="531" ht="15.75" customHeight="1">
      <c r="A531" s="272"/>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c r="AA531" s="220"/>
      <c r="AB531" s="220"/>
      <c r="AC531" s="220"/>
      <c r="AD531" s="220"/>
      <c r="AE531" s="220"/>
      <c r="AF531" s="220"/>
      <c r="AG531" s="220"/>
      <c r="AH531" s="220"/>
      <c r="AI531" s="220"/>
      <c r="AJ531" s="220"/>
      <c r="AK531" s="220"/>
      <c r="AL531" s="220"/>
      <c r="AM531" s="220"/>
      <c r="AN531" s="220"/>
      <c r="AO531" s="220"/>
      <c r="AP531" s="220"/>
      <c r="AQ531" s="220"/>
      <c r="AR531" s="220"/>
      <c r="AS531" s="220"/>
      <c r="AT531" s="220"/>
      <c r="AU531" s="220"/>
      <c r="AV531" s="220"/>
      <c r="AW531" s="220"/>
      <c r="AX531" s="220"/>
      <c r="AY531" s="220"/>
      <c r="AZ531" s="220"/>
    </row>
    <row r="532" ht="15.75" customHeight="1">
      <c r="A532" s="272"/>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c r="AA532" s="220"/>
      <c r="AB532" s="220"/>
      <c r="AC532" s="220"/>
      <c r="AD532" s="220"/>
      <c r="AE532" s="220"/>
      <c r="AF532" s="220"/>
      <c r="AG532" s="220"/>
      <c r="AH532" s="220"/>
      <c r="AI532" s="220"/>
      <c r="AJ532" s="220"/>
      <c r="AK532" s="220"/>
      <c r="AL532" s="220"/>
      <c r="AM532" s="220"/>
      <c r="AN532" s="220"/>
      <c r="AO532" s="220"/>
      <c r="AP532" s="220"/>
      <c r="AQ532" s="220"/>
      <c r="AR532" s="220"/>
      <c r="AS532" s="220"/>
      <c r="AT532" s="220"/>
      <c r="AU532" s="220"/>
      <c r="AV532" s="220"/>
      <c r="AW532" s="220"/>
      <c r="AX532" s="220"/>
      <c r="AY532" s="220"/>
      <c r="AZ532" s="220"/>
    </row>
    <row r="533" ht="15.75" customHeight="1">
      <c r="A533" s="272"/>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c r="AA533" s="220"/>
      <c r="AB533" s="220"/>
      <c r="AC533" s="220"/>
      <c r="AD533" s="220"/>
      <c r="AE533" s="220"/>
      <c r="AF533" s="220"/>
      <c r="AG533" s="220"/>
      <c r="AH533" s="220"/>
      <c r="AI533" s="220"/>
      <c r="AJ533" s="220"/>
      <c r="AK533" s="220"/>
      <c r="AL533" s="220"/>
      <c r="AM533" s="220"/>
      <c r="AN533" s="220"/>
      <c r="AO533" s="220"/>
      <c r="AP533" s="220"/>
      <c r="AQ533" s="220"/>
      <c r="AR533" s="220"/>
      <c r="AS533" s="220"/>
      <c r="AT533" s="220"/>
      <c r="AU533" s="220"/>
      <c r="AV533" s="220"/>
      <c r="AW533" s="220"/>
      <c r="AX533" s="220"/>
      <c r="AY533" s="220"/>
      <c r="AZ533" s="220"/>
    </row>
    <row r="534" ht="15.75" customHeight="1">
      <c r="A534" s="272"/>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c r="AA534" s="220"/>
      <c r="AB534" s="220"/>
      <c r="AC534" s="220"/>
      <c r="AD534" s="220"/>
      <c r="AE534" s="220"/>
      <c r="AF534" s="220"/>
      <c r="AG534" s="220"/>
      <c r="AH534" s="220"/>
      <c r="AI534" s="220"/>
      <c r="AJ534" s="220"/>
      <c r="AK534" s="220"/>
      <c r="AL534" s="220"/>
      <c r="AM534" s="220"/>
      <c r="AN534" s="220"/>
      <c r="AO534" s="220"/>
      <c r="AP534" s="220"/>
      <c r="AQ534" s="220"/>
      <c r="AR534" s="220"/>
      <c r="AS534" s="220"/>
      <c r="AT534" s="220"/>
      <c r="AU534" s="220"/>
      <c r="AV534" s="220"/>
      <c r="AW534" s="220"/>
      <c r="AX534" s="220"/>
      <c r="AY534" s="220"/>
      <c r="AZ534" s="220"/>
    </row>
    <row r="535" ht="15.75" customHeight="1">
      <c r="A535" s="272"/>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c r="AA535" s="220"/>
      <c r="AB535" s="220"/>
      <c r="AC535" s="220"/>
      <c r="AD535" s="220"/>
      <c r="AE535" s="220"/>
      <c r="AF535" s="220"/>
      <c r="AG535" s="220"/>
      <c r="AH535" s="220"/>
      <c r="AI535" s="220"/>
      <c r="AJ535" s="220"/>
      <c r="AK535" s="220"/>
      <c r="AL535" s="220"/>
      <c r="AM535" s="220"/>
      <c r="AN535" s="220"/>
      <c r="AO535" s="220"/>
      <c r="AP535" s="220"/>
      <c r="AQ535" s="220"/>
      <c r="AR535" s="220"/>
      <c r="AS535" s="220"/>
      <c r="AT535" s="220"/>
      <c r="AU535" s="220"/>
      <c r="AV535" s="220"/>
      <c r="AW535" s="220"/>
      <c r="AX535" s="220"/>
      <c r="AY535" s="220"/>
      <c r="AZ535" s="220"/>
    </row>
    <row r="536" ht="15.75" customHeight="1">
      <c r="A536" s="272"/>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c r="AA536" s="220"/>
      <c r="AB536" s="220"/>
      <c r="AC536" s="220"/>
      <c r="AD536" s="220"/>
      <c r="AE536" s="220"/>
      <c r="AF536" s="220"/>
      <c r="AG536" s="220"/>
      <c r="AH536" s="220"/>
      <c r="AI536" s="220"/>
      <c r="AJ536" s="220"/>
      <c r="AK536" s="220"/>
      <c r="AL536" s="220"/>
      <c r="AM536" s="220"/>
      <c r="AN536" s="220"/>
      <c r="AO536" s="220"/>
      <c r="AP536" s="220"/>
      <c r="AQ536" s="220"/>
      <c r="AR536" s="220"/>
      <c r="AS536" s="220"/>
      <c r="AT536" s="220"/>
      <c r="AU536" s="220"/>
      <c r="AV536" s="220"/>
      <c r="AW536" s="220"/>
      <c r="AX536" s="220"/>
      <c r="AY536" s="220"/>
      <c r="AZ536" s="220"/>
    </row>
    <row r="537" ht="15.75" customHeight="1">
      <c r="A537" s="272"/>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c r="AA537" s="220"/>
      <c r="AB537" s="220"/>
      <c r="AC537" s="220"/>
      <c r="AD537" s="220"/>
      <c r="AE537" s="220"/>
      <c r="AF537" s="220"/>
      <c r="AG537" s="220"/>
      <c r="AH537" s="220"/>
      <c r="AI537" s="220"/>
      <c r="AJ537" s="220"/>
      <c r="AK537" s="220"/>
      <c r="AL537" s="220"/>
      <c r="AM537" s="220"/>
      <c r="AN537" s="220"/>
      <c r="AO537" s="220"/>
      <c r="AP537" s="220"/>
      <c r="AQ537" s="220"/>
      <c r="AR537" s="220"/>
      <c r="AS537" s="220"/>
      <c r="AT537" s="220"/>
      <c r="AU537" s="220"/>
      <c r="AV537" s="220"/>
      <c r="AW537" s="220"/>
      <c r="AX537" s="220"/>
      <c r="AY537" s="220"/>
      <c r="AZ537" s="220"/>
    </row>
    <row r="538" ht="15.75" customHeight="1">
      <c r="A538" s="272"/>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c r="AA538" s="220"/>
      <c r="AB538" s="220"/>
      <c r="AC538" s="220"/>
      <c r="AD538" s="220"/>
      <c r="AE538" s="220"/>
      <c r="AF538" s="220"/>
      <c r="AG538" s="220"/>
      <c r="AH538" s="220"/>
      <c r="AI538" s="220"/>
      <c r="AJ538" s="220"/>
      <c r="AK538" s="220"/>
      <c r="AL538" s="220"/>
      <c r="AM538" s="220"/>
      <c r="AN538" s="220"/>
      <c r="AO538" s="220"/>
      <c r="AP538" s="220"/>
      <c r="AQ538" s="220"/>
      <c r="AR538" s="220"/>
      <c r="AS538" s="220"/>
      <c r="AT538" s="220"/>
      <c r="AU538" s="220"/>
      <c r="AV538" s="220"/>
      <c r="AW538" s="220"/>
      <c r="AX538" s="220"/>
      <c r="AY538" s="220"/>
      <c r="AZ538" s="220"/>
    </row>
    <row r="539" ht="15.75" customHeight="1">
      <c r="A539" s="272"/>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c r="AA539" s="220"/>
      <c r="AB539" s="220"/>
      <c r="AC539" s="220"/>
      <c r="AD539" s="220"/>
      <c r="AE539" s="220"/>
      <c r="AF539" s="220"/>
      <c r="AG539" s="220"/>
      <c r="AH539" s="220"/>
      <c r="AI539" s="220"/>
      <c r="AJ539" s="220"/>
      <c r="AK539" s="220"/>
      <c r="AL539" s="220"/>
      <c r="AM539" s="220"/>
      <c r="AN539" s="220"/>
      <c r="AO539" s="220"/>
      <c r="AP539" s="220"/>
      <c r="AQ539" s="220"/>
      <c r="AR539" s="220"/>
      <c r="AS539" s="220"/>
      <c r="AT539" s="220"/>
      <c r="AU539" s="220"/>
      <c r="AV539" s="220"/>
      <c r="AW539" s="220"/>
      <c r="AX539" s="220"/>
      <c r="AY539" s="220"/>
      <c r="AZ539" s="220"/>
    </row>
    <row r="540" ht="15.75" customHeight="1">
      <c r="A540" s="272"/>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c r="AA540" s="220"/>
      <c r="AB540" s="220"/>
      <c r="AC540" s="220"/>
      <c r="AD540" s="220"/>
      <c r="AE540" s="220"/>
      <c r="AF540" s="220"/>
      <c r="AG540" s="220"/>
      <c r="AH540" s="220"/>
      <c r="AI540" s="220"/>
      <c r="AJ540" s="220"/>
      <c r="AK540" s="220"/>
      <c r="AL540" s="220"/>
      <c r="AM540" s="220"/>
      <c r="AN540" s="220"/>
      <c r="AO540" s="220"/>
      <c r="AP540" s="220"/>
      <c r="AQ540" s="220"/>
      <c r="AR540" s="220"/>
      <c r="AS540" s="220"/>
      <c r="AT540" s="220"/>
      <c r="AU540" s="220"/>
      <c r="AV540" s="220"/>
      <c r="AW540" s="220"/>
      <c r="AX540" s="220"/>
      <c r="AY540" s="220"/>
      <c r="AZ540" s="220"/>
    </row>
    <row r="541" ht="15.75" customHeight="1">
      <c r="A541" s="272"/>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c r="AA541" s="220"/>
      <c r="AB541" s="220"/>
      <c r="AC541" s="220"/>
      <c r="AD541" s="220"/>
      <c r="AE541" s="220"/>
      <c r="AF541" s="220"/>
      <c r="AG541" s="220"/>
      <c r="AH541" s="220"/>
      <c r="AI541" s="220"/>
      <c r="AJ541" s="220"/>
      <c r="AK541" s="220"/>
      <c r="AL541" s="220"/>
      <c r="AM541" s="220"/>
      <c r="AN541" s="220"/>
      <c r="AO541" s="220"/>
      <c r="AP541" s="220"/>
      <c r="AQ541" s="220"/>
      <c r="AR541" s="220"/>
      <c r="AS541" s="220"/>
      <c r="AT541" s="220"/>
      <c r="AU541" s="220"/>
      <c r="AV541" s="220"/>
      <c r="AW541" s="220"/>
      <c r="AX541" s="220"/>
      <c r="AY541" s="220"/>
      <c r="AZ541" s="220"/>
    </row>
    <row r="542" ht="15.75" customHeight="1">
      <c r="A542" s="272"/>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c r="AA542" s="220"/>
      <c r="AB542" s="220"/>
      <c r="AC542" s="220"/>
      <c r="AD542" s="220"/>
      <c r="AE542" s="220"/>
      <c r="AF542" s="220"/>
      <c r="AG542" s="220"/>
      <c r="AH542" s="220"/>
      <c r="AI542" s="220"/>
      <c r="AJ542" s="220"/>
      <c r="AK542" s="220"/>
      <c r="AL542" s="220"/>
      <c r="AM542" s="220"/>
      <c r="AN542" s="220"/>
      <c r="AO542" s="220"/>
      <c r="AP542" s="220"/>
      <c r="AQ542" s="220"/>
      <c r="AR542" s="220"/>
      <c r="AS542" s="220"/>
      <c r="AT542" s="220"/>
      <c r="AU542" s="220"/>
      <c r="AV542" s="220"/>
      <c r="AW542" s="220"/>
      <c r="AX542" s="220"/>
      <c r="AY542" s="220"/>
      <c r="AZ542" s="220"/>
    </row>
    <row r="543" ht="15.75" customHeight="1">
      <c r="A543" s="272"/>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c r="AA543" s="220"/>
      <c r="AB543" s="220"/>
      <c r="AC543" s="220"/>
      <c r="AD543" s="220"/>
      <c r="AE543" s="220"/>
      <c r="AF543" s="220"/>
      <c r="AG543" s="220"/>
      <c r="AH543" s="220"/>
      <c r="AI543" s="220"/>
      <c r="AJ543" s="220"/>
      <c r="AK543" s="220"/>
      <c r="AL543" s="220"/>
      <c r="AM543" s="220"/>
      <c r="AN543" s="220"/>
      <c r="AO543" s="220"/>
      <c r="AP543" s="220"/>
      <c r="AQ543" s="220"/>
      <c r="AR543" s="220"/>
      <c r="AS543" s="220"/>
      <c r="AT543" s="220"/>
      <c r="AU543" s="220"/>
      <c r="AV543" s="220"/>
      <c r="AW543" s="220"/>
      <c r="AX543" s="220"/>
      <c r="AY543" s="220"/>
      <c r="AZ543" s="220"/>
    </row>
    <row r="544" ht="15.75" customHeight="1">
      <c r="A544" s="272"/>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c r="AA544" s="220"/>
      <c r="AB544" s="220"/>
      <c r="AC544" s="220"/>
      <c r="AD544" s="220"/>
      <c r="AE544" s="220"/>
      <c r="AF544" s="220"/>
      <c r="AG544" s="220"/>
      <c r="AH544" s="220"/>
      <c r="AI544" s="220"/>
      <c r="AJ544" s="220"/>
      <c r="AK544" s="220"/>
      <c r="AL544" s="220"/>
      <c r="AM544" s="220"/>
      <c r="AN544" s="220"/>
      <c r="AO544" s="220"/>
      <c r="AP544" s="220"/>
      <c r="AQ544" s="220"/>
      <c r="AR544" s="220"/>
      <c r="AS544" s="220"/>
      <c r="AT544" s="220"/>
      <c r="AU544" s="220"/>
      <c r="AV544" s="220"/>
      <c r="AW544" s="220"/>
      <c r="AX544" s="220"/>
      <c r="AY544" s="220"/>
      <c r="AZ544" s="220"/>
    </row>
    <row r="545" ht="15.75" customHeight="1">
      <c r="A545" s="272"/>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c r="AA545" s="220"/>
      <c r="AB545" s="220"/>
      <c r="AC545" s="220"/>
      <c r="AD545" s="220"/>
      <c r="AE545" s="220"/>
      <c r="AF545" s="220"/>
      <c r="AG545" s="220"/>
      <c r="AH545" s="220"/>
      <c r="AI545" s="220"/>
      <c r="AJ545" s="220"/>
      <c r="AK545" s="220"/>
      <c r="AL545" s="220"/>
      <c r="AM545" s="220"/>
      <c r="AN545" s="220"/>
      <c r="AO545" s="220"/>
      <c r="AP545" s="220"/>
      <c r="AQ545" s="220"/>
      <c r="AR545" s="220"/>
      <c r="AS545" s="220"/>
      <c r="AT545" s="220"/>
      <c r="AU545" s="220"/>
      <c r="AV545" s="220"/>
      <c r="AW545" s="220"/>
      <c r="AX545" s="220"/>
      <c r="AY545" s="220"/>
      <c r="AZ545" s="220"/>
    </row>
    <row r="546" ht="15.75" customHeight="1">
      <c r="A546" s="272"/>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c r="AA546" s="220"/>
      <c r="AB546" s="220"/>
      <c r="AC546" s="220"/>
      <c r="AD546" s="220"/>
      <c r="AE546" s="220"/>
      <c r="AF546" s="220"/>
      <c r="AG546" s="220"/>
      <c r="AH546" s="220"/>
      <c r="AI546" s="220"/>
      <c r="AJ546" s="220"/>
      <c r="AK546" s="220"/>
      <c r="AL546" s="220"/>
      <c r="AM546" s="220"/>
      <c r="AN546" s="220"/>
      <c r="AO546" s="220"/>
      <c r="AP546" s="220"/>
      <c r="AQ546" s="220"/>
      <c r="AR546" s="220"/>
      <c r="AS546" s="220"/>
      <c r="AT546" s="220"/>
      <c r="AU546" s="220"/>
      <c r="AV546" s="220"/>
      <c r="AW546" s="220"/>
      <c r="AX546" s="220"/>
      <c r="AY546" s="220"/>
      <c r="AZ546" s="220"/>
    </row>
    <row r="547" ht="15.75" customHeight="1">
      <c r="A547" s="272"/>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c r="AA547" s="220"/>
      <c r="AB547" s="220"/>
      <c r="AC547" s="220"/>
      <c r="AD547" s="220"/>
      <c r="AE547" s="220"/>
      <c r="AF547" s="220"/>
      <c r="AG547" s="220"/>
      <c r="AH547" s="220"/>
      <c r="AI547" s="220"/>
      <c r="AJ547" s="220"/>
      <c r="AK547" s="220"/>
      <c r="AL547" s="220"/>
      <c r="AM547" s="220"/>
      <c r="AN547" s="220"/>
      <c r="AO547" s="220"/>
      <c r="AP547" s="220"/>
      <c r="AQ547" s="220"/>
      <c r="AR547" s="220"/>
      <c r="AS547" s="220"/>
      <c r="AT547" s="220"/>
      <c r="AU547" s="220"/>
      <c r="AV547" s="220"/>
      <c r="AW547" s="220"/>
      <c r="AX547" s="220"/>
      <c r="AY547" s="220"/>
      <c r="AZ547" s="220"/>
    </row>
    <row r="548" ht="15.75" customHeight="1">
      <c r="A548" s="272"/>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c r="AA548" s="220"/>
      <c r="AB548" s="220"/>
      <c r="AC548" s="220"/>
      <c r="AD548" s="220"/>
      <c r="AE548" s="220"/>
      <c r="AF548" s="220"/>
      <c r="AG548" s="220"/>
      <c r="AH548" s="220"/>
      <c r="AI548" s="220"/>
      <c r="AJ548" s="220"/>
      <c r="AK548" s="220"/>
      <c r="AL548" s="220"/>
      <c r="AM548" s="220"/>
      <c r="AN548" s="220"/>
      <c r="AO548" s="220"/>
      <c r="AP548" s="220"/>
      <c r="AQ548" s="220"/>
      <c r="AR548" s="220"/>
      <c r="AS548" s="220"/>
      <c r="AT548" s="220"/>
      <c r="AU548" s="220"/>
      <c r="AV548" s="220"/>
      <c r="AW548" s="220"/>
      <c r="AX548" s="220"/>
      <c r="AY548" s="220"/>
      <c r="AZ548" s="220"/>
    </row>
    <row r="549" ht="15.75" customHeight="1">
      <c r="A549" s="272"/>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c r="AN549" s="220"/>
      <c r="AO549" s="220"/>
      <c r="AP549" s="220"/>
      <c r="AQ549" s="220"/>
      <c r="AR549" s="220"/>
      <c r="AS549" s="220"/>
      <c r="AT549" s="220"/>
      <c r="AU549" s="220"/>
      <c r="AV549" s="220"/>
      <c r="AW549" s="220"/>
      <c r="AX549" s="220"/>
      <c r="AY549" s="220"/>
      <c r="AZ549" s="220"/>
    </row>
    <row r="550" ht="15.75" customHeight="1">
      <c r="A550" s="272"/>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c r="AA550" s="220"/>
      <c r="AB550" s="220"/>
      <c r="AC550" s="220"/>
      <c r="AD550" s="220"/>
      <c r="AE550" s="220"/>
      <c r="AF550" s="220"/>
      <c r="AG550" s="220"/>
      <c r="AH550" s="220"/>
      <c r="AI550" s="220"/>
      <c r="AJ550" s="220"/>
      <c r="AK550" s="220"/>
      <c r="AL550" s="220"/>
      <c r="AM550" s="220"/>
      <c r="AN550" s="220"/>
      <c r="AO550" s="220"/>
      <c r="AP550" s="220"/>
      <c r="AQ550" s="220"/>
      <c r="AR550" s="220"/>
      <c r="AS550" s="220"/>
      <c r="AT550" s="220"/>
      <c r="AU550" s="220"/>
      <c r="AV550" s="220"/>
      <c r="AW550" s="220"/>
      <c r="AX550" s="220"/>
      <c r="AY550" s="220"/>
      <c r="AZ550" s="220"/>
    </row>
    <row r="551" ht="15.75" customHeight="1">
      <c r="A551" s="272"/>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c r="AA551" s="220"/>
      <c r="AB551" s="220"/>
      <c r="AC551" s="220"/>
      <c r="AD551" s="220"/>
      <c r="AE551" s="220"/>
      <c r="AF551" s="220"/>
      <c r="AG551" s="220"/>
      <c r="AH551" s="220"/>
      <c r="AI551" s="220"/>
      <c r="AJ551" s="220"/>
      <c r="AK551" s="220"/>
      <c r="AL551" s="220"/>
      <c r="AM551" s="220"/>
      <c r="AN551" s="220"/>
      <c r="AO551" s="220"/>
      <c r="AP551" s="220"/>
      <c r="AQ551" s="220"/>
      <c r="AR551" s="220"/>
      <c r="AS551" s="220"/>
      <c r="AT551" s="220"/>
      <c r="AU551" s="220"/>
      <c r="AV551" s="220"/>
      <c r="AW551" s="220"/>
      <c r="AX551" s="220"/>
      <c r="AY551" s="220"/>
      <c r="AZ551" s="220"/>
    </row>
    <row r="552" ht="15.75" customHeight="1">
      <c r="A552" s="272"/>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c r="AA552" s="220"/>
      <c r="AB552" s="220"/>
      <c r="AC552" s="220"/>
      <c r="AD552" s="220"/>
      <c r="AE552" s="220"/>
      <c r="AF552" s="220"/>
      <c r="AG552" s="220"/>
      <c r="AH552" s="220"/>
      <c r="AI552" s="220"/>
      <c r="AJ552" s="220"/>
      <c r="AK552" s="220"/>
      <c r="AL552" s="220"/>
      <c r="AM552" s="220"/>
      <c r="AN552" s="220"/>
      <c r="AO552" s="220"/>
      <c r="AP552" s="220"/>
      <c r="AQ552" s="220"/>
      <c r="AR552" s="220"/>
      <c r="AS552" s="220"/>
      <c r="AT552" s="220"/>
      <c r="AU552" s="220"/>
      <c r="AV552" s="220"/>
      <c r="AW552" s="220"/>
      <c r="AX552" s="220"/>
      <c r="AY552" s="220"/>
      <c r="AZ552" s="220"/>
    </row>
    <row r="553" ht="15.75" customHeight="1">
      <c r="A553" s="272"/>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c r="AA553" s="220"/>
      <c r="AB553" s="220"/>
      <c r="AC553" s="220"/>
      <c r="AD553" s="220"/>
      <c r="AE553" s="220"/>
      <c r="AF553" s="220"/>
      <c r="AG553" s="220"/>
      <c r="AH553" s="220"/>
      <c r="AI553" s="220"/>
      <c r="AJ553" s="220"/>
      <c r="AK553" s="220"/>
      <c r="AL553" s="220"/>
      <c r="AM553" s="220"/>
      <c r="AN553" s="220"/>
      <c r="AO553" s="220"/>
      <c r="AP553" s="220"/>
      <c r="AQ553" s="220"/>
      <c r="AR553" s="220"/>
      <c r="AS553" s="220"/>
      <c r="AT553" s="220"/>
      <c r="AU553" s="220"/>
      <c r="AV553" s="220"/>
      <c r="AW553" s="220"/>
      <c r="AX553" s="220"/>
      <c r="AY553" s="220"/>
      <c r="AZ553" s="220"/>
    </row>
    <row r="554" ht="15.75" customHeight="1">
      <c r="A554" s="272"/>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c r="AA554" s="220"/>
      <c r="AB554" s="220"/>
      <c r="AC554" s="220"/>
      <c r="AD554" s="220"/>
      <c r="AE554" s="220"/>
      <c r="AF554" s="220"/>
      <c r="AG554" s="220"/>
      <c r="AH554" s="220"/>
      <c r="AI554" s="220"/>
      <c r="AJ554" s="220"/>
      <c r="AK554" s="220"/>
      <c r="AL554" s="220"/>
      <c r="AM554" s="220"/>
      <c r="AN554" s="220"/>
      <c r="AO554" s="220"/>
      <c r="AP554" s="220"/>
      <c r="AQ554" s="220"/>
      <c r="AR554" s="220"/>
      <c r="AS554" s="220"/>
      <c r="AT554" s="220"/>
      <c r="AU554" s="220"/>
      <c r="AV554" s="220"/>
      <c r="AW554" s="220"/>
      <c r="AX554" s="220"/>
      <c r="AY554" s="220"/>
      <c r="AZ554" s="220"/>
    </row>
    <row r="555" ht="15.75" customHeight="1">
      <c r="A555" s="272"/>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c r="AA555" s="220"/>
      <c r="AB555" s="220"/>
      <c r="AC555" s="220"/>
      <c r="AD555" s="220"/>
      <c r="AE555" s="220"/>
      <c r="AF555" s="220"/>
      <c r="AG555" s="220"/>
      <c r="AH555" s="220"/>
      <c r="AI555" s="220"/>
      <c r="AJ555" s="220"/>
      <c r="AK555" s="220"/>
      <c r="AL555" s="220"/>
      <c r="AM555" s="220"/>
      <c r="AN555" s="220"/>
      <c r="AO555" s="220"/>
      <c r="AP555" s="220"/>
      <c r="AQ555" s="220"/>
      <c r="AR555" s="220"/>
      <c r="AS555" s="220"/>
      <c r="AT555" s="220"/>
      <c r="AU555" s="220"/>
      <c r="AV555" s="220"/>
      <c r="AW555" s="220"/>
      <c r="AX555" s="220"/>
      <c r="AY555" s="220"/>
      <c r="AZ555" s="220"/>
    </row>
    <row r="556" ht="15.75" customHeight="1">
      <c r="A556" s="272"/>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c r="AA556" s="220"/>
      <c r="AB556" s="220"/>
      <c r="AC556" s="220"/>
      <c r="AD556" s="220"/>
      <c r="AE556" s="220"/>
      <c r="AF556" s="220"/>
      <c r="AG556" s="220"/>
      <c r="AH556" s="220"/>
      <c r="AI556" s="220"/>
      <c r="AJ556" s="220"/>
      <c r="AK556" s="220"/>
      <c r="AL556" s="220"/>
      <c r="AM556" s="220"/>
      <c r="AN556" s="220"/>
      <c r="AO556" s="220"/>
      <c r="AP556" s="220"/>
      <c r="AQ556" s="220"/>
      <c r="AR556" s="220"/>
      <c r="AS556" s="220"/>
      <c r="AT556" s="220"/>
      <c r="AU556" s="220"/>
      <c r="AV556" s="220"/>
      <c r="AW556" s="220"/>
      <c r="AX556" s="220"/>
      <c r="AY556" s="220"/>
      <c r="AZ556" s="220"/>
    </row>
    <row r="557" ht="15.75" customHeight="1">
      <c r="A557" s="272"/>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220"/>
      <c r="AF557" s="220"/>
      <c r="AG557" s="220"/>
      <c r="AH557" s="220"/>
      <c r="AI557" s="220"/>
      <c r="AJ557" s="220"/>
      <c r="AK557" s="220"/>
      <c r="AL557" s="220"/>
      <c r="AM557" s="220"/>
      <c r="AN557" s="220"/>
      <c r="AO557" s="220"/>
      <c r="AP557" s="220"/>
      <c r="AQ557" s="220"/>
      <c r="AR557" s="220"/>
      <c r="AS557" s="220"/>
      <c r="AT557" s="220"/>
      <c r="AU557" s="220"/>
      <c r="AV557" s="220"/>
      <c r="AW557" s="220"/>
      <c r="AX557" s="220"/>
      <c r="AY557" s="220"/>
      <c r="AZ557" s="220"/>
    </row>
    <row r="558" ht="15.75" customHeight="1">
      <c r="A558" s="272"/>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c r="AA558" s="220"/>
      <c r="AB558" s="220"/>
      <c r="AC558" s="220"/>
      <c r="AD558" s="220"/>
      <c r="AE558" s="220"/>
      <c r="AF558" s="220"/>
      <c r="AG558" s="220"/>
      <c r="AH558" s="220"/>
      <c r="AI558" s="220"/>
      <c r="AJ558" s="220"/>
      <c r="AK558" s="220"/>
      <c r="AL558" s="220"/>
      <c r="AM558" s="220"/>
      <c r="AN558" s="220"/>
      <c r="AO558" s="220"/>
      <c r="AP558" s="220"/>
      <c r="AQ558" s="220"/>
      <c r="AR558" s="220"/>
      <c r="AS558" s="220"/>
      <c r="AT558" s="220"/>
      <c r="AU558" s="220"/>
      <c r="AV558" s="220"/>
      <c r="AW558" s="220"/>
      <c r="AX558" s="220"/>
      <c r="AY558" s="220"/>
      <c r="AZ558" s="220"/>
    </row>
    <row r="559" ht="15.75" customHeight="1">
      <c r="A559" s="272"/>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c r="AA559" s="220"/>
      <c r="AB559" s="220"/>
      <c r="AC559" s="220"/>
      <c r="AD559" s="220"/>
      <c r="AE559" s="220"/>
      <c r="AF559" s="220"/>
      <c r="AG559" s="220"/>
      <c r="AH559" s="220"/>
      <c r="AI559" s="220"/>
      <c r="AJ559" s="220"/>
      <c r="AK559" s="220"/>
      <c r="AL559" s="220"/>
      <c r="AM559" s="220"/>
      <c r="AN559" s="220"/>
      <c r="AO559" s="220"/>
      <c r="AP559" s="220"/>
      <c r="AQ559" s="220"/>
      <c r="AR559" s="220"/>
      <c r="AS559" s="220"/>
      <c r="AT559" s="220"/>
      <c r="AU559" s="220"/>
      <c r="AV559" s="220"/>
      <c r="AW559" s="220"/>
      <c r="AX559" s="220"/>
      <c r="AY559" s="220"/>
      <c r="AZ559" s="220"/>
    </row>
    <row r="560" ht="15.75" customHeight="1">
      <c r="A560" s="272"/>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c r="AA560" s="220"/>
      <c r="AB560" s="220"/>
      <c r="AC560" s="220"/>
      <c r="AD560" s="220"/>
      <c r="AE560" s="220"/>
      <c r="AF560" s="220"/>
      <c r="AG560" s="220"/>
      <c r="AH560" s="220"/>
      <c r="AI560" s="220"/>
      <c r="AJ560" s="220"/>
      <c r="AK560" s="220"/>
      <c r="AL560" s="220"/>
      <c r="AM560" s="220"/>
      <c r="AN560" s="220"/>
      <c r="AO560" s="220"/>
      <c r="AP560" s="220"/>
      <c r="AQ560" s="220"/>
      <c r="AR560" s="220"/>
      <c r="AS560" s="220"/>
      <c r="AT560" s="220"/>
      <c r="AU560" s="220"/>
      <c r="AV560" s="220"/>
      <c r="AW560" s="220"/>
      <c r="AX560" s="220"/>
      <c r="AY560" s="220"/>
      <c r="AZ560" s="220"/>
    </row>
    <row r="561" ht="15.75" customHeight="1">
      <c r="A561" s="272"/>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c r="AA561" s="220"/>
      <c r="AB561" s="220"/>
      <c r="AC561" s="220"/>
      <c r="AD561" s="220"/>
      <c r="AE561" s="220"/>
      <c r="AF561" s="220"/>
      <c r="AG561" s="220"/>
      <c r="AH561" s="220"/>
      <c r="AI561" s="220"/>
      <c r="AJ561" s="220"/>
      <c r="AK561" s="220"/>
      <c r="AL561" s="220"/>
      <c r="AM561" s="220"/>
      <c r="AN561" s="220"/>
      <c r="AO561" s="220"/>
      <c r="AP561" s="220"/>
      <c r="AQ561" s="220"/>
      <c r="AR561" s="220"/>
      <c r="AS561" s="220"/>
      <c r="AT561" s="220"/>
      <c r="AU561" s="220"/>
      <c r="AV561" s="220"/>
      <c r="AW561" s="220"/>
      <c r="AX561" s="220"/>
      <c r="AY561" s="220"/>
      <c r="AZ561" s="220"/>
    </row>
    <row r="562" ht="15.75" customHeight="1">
      <c r="A562" s="272"/>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c r="AA562" s="220"/>
      <c r="AB562" s="220"/>
      <c r="AC562" s="220"/>
      <c r="AD562" s="220"/>
      <c r="AE562" s="220"/>
      <c r="AF562" s="220"/>
      <c r="AG562" s="220"/>
      <c r="AH562" s="220"/>
      <c r="AI562" s="220"/>
      <c r="AJ562" s="220"/>
      <c r="AK562" s="220"/>
      <c r="AL562" s="220"/>
      <c r="AM562" s="220"/>
      <c r="AN562" s="220"/>
      <c r="AO562" s="220"/>
      <c r="AP562" s="220"/>
      <c r="AQ562" s="220"/>
      <c r="AR562" s="220"/>
      <c r="AS562" s="220"/>
      <c r="AT562" s="220"/>
      <c r="AU562" s="220"/>
      <c r="AV562" s="220"/>
      <c r="AW562" s="220"/>
      <c r="AX562" s="220"/>
      <c r="AY562" s="220"/>
      <c r="AZ562" s="220"/>
    </row>
    <row r="563" ht="15.75" customHeight="1">
      <c r="A563" s="272"/>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c r="AA563" s="220"/>
      <c r="AB563" s="220"/>
      <c r="AC563" s="220"/>
      <c r="AD563" s="220"/>
      <c r="AE563" s="220"/>
      <c r="AF563" s="220"/>
      <c r="AG563" s="220"/>
      <c r="AH563" s="220"/>
      <c r="AI563" s="220"/>
      <c r="AJ563" s="220"/>
      <c r="AK563" s="220"/>
      <c r="AL563" s="220"/>
      <c r="AM563" s="220"/>
      <c r="AN563" s="220"/>
      <c r="AO563" s="220"/>
      <c r="AP563" s="220"/>
      <c r="AQ563" s="220"/>
      <c r="AR563" s="220"/>
      <c r="AS563" s="220"/>
      <c r="AT563" s="220"/>
      <c r="AU563" s="220"/>
      <c r="AV563" s="220"/>
      <c r="AW563" s="220"/>
      <c r="AX563" s="220"/>
      <c r="AY563" s="220"/>
      <c r="AZ563" s="220"/>
    </row>
    <row r="564" ht="15.75" customHeight="1">
      <c r="A564" s="272"/>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c r="AA564" s="220"/>
      <c r="AB564" s="220"/>
      <c r="AC564" s="220"/>
      <c r="AD564" s="220"/>
      <c r="AE564" s="220"/>
      <c r="AF564" s="220"/>
      <c r="AG564" s="220"/>
      <c r="AH564" s="220"/>
      <c r="AI564" s="220"/>
      <c r="AJ564" s="220"/>
      <c r="AK564" s="220"/>
      <c r="AL564" s="220"/>
      <c r="AM564" s="220"/>
      <c r="AN564" s="220"/>
      <c r="AO564" s="220"/>
      <c r="AP564" s="220"/>
      <c r="AQ564" s="220"/>
      <c r="AR564" s="220"/>
      <c r="AS564" s="220"/>
      <c r="AT564" s="220"/>
      <c r="AU564" s="220"/>
      <c r="AV564" s="220"/>
      <c r="AW564" s="220"/>
      <c r="AX564" s="220"/>
      <c r="AY564" s="220"/>
      <c r="AZ564" s="220"/>
    </row>
    <row r="565" ht="15.75" customHeight="1">
      <c r="A565" s="272"/>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c r="AA565" s="220"/>
      <c r="AB565" s="220"/>
      <c r="AC565" s="220"/>
      <c r="AD565" s="220"/>
      <c r="AE565" s="220"/>
      <c r="AF565" s="220"/>
      <c r="AG565" s="220"/>
      <c r="AH565" s="220"/>
      <c r="AI565" s="220"/>
      <c r="AJ565" s="220"/>
      <c r="AK565" s="220"/>
      <c r="AL565" s="220"/>
      <c r="AM565" s="220"/>
      <c r="AN565" s="220"/>
      <c r="AO565" s="220"/>
      <c r="AP565" s="220"/>
      <c r="AQ565" s="220"/>
      <c r="AR565" s="220"/>
      <c r="AS565" s="220"/>
      <c r="AT565" s="220"/>
      <c r="AU565" s="220"/>
      <c r="AV565" s="220"/>
      <c r="AW565" s="220"/>
      <c r="AX565" s="220"/>
      <c r="AY565" s="220"/>
      <c r="AZ565" s="220"/>
    </row>
    <row r="566" ht="15.75" customHeight="1">
      <c r="A566" s="272"/>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c r="AA566" s="220"/>
      <c r="AB566" s="220"/>
      <c r="AC566" s="220"/>
      <c r="AD566" s="220"/>
      <c r="AE566" s="220"/>
      <c r="AF566" s="220"/>
      <c r="AG566" s="220"/>
      <c r="AH566" s="220"/>
      <c r="AI566" s="220"/>
      <c r="AJ566" s="220"/>
      <c r="AK566" s="220"/>
      <c r="AL566" s="220"/>
      <c r="AM566" s="220"/>
      <c r="AN566" s="220"/>
      <c r="AO566" s="220"/>
      <c r="AP566" s="220"/>
      <c r="AQ566" s="220"/>
      <c r="AR566" s="220"/>
      <c r="AS566" s="220"/>
      <c r="AT566" s="220"/>
      <c r="AU566" s="220"/>
      <c r="AV566" s="220"/>
      <c r="AW566" s="220"/>
      <c r="AX566" s="220"/>
      <c r="AY566" s="220"/>
      <c r="AZ566" s="220"/>
    </row>
    <row r="567" ht="15.75" customHeight="1">
      <c r="A567" s="272"/>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c r="AA567" s="220"/>
      <c r="AB567" s="220"/>
      <c r="AC567" s="220"/>
      <c r="AD567" s="220"/>
      <c r="AE567" s="220"/>
      <c r="AF567" s="220"/>
      <c r="AG567" s="220"/>
      <c r="AH567" s="220"/>
      <c r="AI567" s="220"/>
      <c r="AJ567" s="220"/>
      <c r="AK567" s="220"/>
      <c r="AL567" s="220"/>
      <c r="AM567" s="220"/>
      <c r="AN567" s="220"/>
      <c r="AO567" s="220"/>
      <c r="AP567" s="220"/>
      <c r="AQ567" s="220"/>
      <c r="AR567" s="220"/>
      <c r="AS567" s="220"/>
      <c r="AT567" s="220"/>
      <c r="AU567" s="220"/>
      <c r="AV567" s="220"/>
      <c r="AW567" s="220"/>
      <c r="AX567" s="220"/>
      <c r="AY567" s="220"/>
      <c r="AZ567" s="220"/>
    </row>
    <row r="568" ht="15.75" customHeight="1">
      <c r="A568" s="272"/>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c r="AA568" s="220"/>
      <c r="AB568" s="220"/>
      <c r="AC568" s="220"/>
      <c r="AD568" s="220"/>
      <c r="AE568" s="220"/>
      <c r="AF568" s="220"/>
      <c r="AG568" s="220"/>
      <c r="AH568" s="220"/>
      <c r="AI568" s="220"/>
      <c r="AJ568" s="220"/>
      <c r="AK568" s="220"/>
      <c r="AL568" s="220"/>
      <c r="AM568" s="220"/>
      <c r="AN568" s="220"/>
      <c r="AO568" s="220"/>
      <c r="AP568" s="220"/>
      <c r="AQ568" s="220"/>
      <c r="AR568" s="220"/>
      <c r="AS568" s="220"/>
      <c r="AT568" s="220"/>
      <c r="AU568" s="220"/>
      <c r="AV568" s="220"/>
      <c r="AW568" s="220"/>
      <c r="AX568" s="220"/>
      <c r="AY568" s="220"/>
      <c r="AZ568" s="220"/>
    </row>
    <row r="569" ht="15.75" customHeight="1">
      <c r="A569" s="272"/>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c r="AA569" s="220"/>
      <c r="AB569" s="220"/>
      <c r="AC569" s="220"/>
      <c r="AD569" s="220"/>
      <c r="AE569" s="220"/>
      <c r="AF569" s="220"/>
      <c r="AG569" s="220"/>
      <c r="AH569" s="220"/>
      <c r="AI569" s="220"/>
      <c r="AJ569" s="220"/>
      <c r="AK569" s="220"/>
      <c r="AL569" s="220"/>
      <c r="AM569" s="220"/>
      <c r="AN569" s="220"/>
      <c r="AO569" s="220"/>
      <c r="AP569" s="220"/>
      <c r="AQ569" s="220"/>
      <c r="AR569" s="220"/>
      <c r="AS569" s="220"/>
      <c r="AT569" s="220"/>
      <c r="AU569" s="220"/>
      <c r="AV569" s="220"/>
      <c r="AW569" s="220"/>
      <c r="AX569" s="220"/>
      <c r="AY569" s="220"/>
      <c r="AZ569" s="220"/>
    </row>
    <row r="570" ht="15.75" customHeight="1">
      <c r="A570" s="272"/>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c r="AA570" s="220"/>
      <c r="AB570" s="220"/>
      <c r="AC570" s="220"/>
      <c r="AD570" s="220"/>
      <c r="AE570" s="220"/>
      <c r="AF570" s="220"/>
      <c r="AG570" s="220"/>
      <c r="AH570" s="220"/>
      <c r="AI570" s="220"/>
      <c r="AJ570" s="220"/>
      <c r="AK570" s="220"/>
      <c r="AL570" s="220"/>
      <c r="AM570" s="220"/>
      <c r="AN570" s="220"/>
      <c r="AO570" s="220"/>
      <c r="AP570" s="220"/>
      <c r="AQ570" s="220"/>
      <c r="AR570" s="220"/>
      <c r="AS570" s="220"/>
      <c r="AT570" s="220"/>
      <c r="AU570" s="220"/>
      <c r="AV570" s="220"/>
      <c r="AW570" s="220"/>
      <c r="AX570" s="220"/>
      <c r="AY570" s="220"/>
      <c r="AZ570" s="220"/>
    </row>
    <row r="571" ht="15.75" customHeight="1">
      <c r="A571" s="272"/>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c r="AA571" s="220"/>
      <c r="AB571" s="220"/>
      <c r="AC571" s="220"/>
      <c r="AD571" s="220"/>
      <c r="AE571" s="220"/>
      <c r="AF571" s="220"/>
      <c r="AG571" s="220"/>
      <c r="AH571" s="220"/>
      <c r="AI571" s="220"/>
      <c r="AJ571" s="220"/>
      <c r="AK571" s="220"/>
      <c r="AL571" s="220"/>
      <c r="AM571" s="220"/>
      <c r="AN571" s="220"/>
      <c r="AO571" s="220"/>
      <c r="AP571" s="220"/>
      <c r="AQ571" s="220"/>
      <c r="AR571" s="220"/>
      <c r="AS571" s="220"/>
      <c r="AT571" s="220"/>
      <c r="AU571" s="220"/>
      <c r="AV571" s="220"/>
      <c r="AW571" s="220"/>
      <c r="AX571" s="220"/>
      <c r="AY571" s="220"/>
      <c r="AZ571" s="220"/>
    </row>
    <row r="572" ht="15.75" customHeight="1">
      <c r="A572" s="272"/>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c r="AA572" s="220"/>
      <c r="AB572" s="220"/>
      <c r="AC572" s="220"/>
      <c r="AD572" s="220"/>
      <c r="AE572" s="220"/>
      <c r="AF572" s="220"/>
      <c r="AG572" s="220"/>
      <c r="AH572" s="220"/>
      <c r="AI572" s="220"/>
      <c r="AJ572" s="220"/>
      <c r="AK572" s="220"/>
      <c r="AL572" s="220"/>
      <c r="AM572" s="220"/>
      <c r="AN572" s="220"/>
      <c r="AO572" s="220"/>
      <c r="AP572" s="220"/>
      <c r="AQ572" s="220"/>
      <c r="AR572" s="220"/>
      <c r="AS572" s="220"/>
      <c r="AT572" s="220"/>
      <c r="AU572" s="220"/>
      <c r="AV572" s="220"/>
      <c r="AW572" s="220"/>
      <c r="AX572" s="220"/>
      <c r="AY572" s="220"/>
      <c r="AZ572" s="220"/>
    </row>
    <row r="573" ht="15.75" customHeight="1">
      <c r="A573" s="272"/>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c r="AA573" s="220"/>
      <c r="AB573" s="220"/>
      <c r="AC573" s="220"/>
      <c r="AD573" s="220"/>
      <c r="AE573" s="220"/>
      <c r="AF573" s="220"/>
      <c r="AG573" s="220"/>
      <c r="AH573" s="220"/>
      <c r="AI573" s="220"/>
      <c r="AJ573" s="220"/>
      <c r="AK573" s="220"/>
      <c r="AL573" s="220"/>
      <c r="AM573" s="220"/>
      <c r="AN573" s="220"/>
      <c r="AO573" s="220"/>
      <c r="AP573" s="220"/>
      <c r="AQ573" s="220"/>
      <c r="AR573" s="220"/>
      <c r="AS573" s="220"/>
      <c r="AT573" s="220"/>
      <c r="AU573" s="220"/>
      <c r="AV573" s="220"/>
      <c r="AW573" s="220"/>
      <c r="AX573" s="220"/>
      <c r="AY573" s="220"/>
      <c r="AZ573" s="220"/>
    </row>
    <row r="574" ht="15.75" customHeight="1">
      <c r="A574" s="272"/>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c r="AA574" s="220"/>
      <c r="AB574" s="220"/>
      <c r="AC574" s="220"/>
      <c r="AD574" s="220"/>
      <c r="AE574" s="220"/>
      <c r="AF574" s="220"/>
      <c r="AG574" s="220"/>
      <c r="AH574" s="220"/>
      <c r="AI574" s="220"/>
      <c r="AJ574" s="220"/>
      <c r="AK574" s="220"/>
      <c r="AL574" s="220"/>
      <c r="AM574" s="220"/>
      <c r="AN574" s="220"/>
      <c r="AO574" s="220"/>
      <c r="AP574" s="220"/>
      <c r="AQ574" s="220"/>
      <c r="AR574" s="220"/>
      <c r="AS574" s="220"/>
      <c r="AT574" s="220"/>
      <c r="AU574" s="220"/>
      <c r="AV574" s="220"/>
      <c r="AW574" s="220"/>
      <c r="AX574" s="220"/>
      <c r="AY574" s="220"/>
      <c r="AZ574" s="220"/>
    </row>
    <row r="575" ht="15.75" customHeight="1">
      <c r="A575" s="272"/>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c r="AA575" s="220"/>
      <c r="AB575" s="220"/>
      <c r="AC575" s="220"/>
      <c r="AD575" s="220"/>
      <c r="AE575" s="220"/>
      <c r="AF575" s="220"/>
      <c r="AG575" s="220"/>
      <c r="AH575" s="220"/>
      <c r="AI575" s="220"/>
      <c r="AJ575" s="220"/>
      <c r="AK575" s="220"/>
      <c r="AL575" s="220"/>
      <c r="AM575" s="220"/>
      <c r="AN575" s="220"/>
      <c r="AO575" s="220"/>
      <c r="AP575" s="220"/>
      <c r="AQ575" s="220"/>
      <c r="AR575" s="220"/>
      <c r="AS575" s="220"/>
      <c r="AT575" s="220"/>
      <c r="AU575" s="220"/>
      <c r="AV575" s="220"/>
      <c r="AW575" s="220"/>
      <c r="AX575" s="220"/>
      <c r="AY575" s="220"/>
      <c r="AZ575" s="220"/>
    </row>
    <row r="576" ht="15.75" customHeight="1">
      <c r="A576" s="272"/>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c r="AA576" s="220"/>
      <c r="AB576" s="220"/>
      <c r="AC576" s="220"/>
      <c r="AD576" s="220"/>
      <c r="AE576" s="220"/>
      <c r="AF576" s="220"/>
      <c r="AG576" s="220"/>
      <c r="AH576" s="220"/>
      <c r="AI576" s="220"/>
      <c r="AJ576" s="220"/>
      <c r="AK576" s="220"/>
      <c r="AL576" s="220"/>
      <c r="AM576" s="220"/>
      <c r="AN576" s="220"/>
      <c r="AO576" s="220"/>
      <c r="AP576" s="220"/>
      <c r="AQ576" s="220"/>
      <c r="AR576" s="220"/>
      <c r="AS576" s="220"/>
      <c r="AT576" s="220"/>
      <c r="AU576" s="220"/>
      <c r="AV576" s="220"/>
      <c r="AW576" s="220"/>
      <c r="AX576" s="220"/>
      <c r="AY576" s="220"/>
      <c r="AZ576" s="220"/>
    </row>
    <row r="577" ht="15.75" customHeight="1">
      <c r="A577" s="272"/>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c r="AA577" s="220"/>
      <c r="AB577" s="220"/>
      <c r="AC577" s="220"/>
      <c r="AD577" s="220"/>
      <c r="AE577" s="220"/>
      <c r="AF577" s="220"/>
      <c r="AG577" s="220"/>
      <c r="AH577" s="220"/>
      <c r="AI577" s="220"/>
      <c r="AJ577" s="220"/>
      <c r="AK577" s="220"/>
      <c r="AL577" s="220"/>
      <c r="AM577" s="220"/>
      <c r="AN577" s="220"/>
      <c r="AO577" s="220"/>
      <c r="AP577" s="220"/>
      <c r="AQ577" s="220"/>
      <c r="AR577" s="220"/>
      <c r="AS577" s="220"/>
      <c r="AT577" s="220"/>
      <c r="AU577" s="220"/>
      <c r="AV577" s="220"/>
      <c r="AW577" s="220"/>
      <c r="AX577" s="220"/>
      <c r="AY577" s="220"/>
      <c r="AZ577" s="220"/>
    </row>
    <row r="578" ht="15.75" customHeight="1">
      <c r="A578" s="272"/>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c r="AA578" s="220"/>
      <c r="AB578" s="220"/>
      <c r="AC578" s="220"/>
      <c r="AD578" s="220"/>
      <c r="AE578" s="220"/>
      <c r="AF578" s="220"/>
      <c r="AG578" s="220"/>
      <c r="AH578" s="220"/>
      <c r="AI578" s="220"/>
      <c r="AJ578" s="220"/>
      <c r="AK578" s="220"/>
      <c r="AL578" s="220"/>
      <c r="AM578" s="220"/>
      <c r="AN578" s="220"/>
      <c r="AO578" s="220"/>
      <c r="AP578" s="220"/>
      <c r="AQ578" s="220"/>
      <c r="AR578" s="220"/>
      <c r="AS578" s="220"/>
      <c r="AT578" s="220"/>
      <c r="AU578" s="220"/>
      <c r="AV578" s="220"/>
      <c r="AW578" s="220"/>
      <c r="AX578" s="220"/>
      <c r="AY578" s="220"/>
      <c r="AZ578" s="220"/>
    </row>
    <row r="579" ht="15.75" customHeight="1">
      <c r="A579" s="272"/>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c r="AA579" s="220"/>
      <c r="AB579" s="220"/>
      <c r="AC579" s="220"/>
      <c r="AD579" s="220"/>
      <c r="AE579" s="220"/>
      <c r="AF579" s="220"/>
      <c r="AG579" s="220"/>
      <c r="AH579" s="220"/>
      <c r="AI579" s="220"/>
      <c r="AJ579" s="220"/>
      <c r="AK579" s="220"/>
      <c r="AL579" s="220"/>
      <c r="AM579" s="220"/>
      <c r="AN579" s="220"/>
      <c r="AO579" s="220"/>
      <c r="AP579" s="220"/>
      <c r="AQ579" s="220"/>
      <c r="AR579" s="220"/>
      <c r="AS579" s="220"/>
      <c r="AT579" s="220"/>
      <c r="AU579" s="220"/>
      <c r="AV579" s="220"/>
      <c r="AW579" s="220"/>
      <c r="AX579" s="220"/>
      <c r="AY579" s="220"/>
      <c r="AZ579" s="220"/>
    </row>
    <row r="580" ht="15.75" customHeight="1">
      <c r="A580" s="272"/>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c r="AA580" s="220"/>
      <c r="AB580" s="220"/>
      <c r="AC580" s="220"/>
      <c r="AD580" s="220"/>
      <c r="AE580" s="220"/>
      <c r="AF580" s="220"/>
      <c r="AG580" s="220"/>
      <c r="AH580" s="220"/>
      <c r="AI580" s="220"/>
      <c r="AJ580" s="220"/>
      <c r="AK580" s="220"/>
      <c r="AL580" s="220"/>
      <c r="AM580" s="220"/>
      <c r="AN580" s="220"/>
      <c r="AO580" s="220"/>
      <c r="AP580" s="220"/>
      <c r="AQ580" s="220"/>
      <c r="AR580" s="220"/>
      <c r="AS580" s="220"/>
      <c r="AT580" s="220"/>
      <c r="AU580" s="220"/>
      <c r="AV580" s="220"/>
      <c r="AW580" s="220"/>
      <c r="AX580" s="220"/>
      <c r="AY580" s="220"/>
      <c r="AZ580" s="220"/>
    </row>
    <row r="581" ht="15.75" customHeight="1">
      <c r="A581" s="272"/>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c r="AA581" s="220"/>
      <c r="AB581" s="220"/>
      <c r="AC581" s="220"/>
      <c r="AD581" s="220"/>
      <c r="AE581" s="220"/>
      <c r="AF581" s="220"/>
      <c r="AG581" s="220"/>
      <c r="AH581" s="220"/>
      <c r="AI581" s="220"/>
      <c r="AJ581" s="220"/>
      <c r="AK581" s="220"/>
      <c r="AL581" s="220"/>
      <c r="AM581" s="220"/>
      <c r="AN581" s="220"/>
      <c r="AO581" s="220"/>
      <c r="AP581" s="220"/>
      <c r="AQ581" s="220"/>
      <c r="AR581" s="220"/>
      <c r="AS581" s="220"/>
      <c r="AT581" s="220"/>
      <c r="AU581" s="220"/>
      <c r="AV581" s="220"/>
      <c r="AW581" s="220"/>
      <c r="AX581" s="220"/>
      <c r="AY581" s="220"/>
      <c r="AZ581" s="220"/>
    </row>
    <row r="582" ht="15.75" customHeight="1">
      <c r="A582" s="272"/>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c r="AA582" s="220"/>
      <c r="AB582" s="220"/>
      <c r="AC582" s="220"/>
      <c r="AD582" s="220"/>
      <c r="AE582" s="220"/>
      <c r="AF582" s="220"/>
      <c r="AG582" s="220"/>
      <c r="AH582" s="220"/>
      <c r="AI582" s="220"/>
      <c r="AJ582" s="220"/>
      <c r="AK582" s="220"/>
      <c r="AL582" s="220"/>
      <c r="AM582" s="220"/>
      <c r="AN582" s="220"/>
      <c r="AO582" s="220"/>
      <c r="AP582" s="220"/>
      <c r="AQ582" s="220"/>
      <c r="AR582" s="220"/>
      <c r="AS582" s="220"/>
      <c r="AT582" s="220"/>
      <c r="AU582" s="220"/>
      <c r="AV582" s="220"/>
      <c r="AW582" s="220"/>
      <c r="AX582" s="220"/>
      <c r="AY582" s="220"/>
      <c r="AZ582" s="220"/>
    </row>
    <row r="583" ht="15.75" customHeight="1">
      <c r="A583" s="272"/>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c r="AA583" s="220"/>
      <c r="AB583" s="220"/>
      <c r="AC583" s="220"/>
      <c r="AD583" s="220"/>
      <c r="AE583" s="220"/>
      <c r="AF583" s="220"/>
      <c r="AG583" s="220"/>
      <c r="AH583" s="220"/>
      <c r="AI583" s="220"/>
      <c r="AJ583" s="220"/>
      <c r="AK583" s="220"/>
      <c r="AL583" s="220"/>
      <c r="AM583" s="220"/>
      <c r="AN583" s="220"/>
      <c r="AO583" s="220"/>
      <c r="AP583" s="220"/>
      <c r="AQ583" s="220"/>
      <c r="AR583" s="220"/>
      <c r="AS583" s="220"/>
      <c r="AT583" s="220"/>
      <c r="AU583" s="220"/>
      <c r="AV583" s="220"/>
      <c r="AW583" s="220"/>
      <c r="AX583" s="220"/>
      <c r="AY583" s="220"/>
      <c r="AZ583" s="220"/>
    </row>
    <row r="584" ht="15.75" customHeight="1">
      <c r="A584" s="272"/>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c r="AA584" s="220"/>
      <c r="AB584" s="220"/>
      <c r="AC584" s="220"/>
      <c r="AD584" s="220"/>
      <c r="AE584" s="220"/>
      <c r="AF584" s="220"/>
      <c r="AG584" s="220"/>
      <c r="AH584" s="220"/>
      <c r="AI584" s="220"/>
      <c r="AJ584" s="220"/>
      <c r="AK584" s="220"/>
      <c r="AL584" s="220"/>
      <c r="AM584" s="220"/>
      <c r="AN584" s="220"/>
      <c r="AO584" s="220"/>
      <c r="AP584" s="220"/>
      <c r="AQ584" s="220"/>
      <c r="AR584" s="220"/>
      <c r="AS584" s="220"/>
      <c r="AT584" s="220"/>
      <c r="AU584" s="220"/>
      <c r="AV584" s="220"/>
      <c r="AW584" s="220"/>
      <c r="AX584" s="220"/>
      <c r="AY584" s="220"/>
      <c r="AZ584" s="220"/>
    </row>
    <row r="585" ht="15.75" customHeight="1">
      <c r="A585" s="272"/>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c r="AA585" s="220"/>
      <c r="AB585" s="220"/>
      <c r="AC585" s="220"/>
      <c r="AD585" s="220"/>
      <c r="AE585" s="220"/>
      <c r="AF585" s="220"/>
      <c r="AG585" s="220"/>
      <c r="AH585" s="220"/>
      <c r="AI585" s="220"/>
      <c r="AJ585" s="220"/>
      <c r="AK585" s="220"/>
      <c r="AL585" s="220"/>
      <c r="AM585" s="220"/>
      <c r="AN585" s="220"/>
      <c r="AO585" s="220"/>
      <c r="AP585" s="220"/>
      <c r="AQ585" s="220"/>
      <c r="AR585" s="220"/>
      <c r="AS585" s="220"/>
      <c r="AT585" s="220"/>
      <c r="AU585" s="220"/>
      <c r="AV585" s="220"/>
      <c r="AW585" s="220"/>
      <c r="AX585" s="220"/>
      <c r="AY585" s="220"/>
      <c r="AZ585" s="220"/>
    </row>
    <row r="586" ht="15.75" customHeight="1">
      <c r="A586" s="272"/>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c r="AA586" s="220"/>
      <c r="AB586" s="220"/>
      <c r="AC586" s="220"/>
      <c r="AD586" s="220"/>
      <c r="AE586" s="220"/>
      <c r="AF586" s="220"/>
      <c r="AG586" s="220"/>
      <c r="AH586" s="220"/>
      <c r="AI586" s="220"/>
      <c r="AJ586" s="220"/>
      <c r="AK586" s="220"/>
      <c r="AL586" s="220"/>
      <c r="AM586" s="220"/>
      <c r="AN586" s="220"/>
      <c r="AO586" s="220"/>
      <c r="AP586" s="220"/>
      <c r="AQ586" s="220"/>
      <c r="AR586" s="220"/>
      <c r="AS586" s="220"/>
      <c r="AT586" s="220"/>
      <c r="AU586" s="220"/>
      <c r="AV586" s="220"/>
      <c r="AW586" s="220"/>
      <c r="AX586" s="220"/>
      <c r="AY586" s="220"/>
      <c r="AZ586" s="220"/>
    </row>
    <row r="587" ht="15.75" customHeight="1">
      <c r="A587" s="272"/>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c r="AA587" s="220"/>
      <c r="AB587" s="220"/>
      <c r="AC587" s="220"/>
      <c r="AD587" s="220"/>
      <c r="AE587" s="220"/>
      <c r="AF587" s="220"/>
      <c r="AG587" s="220"/>
      <c r="AH587" s="220"/>
      <c r="AI587" s="220"/>
      <c r="AJ587" s="220"/>
      <c r="AK587" s="220"/>
      <c r="AL587" s="220"/>
      <c r="AM587" s="220"/>
      <c r="AN587" s="220"/>
      <c r="AO587" s="220"/>
      <c r="AP587" s="220"/>
      <c r="AQ587" s="220"/>
      <c r="AR587" s="220"/>
      <c r="AS587" s="220"/>
      <c r="AT587" s="220"/>
      <c r="AU587" s="220"/>
      <c r="AV587" s="220"/>
      <c r="AW587" s="220"/>
      <c r="AX587" s="220"/>
      <c r="AY587" s="220"/>
      <c r="AZ587" s="220"/>
    </row>
    <row r="588" ht="15.75" customHeight="1">
      <c r="A588" s="272"/>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c r="AA588" s="220"/>
      <c r="AB588" s="220"/>
      <c r="AC588" s="220"/>
      <c r="AD588" s="220"/>
      <c r="AE588" s="220"/>
      <c r="AF588" s="220"/>
      <c r="AG588" s="220"/>
      <c r="AH588" s="220"/>
      <c r="AI588" s="220"/>
      <c r="AJ588" s="220"/>
      <c r="AK588" s="220"/>
      <c r="AL588" s="220"/>
      <c r="AM588" s="220"/>
      <c r="AN588" s="220"/>
      <c r="AO588" s="220"/>
      <c r="AP588" s="220"/>
      <c r="AQ588" s="220"/>
      <c r="AR588" s="220"/>
      <c r="AS588" s="220"/>
      <c r="AT588" s="220"/>
      <c r="AU588" s="220"/>
      <c r="AV588" s="220"/>
      <c r="AW588" s="220"/>
      <c r="AX588" s="220"/>
      <c r="AY588" s="220"/>
      <c r="AZ588" s="220"/>
    </row>
    <row r="589" ht="15.75" customHeight="1">
      <c r="A589" s="272"/>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c r="AA589" s="220"/>
      <c r="AB589" s="220"/>
      <c r="AC589" s="220"/>
      <c r="AD589" s="220"/>
      <c r="AE589" s="220"/>
      <c r="AF589" s="220"/>
      <c r="AG589" s="220"/>
      <c r="AH589" s="220"/>
      <c r="AI589" s="220"/>
      <c r="AJ589" s="220"/>
      <c r="AK589" s="220"/>
      <c r="AL589" s="220"/>
      <c r="AM589" s="220"/>
      <c r="AN589" s="220"/>
      <c r="AO589" s="220"/>
      <c r="AP589" s="220"/>
      <c r="AQ589" s="220"/>
      <c r="AR589" s="220"/>
      <c r="AS589" s="220"/>
      <c r="AT589" s="220"/>
      <c r="AU589" s="220"/>
      <c r="AV589" s="220"/>
      <c r="AW589" s="220"/>
      <c r="AX589" s="220"/>
      <c r="AY589" s="220"/>
      <c r="AZ589" s="220"/>
    </row>
    <row r="590" ht="15.75" customHeight="1">
      <c r="A590" s="272"/>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c r="AA590" s="220"/>
      <c r="AB590" s="220"/>
      <c r="AC590" s="220"/>
      <c r="AD590" s="220"/>
      <c r="AE590" s="220"/>
      <c r="AF590" s="220"/>
      <c r="AG590" s="220"/>
      <c r="AH590" s="220"/>
      <c r="AI590" s="220"/>
      <c r="AJ590" s="220"/>
      <c r="AK590" s="220"/>
      <c r="AL590" s="220"/>
      <c r="AM590" s="220"/>
      <c r="AN590" s="220"/>
      <c r="AO590" s="220"/>
      <c r="AP590" s="220"/>
      <c r="AQ590" s="220"/>
      <c r="AR590" s="220"/>
      <c r="AS590" s="220"/>
      <c r="AT590" s="220"/>
      <c r="AU590" s="220"/>
      <c r="AV590" s="220"/>
      <c r="AW590" s="220"/>
      <c r="AX590" s="220"/>
      <c r="AY590" s="220"/>
      <c r="AZ590" s="220"/>
    </row>
    <row r="591" ht="15.75" customHeight="1">
      <c r="A591" s="272"/>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c r="AA591" s="220"/>
      <c r="AB591" s="220"/>
      <c r="AC591" s="220"/>
      <c r="AD591" s="220"/>
      <c r="AE591" s="220"/>
      <c r="AF591" s="220"/>
      <c r="AG591" s="220"/>
      <c r="AH591" s="220"/>
      <c r="AI591" s="220"/>
      <c r="AJ591" s="220"/>
      <c r="AK591" s="220"/>
      <c r="AL591" s="220"/>
      <c r="AM591" s="220"/>
      <c r="AN591" s="220"/>
      <c r="AO591" s="220"/>
      <c r="AP591" s="220"/>
      <c r="AQ591" s="220"/>
      <c r="AR591" s="220"/>
      <c r="AS591" s="220"/>
      <c r="AT591" s="220"/>
      <c r="AU591" s="220"/>
      <c r="AV591" s="220"/>
      <c r="AW591" s="220"/>
      <c r="AX591" s="220"/>
      <c r="AY591" s="220"/>
      <c r="AZ591" s="220"/>
    </row>
    <row r="592" ht="15.75" customHeight="1">
      <c r="A592" s="272"/>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c r="AA592" s="220"/>
      <c r="AB592" s="220"/>
      <c r="AC592" s="220"/>
      <c r="AD592" s="220"/>
      <c r="AE592" s="220"/>
      <c r="AF592" s="220"/>
      <c r="AG592" s="220"/>
      <c r="AH592" s="220"/>
      <c r="AI592" s="220"/>
      <c r="AJ592" s="220"/>
      <c r="AK592" s="220"/>
      <c r="AL592" s="220"/>
      <c r="AM592" s="220"/>
      <c r="AN592" s="220"/>
      <c r="AO592" s="220"/>
      <c r="AP592" s="220"/>
      <c r="AQ592" s="220"/>
      <c r="AR592" s="220"/>
      <c r="AS592" s="220"/>
      <c r="AT592" s="220"/>
      <c r="AU592" s="220"/>
      <c r="AV592" s="220"/>
      <c r="AW592" s="220"/>
      <c r="AX592" s="220"/>
      <c r="AY592" s="220"/>
      <c r="AZ592" s="220"/>
    </row>
    <row r="593" ht="15.75" customHeight="1">
      <c r="A593" s="272"/>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c r="AA593" s="220"/>
      <c r="AB593" s="220"/>
      <c r="AC593" s="220"/>
      <c r="AD593" s="220"/>
      <c r="AE593" s="220"/>
      <c r="AF593" s="220"/>
      <c r="AG593" s="220"/>
      <c r="AH593" s="220"/>
      <c r="AI593" s="220"/>
      <c r="AJ593" s="220"/>
      <c r="AK593" s="220"/>
      <c r="AL593" s="220"/>
      <c r="AM593" s="220"/>
      <c r="AN593" s="220"/>
      <c r="AO593" s="220"/>
      <c r="AP593" s="220"/>
      <c r="AQ593" s="220"/>
      <c r="AR593" s="220"/>
      <c r="AS593" s="220"/>
      <c r="AT593" s="220"/>
      <c r="AU593" s="220"/>
      <c r="AV593" s="220"/>
      <c r="AW593" s="220"/>
      <c r="AX593" s="220"/>
      <c r="AY593" s="220"/>
      <c r="AZ593" s="220"/>
    </row>
    <row r="594" ht="15.75" customHeight="1">
      <c r="A594" s="272"/>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c r="AA594" s="220"/>
      <c r="AB594" s="220"/>
      <c r="AC594" s="220"/>
      <c r="AD594" s="220"/>
      <c r="AE594" s="220"/>
      <c r="AF594" s="220"/>
      <c r="AG594" s="220"/>
      <c r="AH594" s="220"/>
      <c r="AI594" s="220"/>
      <c r="AJ594" s="220"/>
      <c r="AK594" s="220"/>
      <c r="AL594" s="220"/>
      <c r="AM594" s="220"/>
      <c r="AN594" s="220"/>
      <c r="AO594" s="220"/>
      <c r="AP594" s="220"/>
      <c r="AQ594" s="220"/>
      <c r="AR594" s="220"/>
      <c r="AS594" s="220"/>
      <c r="AT594" s="220"/>
      <c r="AU594" s="220"/>
      <c r="AV594" s="220"/>
      <c r="AW594" s="220"/>
      <c r="AX594" s="220"/>
      <c r="AY594" s="220"/>
      <c r="AZ594" s="220"/>
    </row>
    <row r="595" ht="15.75" customHeight="1">
      <c r="A595" s="272"/>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c r="AA595" s="220"/>
      <c r="AB595" s="220"/>
      <c r="AC595" s="220"/>
      <c r="AD595" s="220"/>
      <c r="AE595" s="220"/>
      <c r="AF595" s="220"/>
      <c r="AG595" s="220"/>
      <c r="AH595" s="220"/>
      <c r="AI595" s="220"/>
      <c r="AJ595" s="220"/>
      <c r="AK595" s="220"/>
      <c r="AL595" s="220"/>
      <c r="AM595" s="220"/>
      <c r="AN595" s="220"/>
      <c r="AO595" s="220"/>
      <c r="AP595" s="220"/>
      <c r="AQ595" s="220"/>
      <c r="AR595" s="220"/>
      <c r="AS595" s="220"/>
      <c r="AT595" s="220"/>
      <c r="AU595" s="220"/>
      <c r="AV595" s="220"/>
      <c r="AW595" s="220"/>
      <c r="AX595" s="220"/>
      <c r="AY595" s="220"/>
      <c r="AZ595" s="220"/>
    </row>
    <row r="596" ht="15.75" customHeight="1">
      <c r="A596" s="272"/>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c r="AA596" s="220"/>
      <c r="AB596" s="220"/>
      <c r="AC596" s="220"/>
      <c r="AD596" s="220"/>
      <c r="AE596" s="220"/>
      <c r="AF596" s="220"/>
      <c r="AG596" s="220"/>
      <c r="AH596" s="220"/>
      <c r="AI596" s="220"/>
      <c r="AJ596" s="220"/>
      <c r="AK596" s="220"/>
      <c r="AL596" s="220"/>
      <c r="AM596" s="220"/>
      <c r="AN596" s="220"/>
      <c r="AO596" s="220"/>
      <c r="AP596" s="220"/>
      <c r="AQ596" s="220"/>
      <c r="AR596" s="220"/>
      <c r="AS596" s="220"/>
      <c r="AT596" s="220"/>
      <c r="AU596" s="220"/>
      <c r="AV596" s="220"/>
      <c r="AW596" s="220"/>
      <c r="AX596" s="220"/>
      <c r="AY596" s="220"/>
      <c r="AZ596" s="220"/>
    </row>
    <row r="597" ht="15.75" customHeight="1">
      <c r="A597" s="272"/>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c r="AA597" s="220"/>
      <c r="AB597" s="220"/>
      <c r="AC597" s="220"/>
      <c r="AD597" s="220"/>
      <c r="AE597" s="220"/>
      <c r="AF597" s="220"/>
      <c r="AG597" s="220"/>
      <c r="AH597" s="220"/>
      <c r="AI597" s="220"/>
      <c r="AJ597" s="220"/>
      <c r="AK597" s="220"/>
      <c r="AL597" s="220"/>
      <c r="AM597" s="220"/>
      <c r="AN597" s="220"/>
      <c r="AO597" s="220"/>
      <c r="AP597" s="220"/>
      <c r="AQ597" s="220"/>
      <c r="AR597" s="220"/>
      <c r="AS597" s="220"/>
      <c r="AT597" s="220"/>
      <c r="AU597" s="220"/>
      <c r="AV597" s="220"/>
      <c r="AW597" s="220"/>
      <c r="AX597" s="220"/>
      <c r="AY597" s="220"/>
      <c r="AZ597" s="220"/>
    </row>
    <row r="598" ht="15.75" customHeight="1">
      <c r="A598" s="272"/>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c r="AA598" s="220"/>
      <c r="AB598" s="220"/>
      <c r="AC598" s="220"/>
      <c r="AD598" s="220"/>
      <c r="AE598" s="220"/>
      <c r="AF598" s="220"/>
      <c r="AG598" s="220"/>
      <c r="AH598" s="220"/>
      <c r="AI598" s="220"/>
      <c r="AJ598" s="220"/>
      <c r="AK598" s="220"/>
      <c r="AL598" s="220"/>
      <c r="AM598" s="220"/>
      <c r="AN598" s="220"/>
      <c r="AO598" s="220"/>
      <c r="AP598" s="220"/>
      <c r="AQ598" s="220"/>
      <c r="AR598" s="220"/>
      <c r="AS598" s="220"/>
      <c r="AT598" s="220"/>
      <c r="AU598" s="220"/>
      <c r="AV598" s="220"/>
      <c r="AW598" s="220"/>
      <c r="AX598" s="220"/>
      <c r="AY598" s="220"/>
      <c r="AZ598" s="220"/>
    </row>
    <row r="599" ht="15.75" customHeight="1">
      <c r="A599" s="272"/>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c r="AA599" s="220"/>
      <c r="AB599" s="220"/>
      <c r="AC599" s="220"/>
      <c r="AD599" s="220"/>
      <c r="AE599" s="220"/>
      <c r="AF599" s="220"/>
      <c r="AG599" s="220"/>
      <c r="AH599" s="220"/>
      <c r="AI599" s="220"/>
      <c r="AJ599" s="220"/>
      <c r="AK599" s="220"/>
      <c r="AL599" s="220"/>
      <c r="AM599" s="220"/>
      <c r="AN599" s="220"/>
      <c r="AO599" s="220"/>
      <c r="AP599" s="220"/>
      <c r="AQ599" s="220"/>
      <c r="AR599" s="220"/>
      <c r="AS599" s="220"/>
      <c r="AT599" s="220"/>
      <c r="AU599" s="220"/>
      <c r="AV599" s="220"/>
      <c r="AW599" s="220"/>
      <c r="AX599" s="220"/>
      <c r="AY599" s="220"/>
      <c r="AZ599" s="220"/>
    </row>
    <row r="600" ht="15.75" customHeight="1">
      <c r="A600" s="272"/>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c r="AA600" s="220"/>
      <c r="AB600" s="220"/>
      <c r="AC600" s="220"/>
      <c r="AD600" s="220"/>
      <c r="AE600" s="220"/>
      <c r="AF600" s="220"/>
      <c r="AG600" s="220"/>
      <c r="AH600" s="220"/>
      <c r="AI600" s="220"/>
      <c r="AJ600" s="220"/>
      <c r="AK600" s="220"/>
      <c r="AL600" s="220"/>
      <c r="AM600" s="220"/>
      <c r="AN600" s="220"/>
      <c r="AO600" s="220"/>
      <c r="AP600" s="220"/>
      <c r="AQ600" s="220"/>
      <c r="AR600" s="220"/>
      <c r="AS600" s="220"/>
      <c r="AT600" s="220"/>
      <c r="AU600" s="220"/>
      <c r="AV600" s="220"/>
      <c r="AW600" s="220"/>
      <c r="AX600" s="220"/>
      <c r="AY600" s="220"/>
      <c r="AZ600" s="220"/>
    </row>
    <row r="601" ht="15.75" customHeight="1">
      <c r="A601" s="272"/>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c r="AA601" s="220"/>
      <c r="AB601" s="220"/>
      <c r="AC601" s="220"/>
      <c r="AD601" s="220"/>
      <c r="AE601" s="220"/>
      <c r="AF601" s="220"/>
      <c r="AG601" s="220"/>
      <c r="AH601" s="220"/>
      <c r="AI601" s="220"/>
      <c r="AJ601" s="220"/>
      <c r="AK601" s="220"/>
      <c r="AL601" s="220"/>
      <c r="AM601" s="220"/>
      <c r="AN601" s="220"/>
      <c r="AO601" s="220"/>
      <c r="AP601" s="220"/>
      <c r="AQ601" s="220"/>
      <c r="AR601" s="220"/>
      <c r="AS601" s="220"/>
      <c r="AT601" s="220"/>
      <c r="AU601" s="220"/>
      <c r="AV601" s="220"/>
      <c r="AW601" s="220"/>
      <c r="AX601" s="220"/>
      <c r="AY601" s="220"/>
      <c r="AZ601" s="220"/>
    </row>
    <row r="602" ht="15.75" customHeight="1">
      <c r="A602" s="272"/>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c r="AA602" s="220"/>
      <c r="AB602" s="220"/>
      <c r="AC602" s="220"/>
      <c r="AD602" s="220"/>
      <c r="AE602" s="220"/>
      <c r="AF602" s="220"/>
      <c r="AG602" s="220"/>
      <c r="AH602" s="220"/>
      <c r="AI602" s="220"/>
      <c r="AJ602" s="220"/>
      <c r="AK602" s="220"/>
      <c r="AL602" s="220"/>
      <c r="AM602" s="220"/>
      <c r="AN602" s="220"/>
      <c r="AO602" s="220"/>
      <c r="AP602" s="220"/>
      <c r="AQ602" s="220"/>
      <c r="AR602" s="220"/>
      <c r="AS602" s="220"/>
      <c r="AT602" s="220"/>
      <c r="AU602" s="220"/>
      <c r="AV602" s="220"/>
      <c r="AW602" s="220"/>
      <c r="AX602" s="220"/>
      <c r="AY602" s="220"/>
      <c r="AZ602" s="220"/>
    </row>
    <row r="603" ht="15.75" customHeight="1">
      <c r="A603" s="272"/>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c r="AA603" s="220"/>
      <c r="AB603" s="220"/>
      <c r="AC603" s="220"/>
      <c r="AD603" s="220"/>
      <c r="AE603" s="220"/>
      <c r="AF603" s="220"/>
      <c r="AG603" s="220"/>
      <c r="AH603" s="220"/>
      <c r="AI603" s="220"/>
      <c r="AJ603" s="220"/>
      <c r="AK603" s="220"/>
      <c r="AL603" s="220"/>
      <c r="AM603" s="220"/>
      <c r="AN603" s="220"/>
      <c r="AO603" s="220"/>
      <c r="AP603" s="220"/>
      <c r="AQ603" s="220"/>
      <c r="AR603" s="220"/>
      <c r="AS603" s="220"/>
      <c r="AT603" s="220"/>
      <c r="AU603" s="220"/>
      <c r="AV603" s="220"/>
      <c r="AW603" s="220"/>
      <c r="AX603" s="220"/>
      <c r="AY603" s="220"/>
      <c r="AZ603" s="220"/>
    </row>
    <row r="604" ht="15.75" customHeight="1">
      <c r="A604" s="272"/>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c r="AA604" s="220"/>
      <c r="AB604" s="220"/>
      <c r="AC604" s="220"/>
      <c r="AD604" s="220"/>
      <c r="AE604" s="220"/>
      <c r="AF604" s="220"/>
      <c r="AG604" s="220"/>
      <c r="AH604" s="220"/>
      <c r="AI604" s="220"/>
      <c r="AJ604" s="220"/>
      <c r="AK604" s="220"/>
      <c r="AL604" s="220"/>
      <c r="AM604" s="220"/>
      <c r="AN604" s="220"/>
      <c r="AO604" s="220"/>
      <c r="AP604" s="220"/>
      <c r="AQ604" s="220"/>
      <c r="AR604" s="220"/>
      <c r="AS604" s="220"/>
      <c r="AT604" s="220"/>
      <c r="AU604" s="220"/>
      <c r="AV604" s="220"/>
      <c r="AW604" s="220"/>
      <c r="AX604" s="220"/>
      <c r="AY604" s="220"/>
      <c r="AZ604" s="220"/>
    </row>
    <row r="605" ht="15.75" customHeight="1">
      <c r="A605" s="272"/>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c r="AA605" s="220"/>
      <c r="AB605" s="220"/>
      <c r="AC605" s="220"/>
      <c r="AD605" s="220"/>
      <c r="AE605" s="220"/>
      <c r="AF605" s="220"/>
      <c r="AG605" s="220"/>
      <c r="AH605" s="220"/>
      <c r="AI605" s="220"/>
      <c r="AJ605" s="220"/>
      <c r="AK605" s="220"/>
      <c r="AL605" s="220"/>
      <c r="AM605" s="220"/>
      <c r="AN605" s="220"/>
      <c r="AO605" s="220"/>
      <c r="AP605" s="220"/>
      <c r="AQ605" s="220"/>
      <c r="AR605" s="220"/>
      <c r="AS605" s="220"/>
      <c r="AT605" s="220"/>
      <c r="AU605" s="220"/>
      <c r="AV605" s="220"/>
      <c r="AW605" s="220"/>
      <c r="AX605" s="220"/>
      <c r="AY605" s="220"/>
      <c r="AZ605" s="220"/>
    </row>
    <row r="606" ht="15.75" customHeight="1">
      <c r="A606" s="272"/>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c r="AA606" s="220"/>
      <c r="AB606" s="220"/>
      <c r="AC606" s="220"/>
      <c r="AD606" s="220"/>
      <c r="AE606" s="220"/>
      <c r="AF606" s="220"/>
      <c r="AG606" s="220"/>
      <c r="AH606" s="220"/>
      <c r="AI606" s="220"/>
      <c r="AJ606" s="220"/>
      <c r="AK606" s="220"/>
      <c r="AL606" s="220"/>
      <c r="AM606" s="220"/>
      <c r="AN606" s="220"/>
      <c r="AO606" s="220"/>
      <c r="AP606" s="220"/>
      <c r="AQ606" s="220"/>
      <c r="AR606" s="220"/>
      <c r="AS606" s="220"/>
      <c r="AT606" s="220"/>
      <c r="AU606" s="220"/>
      <c r="AV606" s="220"/>
      <c r="AW606" s="220"/>
      <c r="AX606" s="220"/>
      <c r="AY606" s="220"/>
      <c r="AZ606" s="220"/>
    </row>
    <row r="607" ht="15.75" customHeight="1">
      <c r="A607" s="272"/>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c r="AA607" s="220"/>
      <c r="AB607" s="220"/>
      <c r="AC607" s="220"/>
      <c r="AD607" s="220"/>
      <c r="AE607" s="220"/>
      <c r="AF607" s="220"/>
      <c r="AG607" s="220"/>
      <c r="AH607" s="220"/>
      <c r="AI607" s="220"/>
      <c r="AJ607" s="220"/>
      <c r="AK607" s="220"/>
      <c r="AL607" s="220"/>
      <c r="AM607" s="220"/>
      <c r="AN607" s="220"/>
      <c r="AO607" s="220"/>
      <c r="AP607" s="220"/>
      <c r="AQ607" s="220"/>
      <c r="AR607" s="220"/>
      <c r="AS607" s="220"/>
      <c r="AT607" s="220"/>
      <c r="AU607" s="220"/>
      <c r="AV607" s="220"/>
      <c r="AW607" s="220"/>
      <c r="AX607" s="220"/>
      <c r="AY607" s="220"/>
      <c r="AZ607" s="220"/>
    </row>
    <row r="608" ht="15.75" customHeight="1">
      <c r="A608" s="272"/>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c r="AA608" s="220"/>
      <c r="AB608" s="220"/>
      <c r="AC608" s="220"/>
      <c r="AD608" s="220"/>
      <c r="AE608" s="220"/>
      <c r="AF608" s="220"/>
      <c r="AG608" s="220"/>
      <c r="AH608" s="220"/>
      <c r="AI608" s="220"/>
      <c r="AJ608" s="220"/>
      <c r="AK608" s="220"/>
      <c r="AL608" s="220"/>
      <c r="AM608" s="220"/>
      <c r="AN608" s="220"/>
      <c r="AO608" s="220"/>
      <c r="AP608" s="220"/>
      <c r="AQ608" s="220"/>
      <c r="AR608" s="220"/>
      <c r="AS608" s="220"/>
      <c r="AT608" s="220"/>
      <c r="AU608" s="220"/>
      <c r="AV608" s="220"/>
      <c r="AW608" s="220"/>
      <c r="AX608" s="220"/>
      <c r="AY608" s="220"/>
      <c r="AZ608" s="220"/>
    </row>
    <row r="609" ht="15.75" customHeight="1">
      <c r="A609" s="272"/>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c r="AA609" s="220"/>
      <c r="AB609" s="220"/>
      <c r="AC609" s="220"/>
      <c r="AD609" s="220"/>
      <c r="AE609" s="220"/>
      <c r="AF609" s="220"/>
      <c r="AG609" s="220"/>
      <c r="AH609" s="220"/>
      <c r="AI609" s="220"/>
      <c r="AJ609" s="220"/>
      <c r="AK609" s="220"/>
      <c r="AL609" s="220"/>
      <c r="AM609" s="220"/>
      <c r="AN609" s="220"/>
      <c r="AO609" s="220"/>
      <c r="AP609" s="220"/>
      <c r="AQ609" s="220"/>
      <c r="AR609" s="220"/>
      <c r="AS609" s="220"/>
      <c r="AT609" s="220"/>
      <c r="AU609" s="220"/>
      <c r="AV609" s="220"/>
      <c r="AW609" s="220"/>
      <c r="AX609" s="220"/>
      <c r="AY609" s="220"/>
      <c r="AZ609" s="220"/>
    </row>
    <row r="610" ht="15.75" customHeight="1">
      <c r="A610" s="272"/>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c r="AA610" s="220"/>
      <c r="AB610" s="220"/>
      <c r="AC610" s="220"/>
      <c r="AD610" s="220"/>
      <c r="AE610" s="220"/>
      <c r="AF610" s="220"/>
      <c r="AG610" s="220"/>
      <c r="AH610" s="220"/>
      <c r="AI610" s="220"/>
      <c r="AJ610" s="220"/>
      <c r="AK610" s="220"/>
      <c r="AL610" s="220"/>
      <c r="AM610" s="220"/>
      <c r="AN610" s="220"/>
      <c r="AO610" s="220"/>
      <c r="AP610" s="220"/>
      <c r="AQ610" s="220"/>
      <c r="AR610" s="220"/>
      <c r="AS610" s="220"/>
      <c r="AT610" s="220"/>
      <c r="AU610" s="220"/>
      <c r="AV610" s="220"/>
      <c r="AW610" s="220"/>
      <c r="AX610" s="220"/>
      <c r="AY610" s="220"/>
      <c r="AZ610" s="220"/>
    </row>
    <row r="611" ht="15.75" customHeight="1">
      <c r="A611" s="272"/>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c r="AA611" s="220"/>
      <c r="AB611" s="220"/>
      <c r="AC611" s="220"/>
      <c r="AD611" s="220"/>
      <c r="AE611" s="220"/>
      <c r="AF611" s="220"/>
      <c r="AG611" s="220"/>
      <c r="AH611" s="220"/>
      <c r="AI611" s="220"/>
      <c r="AJ611" s="220"/>
      <c r="AK611" s="220"/>
      <c r="AL611" s="220"/>
      <c r="AM611" s="220"/>
      <c r="AN611" s="220"/>
      <c r="AO611" s="220"/>
      <c r="AP611" s="220"/>
      <c r="AQ611" s="220"/>
      <c r="AR611" s="220"/>
      <c r="AS611" s="220"/>
      <c r="AT611" s="220"/>
      <c r="AU611" s="220"/>
      <c r="AV611" s="220"/>
      <c r="AW611" s="220"/>
      <c r="AX611" s="220"/>
      <c r="AY611" s="220"/>
      <c r="AZ611" s="220"/>
    </row>
    <row r="612" ht="15.75" customHeight="1">
      <c r="A612" s="272"/>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c r="AA612" s="220"/>
      <c r="AB612" s="220"/>
      <c r="AC612" s="220"/>
      <c r="AD612" s="220"/>
      <c r="AE612" s="220"/>
      <c r="AF612" s="220"/>
      <c r="AG612" s="220"/>
      <c r="AH612" s="220"/>
      <c r="AI612" s="220"/>
      <c r="AJ612" s="220"/>
      <c r="AK612" s="220"/>
      <c r="AL612" s="220"/>
      <c r="AM612" s="220"/>
      <c r="AN612" s="220"/>
      <c r="AO612" s="220"/>
      <c r="AP612" s="220"/>
      <c r="AQ612" s="220"/>
      <c r="AR612" s="220"/>
      <c r="AS612" s="220"/>
      <c r="AT612" s="220"/>
      <c r="AU612" s="220"/>
      <c r="AV612" s="220"/>
      <c r="AW612" s="220"/>
      <c r="AX612" s="220"/>
      <c r="AY612" s="220"/>
      <c r="AZ612" s="220"/>
    </row>
    <row r="613" ht="15.75" customHeight="1">
      <c r="A613" s="272"/>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c r="AA613" s="220"/>
      <c r="AB613" s="220"/>
      <c r="AC613" s="220"/>
      <c r="AD613" s="220"/>
      <c r="AE613" s="220"/>
      <c r="AF613" s="220"/>
      <c r="AG613" s="220"/>
      <c r="AH613" s="220"/>
      <c r="AI613" s="220"/>
      <c r="AJ613" s="220"/>
      <c r="AK613" s="220"/>
      <c r="AL613" s="220"/>
      <c r="AM613" s="220"/>
      <c r="AN613" s="220"/>
      <c r="AO613" s="220"/>
      <c r="AP613" s="220"/>
      <c r="AQ613" s="220"/>
      <c r="AR613" s="220"/>
      <c r="AS613" s="220"/>
      <c r="AT613" s="220"/>
      <c r="AU613" s="220"/>
      <c r="AV613" s="220"/>
      <c r="AW613" s="220"/>
      <c r="AX613" s="220"/>
      <c r="AY613" s="220"/>
      <c r="AZ613" s="220"/>
    </row>
    <row r="614" ht="15.75" customHeight="1">
      <c r="A614" s="272"/>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c r="AA614" s="220"/>
      <c r="AB614" s="220"/>
      <c r="AC614" s="220"/>
      <c r="AD614" s="220"/>
      <c r="AE614" s="220"/>
      <c r="AF614" s="220"/>
      <c r="AG614" s="220"/>
      <c r="AH614" s="220"/>
      <c r="AI614" s="220"/>
      <c r="AJ614" s="220"/>
      <c r="AK614" s="220"/>
      <c r="AL614" s="220"/>
      <c r="AM614" s="220"/>
      <c r="AN614" s="220"/>
      <c r="AO614" s="220"/>
      <c r="AP614" s="220"/>
      <c r="AQ614" s="220"/>
      <c r="AR614" s="220"/>
      <c r="AS614" s="220"/>
      <c r="AT614" s="220"/>
      <c r="AU614" s="220"/>
      <c r="AV614" s="220"/>
      <c r="AW614" s="220"/>
      <c r="AX614" s="220"/>
      <c r="AY614" s="220"/>
      <c r="AZ614" s="220"/>
    </row>
    <row r="615" ht="15.75" customHeight="1">
      <c r="A615" s="272"/>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c r="AA615" s="220"/>
      <c r="AB615" s="220"/>
      <c r="AC615" s="220"/>
      <c r="AD615" s="220"/>
      <c r="AE615" s="220"/>
      <c r="AF615" s="220"/>
      <c r="AG615" s="220"/>
      <c r="AH615" s="220"/>
      <c r="AI615" s="220"/>
      <c r="AJ615" s="220"/>
      <c r="AK615" s="220"/>
      <c r="AL615" s="220"/>
      <c r="AM615" s="220"/>
      <c r="AN615" s="220"/>
      <c r="AO615" s="220"/>
      <c r="AP615" s="220"/>
      <c r="AQ615" s="220"/>
      <c r="AR615" s="220"/>
      <c r="AS615" s="220"/>
      <c r="AT615" s="220"/>
      <c r="AU615" s="220"/>
      <c r="AV615" s="220"/>
      <c r="AW615" s="220"/>
      <c r="AX615" s="220"/>
      <c r="AY615" s="220"/>
      <c r="AZ615" s="220"/>
    </row>
    <row r="616" ht="15.75" customHeight="1">
      <c r="A616" s="272"/>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c r="AA616" s="220"/>
      <c r="AB616" s="220"/>
      <c r="AC616" s="220"/>
      <c r="AD616" s="220"/>
      <c r="AE616" s="220"/>
      <c r="AF616" s="220"/>
      <c r="AG616" s="220"/>
      <c r="AH616" s="220"/>
      <c r="AI616" s="220"/>
      <c r="AJ616" s="220"/>
      <c r="AK616" s="220"/>
      <c r="AL616" s="220"/>
      <c r="AM616" s="220"/>
      <c r="AN616" s="220"/>
      <c r="AO616" s="220"/>
      <c r="AP616" s="220"/>
      <c r="AQ616" s="220"/>
      <c r="AR616" s="220"/>
      <c r="AS616" s="220"/>
      <c r="AT616" s="220"/>
      <c r="AU616" s="220"/>
      <c r="AV616" s="220"/>
      <c r="AW616" s="220"/>
      <c r="AX616" s="220"/>
      <c r="AY616" s="220"/>
      <c r="AZ616" s="220"/>
    </row>
    <row r="617" ht="15.75" customHeight="1">
      <c r="A617" s="272"/>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c r="AA617" s="220"/>
      <c r="AB617" s="220"/>
      <c r="AC617" s="220"/>
      <c r="AD617" s="220"/>
      <c r="AE617" s="220"/>
      <c r="AF617" s="220"/>
      <c r="AG617" s="220"/>
      <c r="AH617" s="220"/>
      <c r="AI617" s="220"/>
      <c r="AJ617" s="220"/>
      <c r="AK617" s="220"/>
      <c r="AL617" s="220"/>
      <c r="AM617" s="220"/>
      <c r="AN617" s="220"/>
      <c r="AO617" s="220"/>
      <c r="AP617" s="220"/>
      <c r="AQ617" s="220"/>
      <c r="AR617" s="220"/>
      <c r="AS617" s="220"/>
      <c r="AT617" s="220"/>
      <c r="AU617" s="220"/>
      <c r="AV617" s="220"/>
      <c r="AW617" s="220"/>
      <c r="AX617" s="220"/>
      <c r="AY617" s="220"/>
      <c r="AZ617" s="220"/>
    </row>
    <row r="618" ht="15.75" customHeight="1">
      <c r="A618" s="272"/>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c r="AA618" s="220"/>
      <c r="AB618" s="220"/>
      <c r="AC618" s="220"/>
      <c r="AD618" s="220"/>
      <c r="AE618" s="220"/>
      <c r="AF618" s="220"/>
      <c r="AG618" s="220"/>
      <c r="AH618" s="220"/>
      <c r="AI618" s="220"/>
      <c r="AJ618" s="220"/>
      <c r="AK618" s="220"/>
      <c r="AL618" s="220"/>
      <c r="AM618" s="220"/>
      <c r="AN618" s="220"/>
      <c r="AO618" s="220"/>
      <c r="AP618" s="220"/>
      <c r="AQ618" s="220"/>
      <c r="AR618" s="220"/>
      <c r="AS618" s="220"/>
      <c r="AT618" s="220"/>
      <c r="AU618" s="220"/>
      <c r="AV618" s="220"/>
      <c r="AW618" s="220"/>
      <c r="AX618" s="220"/>
      <c r="AY618" s="220"/>
      <c r="AZ618" s="220"/>
    </row>
    <row r="619" ht="15.75" customHeight="1">
      <c r="A619" s="272"/>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c r="AA619" s="220"/>
      <c r="AB619" s="220"/>
      <c r="AC619" s="220"/>
      <c r="AD619" s="220"/>
      <c r="AE619" s="220"/>
      <c r="AF619" s="220"/>
      <c r="AG619" s="220"/>
      <c r="AH619" s="220"/>
      <c r="AI619" s="220"/>
      <c r="AJ619" s="220"/>
      <c r="AK619" s="220"/>
      <c r="AL619" s="220"/>
      <c r="AM619" s="220"/>
      <c r="AN619" s="220"/>
      <c r="AO619" s="220"/>
      <c r="AP619" s="220"/>
      <c r="AQ619" s="220"/>
      <c r="AR619" s="220"/>
      <c r="AS619" s="220"/>
      <c r="AT619" s="220"/>
      <c r="AU619" s="220"/>
      <c r="AV619" s="220"/>
      <c r="AW619" s="220"/>
      <c r="AX619" s="220"/>
      <c r="AY619" s="220"/>
      <c r="AZ619" s="220"/>
    </row>
    <row r="620" ht="15.75" customHeight="1">
      <c r="A620" s="272"/>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c r="AA620" s="220"/>
      <c r="AB620" s="220"/>
      <c r="AC620" s="220"/>
      <c r="AD620" s="220"/>
      <c r="AE620" s="220"/>
      <c r="AF620" s="220"/>
      <c r="AG620" s="220"/>
      <c r="AH620" s="220"/>
      <c r="AI620" s="220"/>
      <c r="AJ620" s="220"/>
      <c r="AK620" s="220"/>
      <c r="AL620" s="220"/>
      <c r="AM620" s="220"/>
      <c r="AN620" s="220"/>
      <c r="AO620" s="220"/>
      <c r="AP620" s="220"/>
      <c r="AQ620" s="220"/>
      <c r="AR620" s="220"/>
      <c r="AS620" s="220"/>
      <c r="AT620" s="220"/>
      <c r="AU620" s="220"/>
      <c r="AV620" s="220"/>
      <c r="AW620" s="220"/>
      <c r="AX620" s="220"/>
      <c r="AY620" s="220"/>
      <c r="AZ620" s="220"/>
    </row>
    <row r="621" ht="15.75" customHeight="1">
      <c r="A621" s="272"/>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c r="AA621" s="220"/>
      <c r="AB621" s="220"/>
      <c r="AC621" s="220"/>
      <c r="AD621" s="220"/>
      <c r="AE621" s="220"/>
      <c r="AF621" s="220"/>
      <c r="AG621" s="220"/>
      <c r="AH621" s="220"/>
      <c r="AI621" s="220"/>
      <c r="AJ621" s="220"/>
      <c r="AK621" s="220"/>
      <c r="AL621" s="220"/>
      <c r="AM621" s="220"/>
      <c r="AN621" s="220"/>
      <c r="AO621" s="220"/>
      <c r="AP621" s="220"/>
      <c r="AQ621" s="220"/>
      <c r="AR621" s="220"/>
      <c r="AS621" s="220"/>
      <c r="AT621" s="220"/>
      <c r="AU621" s="220"/>
      <c r="AV621" s="220"/>
      <c r="AW621" s="220"/>
      <c r="AX621" s="220"/>
      <c r="AY621" s="220"/>
      <c r="AZ621" s="220"/>
    </row>
    <row r="622" ht="15.75" customHeight="1">
      <c r="A622" s="272"/>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c r="AA622" s="220"/>
      <c r="AB622" s="220"/>
      <c r="AC622" s="220"/>
      <c r="AD622" s="220"/>
      <c r="AE622" s="220"/>
      <c r="AF622" s="220"/>
      <c r="AG622" s="220"/>
      <c r="AH622" s="220"/>
      <c r="AI622" s="220"/>
      <c r="AJ622" s="220"/>
      <c r="AK622" s="220"/>
      <c r="AL622" s="220"/>
      <c r="AM622" s="220"/>
      <c r="AN622" s="220"/>
      <c r="AO622" s="220"/>
      <c r="AP622" s="220"/>
      <c r="AQ622" s="220"/>
      <c r="AR622" s="220"/>
      <c r="AS622" s="220"/>
      <c r="AT622" s="220"/>
      <c r="AU622" s="220"/>
      <c r="AV622" s="220"/>
      <c r="AW622" s="220"/>
      <c r="AX622" s="220"/>
      <c r="AY622" s="220"/>
      <c r="AZ622" s="220"/>
    </row>
    <row r="623" ht="15.75" customHeight="1">
      <c r="A623" s="272"/>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c r="AA623" s="220"/>
      <c r="AB623" s="220"/>
      <c r="AC623" s="220"/>
      <c r="AD623" s="220"/>
      <c r="AE623" s="220"/>
      <c r="AF623" s="220"/>
      <c r="AG623" s="220"/>
      <c r="AH623" s="220"/>
      <c r="AI623" s="220"/>
      <c r="AJ623" s="220"/>
      <c r="AK623" s="220"/>
      <c r="AL623" s="220"/>
      <c r="AM623" s="220"/>
      <c r="AN623" s="220"/>
      <c r="AO623" s="220"/>
      <c r="AP623" s="220"/>
      <c r="AQ623" s="220"/>
      <c r="AR623" s="220"/>
      <c r="AS623" s="220"/>
      <c r="AT623" s="220"/>
      <c r="AU623" s="220"/>
      <c r="AV623" s="220"/>
      <c r="AW623" s="220"/>
      <c r="AX623" s="220"/>
      <c r="AY623" s="220"/>
      <c r="AZ623" s="220"/>
    </row>
    <row r="624" ht="15.75" customHeight="1">
      <c r="A624" s="272"/>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c r="AA624" s="220"/>
      <c r="AB624" s="220"/>
      <c r="AC624" s="220"/>
      <c r="AD624" s="220"/>
      <c r="AE624" s="220"/>
      <c r="AF624" s="220"/>
      <c r="AG624" s="220"/>
      <c r="AH624" s="220"/>
      <c r="AI624" s="220"/>
      <c r="AJ624" s="220"/>
      <c r="AK624" s="220"/>
      <c r="AL624" s="220"/>
      <c r="AM624" s="220"/>
      <c r="AN624" s="220"/>
      <c r="AO624" s="220"/>
      <c r="AP624" s="220"/>
      <c r="AQ624" s="220"/>
      <c r="AR624" s="220"/>
      <c r="AS624" s="220"/>
      <c r="AT624" s="220"/>
      <c r="AU624" s="220"/>
      <c r="AV624" s="220"/>
      <c r="AW624" s="220"/>
      <c r="AX624" s="220"/>
      <c r="AY624" s="220"/>
      <c r="AZ624" s="220"/>
    </row>
    <row r="625" ht="15.75" customHeight="1">
      <c r="A625" s="272"/>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c r="AA625" s="220"/>
      <c r="AB625" s="220"/>
      <c r="AC625" s="220"/>
      <c r="AD625" s="220"/>
      <c r="AE625" s="220"/>
      <c r="AF625" s="220"/>
      <c r="AG625" s="220"/>
      <c r="AH625" s="220"/>
      <c r="AI625" s="220"/>
      <c r="AJ625" s="220"/>
      <c r="AK625" s="220"/>
      <c r="AL625" s="220"/>
      <c r="AM625" s="220"/>
      <c r="AN625" s="220"/>
      <c r="AO625" s="220"/>
      <c r="AP625" s="220"/>
      <c r="AQ625" s="220"/>
      <c r="AR625" s="220"/>
      <c r="AS625" s="220"/>
      <c r="AT625" s="220"/>
      <c r="AU625" s="220"/>
      <c r="AV625" s="220"/>
      <c r="AW625" s="220"/>
      <c r="AX625" s="220"/>
      <c r="AY625" s="220"/>
      <c r="AZ625" s="220"/>
    </row>
    <row r="626" ht="15.75" customHeight="1">
      <c r="A626" s="272"/>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c r="AA626" s="220"/>
      <c r="AB626" s="220"/>
      <c r="AC626" s="220"/>
      <c r="AD626" s="220"/>
      <c r="AE626" s="220"/>
      <c r="AF626" s="220"/>
      <c r="AG626" s="220"/>
      <c r="AH626" s="220"/>
      <c r="AI626" s="220"/>
      <c r="AJ626" s="220"/>
      <c r="AK626" s="220"/>
      <c r="AL626" s="220"/>
      <c r="AM626" s="220"/>
      <c r="AN626" s="220"/>
      <c r="AO626" s="220"/>
      <c r="AP626" s="220"/>
      <c r="AQ626" s="220"/>
      <c r="AR626" s="220"/>
      <c r="AS626" s="220"/>
      <c r="AT626" s="220"/>
      <c r="AU626" s="220"/>
      <c r="AV626" s="220"/>
      <c r="AW626" s="220"/>
      <c r="AX626" s="220"/>
      <c r="AY626" s="220"/>
      <c r="AZ626" s="220"/>
    </row>
    <row r="627" ht="15.75" customHeight="1">
      <c r="A627" s="272"/>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c r="AA627" s="220"/>
      <c r="AB627" s="220"/>
      <c r="AC627" s="220"/>
      <c r="AD627" s="220"/>
      <c r="AE627" s="220"/>
      <c r="AF627" s="220"/>
      <c r="AG627" s="220"/>
      <c r="AH627" s="220"/>
      <c r="AI627" s="220"/>
      <c r="AJ627" s="220"/>
      <c r="AK627" s="220"/>
      <c r="AL627" s="220"/>
      <c r="AM627" s="220"/>
      <c r="AN627" s="220"/>
      <c r="AO627" s="220"/>
      <c r="AP627" s="220"/>
      <c r="AQ627" s="220"/>
      <c r="AR627" s="220"/>
      <c r="AS627" s="220"/>
      <c r="AT627" s="220"/>
      <c r="AU627" s="220"/>
      <c r="AV627" s="220"/>
      <c r="AW627" s="220"/>
      <c r="AX627" s="220"/>
      <c r="AY627" s="220"/>
      <c r="AZ627" s="220"/>
    </row>
    <row r="628" ht="15.75" customHeight="1">
      <c r="A628" s="272"/>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c r="AA628" s="220"/>
      <c r="AB628" s="220"/>
      <c r="AC628" s="220"/>
      <c r="AD628" s="220"/>
      <c r="AE628" s="220"/>
      <c r="AF628" s="220"/>
      <c r="AG628" s="220"/>
      <c r="AH628" s="220"/>
      <c r="AI628" s="220"/>
      <c r="AJ628" s="220"/>
      <c r="AK628" s="220"/>
      <c r="AL628" s="220"/>
      <c r="AM628" s="220"/>
      <c r="AN628" s="220"/>
      <c r="AO628" s="220"/>
      <c r="AP628" s="220"/>
      <c r="AQ628" s="220"/>
      <c r="AR628" s="220"/>
      <c r="AS628" s="220"/>
      <c r="AT628" s="220"/>
      <c r="AU628" s="220"/>
      <c r="AV628" s="220"/>
      <c r="AW628" s="220"/>
      <c r="AX628" s="220"/>
      <c r="AY628" s="220"/>
      <c r="AZ628" s="220"/>
    </row>
    <row r="629" ht="15.75" customHeight="1">
      <c r="A629" s="272"/>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c r="AA629" s="220"/>
      <c r="AB629" s="220"/>
      <c r="AC629" s="220"/>
      <c r="AD629" s="220"/>
      <c r="AE629" s="220"/>
      <c r="AF629" s="220"/>
      <c r="AG629" s="220"/>
      <c r="AH629" s="220"/>
      <c r="AI629" s="220"/>
      <c r="AJ629" s="220"/>
      <c r="AK629" s="220"/>
      <c r="AL629" s="220"/>
      <c r="AM629" s="220"/>
      <c r="AN629" s="220"/>
      <c r="AO629" s="220"/>
      <c r="AP629" s="220"/>
      <c r="AQ629" s="220"/>
      <c r="AR629" s="220"/>
      <c r="AS629" s="220"/>
      <c r="AT629" s="220"/>
      <c r="AU629" s="220"/>
      <c r="AV629" s="220"/>
      <c r="AW629" s="220"/>
      <c r="AX629" s="220"/>
      <c r="AY629" s="220"/>
      <c r="AZ629" s="220"/>
    </row>
    <row r="630" ht="15.75" customHeight="1">
      <c r="A630" s="272"/>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c r="AA630" s="220"/>
      <c r="AB630" s="220"/>
      <c r="AC630" s="220"/>
      <c r="AD630" s="220"/>
      <c r="AE630" s="220"/>
      <c r="AF630" s="220"/>
      <c r="AG630" s="220"/>
      <c r="AH630" s="220"/>
      <c r="AI630" s="220"/>
      <c r="AJ630" s="220"/>
      <c r="AK630" s="220"/>
      <c r="AL630" s="220"/>
      <c r="AM630" s="220"/>
      <c r="AN630" s="220"/>
      <c r="AO630" s="220"/>
      <c r="AP630" s="220"/>
      <c r="AQ630" s="220"/>
      <c r="AR630" s="220"/>
      <c r="AS630" s="220"/>
      <c r="AT630" s="220"/>
      <c r="AU630" s="220"/>
      <c r="AV630" s="220"/>
      <c r="AW630" s="220"/>
      <c r="AX630" s="220"/>
      <c r="AY630" s="220"/>
      <c r="AZ630" s="220"/>
    </row>
    <row r="631" ht="15.75" customHeight="1">
      <c r="A631" s="272"/>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c r="AA631" s="220"/>
      <c r="AB631" s="220"/>
      <c r="AC631" s="220"/>
      <c r="AD631" s="220"/>
      <c r="AE631" s="220"/>
      <c r="AF631" s="220"/>
      <c r="AG631" s="220"/>
      <c r="AH631" s="220"/>
      <c r="AI631" s="220"/>
      <c r="AJ631" s="220"/>
      <c r="AK631" s="220"/>
      <c r="AL631" s="220"/>
      <c r="AM631" s="220"/>
      <c r="AN631" s="220"/>
      <c r="AO631" s="220"/>
      <c r="AP631" s="220"/>
      <c r="AQ631" s="220"/>
      <c r="AR631" s="220"/>
      <c r="AS631" s="220"/>
      <c r="AT631" s="220"/>
      <c r="AU631" s="220"/>
      <c r="AV631" s="220"/>
      <c r="AW631" s="220"/>
      <c r="AX631" s="220"/>
      <c r="AY631" s="220"/>
      <c r="AZ631" s="220"/>
    </row>
    <row r="632" ht="15.75" customHeight="1">
      <c r="A632" s="272"/>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c r="AA632" s="220"/>
      <c r="AB632" s="220"/>
      <c r="AC632" s="220"/>
      <c r="AD632" s="220"/>
      <c r="AE632" s="220"/>
      <c r="AF632" s="220"/>
      <c r="AG632" s="220"/>
      <c r="AH632" s="220"/>
      <c r="AI632" s="220"/>
      <c r="AJ632" s="220"/>
      <c r="AK632" s="220"/>
      <c r="AL632" s="220"/>
      <c r="AM632" s="220"/>
      <c r="AN632" s="220"/>
      <c r="AO632" s="220"/>
      <c r="AP632" s="220"/>
      <c r="AQ632" s="220"/>
      <c r="AR632" s="220"/>
      <c r="AS632" s="220"/>
      <c r="AT632" s="220"/>
      <c r="AU632" s="220"/>
      <c r="AV632" s="220"/>
      <c r="AW632" s="220"/>
      <c r="AX632" s="220"/>
      <c r="AY632" s="220"/>
      <c r="AZ632" s="220"/>
    </row>
    <row r="633" ht="15.75" customHeight="1">
      <c r="A633" s="272"/>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c r="AA633" s="220"/>
      <c r="AB633" s="220"/>
      <c r="AC633" s="220"/>
      <c r="AD633" s="220"/>
      <c r="AE633" s="220"/>
      <c r="AF633" s="220"/>
      <c r="AG633" s="220"/>
      <c r="AH633" s="220"/>
      <c r="AI633" s="220"/>
      <c r="AJ633" s="220"/>
      <c r="AK633" s="220"/>
      <c r="AL633" s="220"/>
      <c r="AM633" s="220"/>
      <c r="AN633" s="220"/>
      <c r="AO633" s="220"/>
      <c r="AP633" s="220"/>
      <c r="AQ633" s="220"/>
      <c r="AR633" s="220"/>
      <c r="AS633" s="220"/>
      <c r="AT633" s="220"/>
      <c r="AU633" s="220"/>
      <c r="AV633" s="220"/>
      <c r="AW633" s="220"/>
      <c r="AX633" s="220"/>
      <c r="AY633" s="220"/>
      <c r="AZ633" s="220"/>
    </row>
    <row r="634" ht="15.75" customHeight="1">
      <c r="A634" s="272"/>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c r="AA634" s="220"/>
      <c r="AB634" s="220"/>
      <c r="AC634" s="220"/>
      <c r="AD634" s="220"/>
      <c r="AE634" s="220"/>
      <c r="AF634" s="220"/>
      <c r="AG634" s="220"/>
      <c r="AH634" s="220"/>
      <c r="AI634" s="220"/>
      <c r="AJ634" s="220"/>
      <c r="AK634" s="220"/>
      <c r="AL634" s="220"/>
      <c r="AM634" s="220"/>
      <c r="AN634" s="220"/>
      <c r="AO634" s="220"/>
      <c r="AP634" s="220"/>
      <c r="AQ634" s="220"/>
      <c r="AR634" s="220"/>
      <c r="AS634" s="220"/>
      <c r="AT634" s="220"/>
      <c r="AU634" s="220"/>
      <c r="AV634" s="220"/>
      <c r="AW634" s="220"/>
      <c r="AX634" s="220"/>
      <c r="AY634" s="220"/>
      <c r="AZ634" s="220"/>
    </row>
    <row r="635" ht="15.75" customHeight="1">
      <c r="A635" s="272"/>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c r="AA635" s="220"/>
      <c r="AB635" s="220"/>
      <c r="AC635" s="220"/>
      <c r="AD635" s="220"/>
      <c r="AE635" s="220"/>
      <c r="AF635" s="220"/>
      <c r="AG635" s="220"/>
      <c r="AH635" s="220"/>
      <c r="AI635" s="220"/>
      <c r="AJ635" s="220"/>
      <c r="AK635" s="220"/>
      <c r="AL635" s="220"/>
      <c r="AM635" s="220"/>
      <c r="AN635" s="220"/>
      <c r="AO635" s="220"/>
      <c r="AP635" s="220"/>
      <c r="AQ635" s="220"/>
      <c r="AR635" s="220"/>
      <c r="AS635" s="220"/>
      <c r="AT635" s="220"/>
      <c r="AU635" s="220"/>
      <c r="AV635" s="220"/>
      <c r="AW635" s="220"/>
      <c r="AX635" s="220"/>
      <c r="AY635" s="220"/>
      <c r="AZ635" s="220"/>
    </row>
    <row r="636" ht="15.75" customHeight="1">
      <c r="A636" s="272"/>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c r="AA636" s="220"/>
      <c r="AB636" s="220"/>
      <c r="AC636" s="220"/>
      <c r="AD636" s="220"/>
      <c r="AE636" s="220"/>
      <c r="AF636" s="220"/>
      <c r="AG636" s="220"/>
      <c r="AH636" s="220"/>
      <c r="AI636" s="220"/>
      <c r="AJ636" s="220"/>
      <c r="AK636" s="220"/>
      <c r="AL636" s="220"/>
      <c r="AM636" s="220"/>
      <c r="AN636" s="220"/>
      <c r="AO636" s="220"/>
      <c r="AP636" s="220"/>
      <c r="AQ636" s="220"/>
      <c r="AR636" s="220"/>
      <c r="AS636" s="220"/>
      <c r="AT636" s="220"/>
      <c r="AU636" s="220"/>
      <c r="AV636" s="220"/>
      <c r="AW636" s="220"/>
      <c r="AX636" s="220"/>
      <c r="AY636" s="220"/>
      <c r="AZ636" s="220"/>
    </row>
    <row r="637" ht="15.75" customHeight="1">
      <c r="A637" s="272"/>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c r="AA637" s="220"/>
      <c r="AB637" s="220"/>
      <c r="AC637" s="220"/>
      <c r="AD637" s="220"/>
      <c r="AE637" s="220"/>
      <c r="AF637" s="220"/>
      <c r="AG637" s="220"/>
      <c r="AH637" s="220"/>
      <c r="AI637" s="220"/>
      <c r="AJ637" s="220"/>
      <c r="AK637" s="220"/>
      <c r="AL637" s="220"/>
      <c r="AM637" s="220"/>
      <c r="AN637" s="220"/>
      <c r="AO637" s="220"/>
      <c r="AP637" s="220"/>
      <c r="AQ637" s="220"/>
      <c r="AR637" s="220"/>
      <c r="AS637" s="220"/>
      <c r="AT637" s="220"/>
      <c r="AU637" s="220"/>
      <c r="AV637" s="220"/>
      <c r="AW637" s="220"/>
      <c r="AX637" s="220"/>
      <c r="AY637" s="220"/>
      <c r="AZ637" s="220"/>
    </row>
    <row r="638" ht="15.75" customHeight="1">
      <c r="A638" s="272"/>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c r="AA638" s="220"/>
      <c r="AB638" s="220"/>
      <c r="AC638" s="220"/>
      <c r="AD638" s="220"/>
      <c r="AE638" s="220"/>
      <c r="AF638" s="220"/>
      <c r="AG638" s="220"/>
      <c r="AH638" s="220"/>
      <c r="AI638" s="220"/>
      <c r="AJ638" s="220"/>
      <c r="AK638" s="220"/>
      <c r="AL638" s="220"/>
      <c r="AM638" s="220"/>
      <c r="AN638" s="220"/>
      <c r="AO638" s="220"/>
      <c r="AP638" s="220"/>
      <c r="AQ638" s="220"/>
      <c r="AR638" s="220"/>
      <c r="AS638" s="220"/>
      <c r="AT638" s="220"/>
      <c r="AU638" s="220"/>
      <c r="AV638" s="220"/>
      <c r="AW638" s="220"/>
      <c r="AX638" s="220"/>
      <c r="AY638" s="220"/>
      <c r="AZ638" s="220"/>
    </row>
    <row r="639" ht="15.75" customHeight="1">
      <c r="A639" s="272"/>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c r="AA639" s="220"/>
      <c r="AB639" s="220"/>
      <c r="AC639" s="220"/>
      <c r="AD639" s="220"/>
      <c r="AE639" s="220"/>
      <c r="AF639" s="220"/>
      <c r="AG639" s="220"/>
      <c r="AH639" s="220"/>
      <c r="AI639" s="220"/>
      <c r="AJ639" s="220"/>
      <c r="AK639" s="220"/>
      <c r="AL639" s="220"/>
      <c r="AM639" s="220"/>
      <c r="AN639" s="220"/>
      <c r="AO639" s="220"/>
      <c r="AP639" s="220"/>
      <c r="AQ639" s="220"/>
      <c r="AR639" s="220"/>
      <c r="AS639" s="220"/>
      <c r="AT639" s="220"/>
      <c r="AU639" s="220"/>
      <c r="AV639" s="220"/>
      <c r="AW639" s="220"/>
      <c r="AX639" s="220"/>
      <c r="AY639" s="220"/>
      <c r="AZ639" s="220"/>
    </row>
    <row r="640" ht="15.75" customHeight="1">
      <c r="A640" s="272"/>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c r="AA640" s="220"/>
      <c r="AB640" s="220"/>
      <c r="AC640" s="220"/>
      <c r="AD640" s="220"/>
      <c r="AE640" s="220"/>
      <c r="AF640" s="220"/>
      <c r="AG640" s="220"/>
      <c r="AH640" s="220"/>
      <c r="AI640" s="220"/>
      <c r="AJ640" s="220"/>
      <c r="AK640" s="220"/>
      <c r="AL640" s="220"/>
      <c r="AM640" s="220"/>
      <c r="AN640" s="220"/>
      <c r="AO640" s="220"/>
      <c r="AP640" s="220"/>
      <c r="AQ640" s="220"/>
      <c r="AR640" s="220"/>
      <c r="AS640" s="220"/>
      <c r="AT640" s="220"/>
      <c r="AU640" s="220"/>
      <c r="AV640" s="220"/>
      <c r="AW640" s="220"/>
      <c r="AX640" s="220"/>
      <c r="AY640" s="220"/>
      <c r="AZ640" s="220"/>
    </row>
    <row r="641" ht="15.75" customHeight="1">
      <c r="A641" s="272"/>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c r="AA641" s="220"/>
      <c r="AB641" s="220"/>
      <c r="AC641" s="220"/>
      <c r="AD641" s="220"/>
      <c r="AE641" s="220"/>
      <c r="AF641" s="220"/>
      <c r="AG641" s="220"/>
      <c r="AH641" s="220"/>
      <c r="AI641" s="220"/>
      <c r="AJ641" s="220"/>
      <c r="AK641" s="220"/>
      <c r="AL641" s="220"/>
      <c r="AM641" s="220"/>
      <c r="AN641" s="220"/>
      <c r="AO641" s="220"/>
      <c r="AP641" s="220"/>
      <c r="AQ641" s="220"/>
      <c r="AR641" s="220"/>
      <c r="AS641" s="220"/>
      <c r="AT641" s="220"/>
      <c r="AU641" s="220"/>
      <c r="AV641" s="220"/>
      <c r="AW641" s="220"/>
      <c r="AX641" s="220"/>
      <c r="AY641" s="220"/>
      <c r="AZ641" s="220"/>
    </row>
    <row r="642" ht="15.75" customHeight="1">
      <c r="A642" s="272"/>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c r="AA642" s="220"/>
      <c r="AB642" s="220"/>
      <c r="AC642" s="220"/>
      <c r="AD642" s="220"/>
      <c r="AE642" s="220"/>
      <c r="AF642" s="220"/>
      <c r="AG642" s="220"/>
      <c r="AH642" s="220"/>
      <c r="AI642" s="220"/>
      <c r="AJ642" s="220"/>
      <c r="AK642" s="220"/>
      <c r="AL642" s="220"/>
      <c r="AM642" s="220"/>
      <c r="AN642" s="220"/>
      <c r="AO642" s="220"/>
      <c r="AP642" s="220"/>
      <c r="AQ642" s="220"/>
      <c r="AR642" s="220"/>
      <c r="AS642" s="220"/>
      <c r="AT642" s="220"/>
      <c r="AU642" s="220"/>
      <c r="AV642" s="220"/>
      <c r="AW642" s="220"/>
      <c r="AX642" s="220"/>
      <c r="AY642" s="220"/>
      <c r="AZ642" s="220"/>
    </row>
    <row r="643" ht="15.75" customHeight="1">
      <c r="A643" s="272"/>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c r="AA643" s="220"/>
      <c r="AB643" s="220"/>
      <c r="AC643" s="220"/>
      <c r="AD643" s="220"/>
      <c r="AE643" s="220"/>
      <c r="AF643" s="220"/>
      <c r="AG643" s="220"/>
      <c r="AH643" s="220"/>
      <c r="AI643" s="220"/>
      <c r="AJ643" s="220"/>
      <c r="AK643" s="220"/>
      <c r="AL643" s="220"/>
      <c r="AM643" s="220"/>
      <c r="AN643" s="220"/>
      <c r="AO643" s="220"/>
      <c r="AP643" s="220"/>
      <c r="AQ643" s="220"/>
      <c r="AR643" s="220"/>
      <c r="AS643" s="220"/>
      <c r="AT643" s="220"/>
      <c r="AU643" s="220"/>
      <c r="AV643" s="220"/>
      <c r="AW643" s="220"/>
      <c r="AX643" s="220"/>
      <c r="AY643" s="220"/>
      <c r="AZ643" s="220"/>
    </row>
    <row r="644" ht="15.75" customHeight="1">
      <c r="A644" s="272"/>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c r="AA644" s="220"/>
      <c r="AB644" s="220"/>
      <c r="AC644" s="220"/>
      <c r="AD644" s="220"/>
      <c r="AE644" s="220"/>
      <c r="AF644" s="220"/>
      <c r="AG644" s="220"/>
      <c r="AH644" s="220"/>
      <c r="AI644" s="220"/>
      <c r="AJ644" s="220"/>
      <c r="AK644" s="220"/>
      <c r="AL644" s="220"/>
      <c r="AM644" s="220"/>
      <c r="AN644" s="220"/>
      <c r="AO644" s="220"/>
      <c r="AP644" s="220"/>
      <c r="AQ644" s="220"/>
      <c r="AR644" s="220"/>
      <c r="AS644" s="220"/>
      <c r="AT644" s="220"/>
      <c r="AU644" s="220"/>
      <c r="AV644" s="220"/>
      <c r="AW644" s="220"/>
      <c r="AX644" s="220"/>
      <c r="AY644" s="220"/>
      <c r="AZ644" s="220"/>
    </row>
    <row r="645" ht="15.75" customHeight="1">
      <c r="A645" s="272"/>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c r="AA645" s="220"/>
      <c r="AB645" s="220"/>
      <c r="AC645" s="220"/>
      <c r="AD645" s="220"/>
      <c r="AE645" s="220"/>
      <c r="AF645" s="220"/>
      <c r="AG645" s="220"/>
      <c r="AH645" s="220"/>
      <c r="AI645" s="220"/>
      <c r="AJ645" s="220"/>
      <c r="AK645" s="220"/>
      <c r="AL645" s="220"/>
      <c r="AM645" s="220"/>
      <c r="AN645" s="220"/>
      <c r="AO645" s="220"/>
      <c r="AP645" s="220"/>
      <c r="AQ645" s="220"/>
      <c r="AR645" s="220"/>
      <c r="AS645" s="220"/>
      <c r="AT645" s="220"/>
      <c r="AU645" s="220"/>
      <c r="AV645" s="220"/>
      <c r="AW645" s="220"/>
      <c r="AX645" s="220"/>
      <c r="AY645" s="220"/>
      <c r="AZ645" s="220"/>
    </row>
    <row r="646" ht="15.75" customHeight="1">
      <c r="A646" s="272"/>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c r="AA646" s="220"/>
      <c r="AB646" s="220"/>
      <c r="AC646" s="220"/>
      <c r="AD646" s="220"/>
      <c r="AE646" s="220"/>
      <c r="AF646" s="220"/>
      <c r="AG646" s="220"/>
      <c r="AH646" s="220"/>
      <c r="AI646" s="220"/>
      <c r="AJ646" s="220"/>
      <c r="AK646" s="220"/>
      <c r="AL646" s="220"/>
      <c r="AM646" s="220"/>
      <c r="AN646" s="220"/>
      <c r="AO646" s="220"/>
      <c r="AP646" s="220"/>
      <c r="AQ646" s="220"/>
      <c r="AR646" s="220"/>
      <c r="AS646" s="220"/>
      <c r="AT646" s="220"/>
      <c r="AU646" s="220"/>
      <c r="AV646" s="220"/>
      <c r="AW646" s="220"/>
      <c r="AX646" s="220"/>
      <c r="AY646" s="220"/>
      <c r="AZ646" s="220"/>
    </row>
    <row r="647" ht="15.75" customHeight="1">
      <c r="A647" s="272"/>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c r="AA647" s="220"/>
      <c r="AB647" s="220"/>
      <c r="AC647" s="220"/>
      <c r="AD647" s="220"/>
      <c r="AE647" s="220"/>
      <c r="AF647" s="220"/>
      <c r="AG647" s="220"/>
      <c r="AH647" s="220"/>
      <c r="AI647" s="220"/>
      <c r="AJ647" s="220"/>
      <c r="AK647" s="220"/>
      <c r="AL647" s="220"/>
      <c r="AM647" s="220"/>
      <c r="AN647" s="220"/>
      <c r="AO647" s="220"/>
      <c r="AP647" s="220"/>
      <c r="AQ647" s="220"/>
      <c r="AR647" s="220"/>
      <c r="AS647" s="220"/>
      <c r="AT647" s="220"/>
      <c r="AU647" s="220"/>
      <c r="AV647" s="220"/>
      <c r="AW647" s="220"/>
      <c r="AX647" s="220"/>
      <c r="AY647" s="220"/>
      <c r="AZ647" s="220"/>
    </row>
    <row r="648" ht="15.75" customHeight="1">
      <c r="A648" s="272"/>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c r="AA648" s="220"/>
      <c r="AB648" s="220"/>
      <c r="AC648" s="220"/>
      <c r="AD648" s="220"/>
      <c r="AE648" s="220"/>
      <c r="AF648" s="220"/>
      <c r="AG648" s="220"/>
      <c r="AH648" s="220"/>
      <c r="AI648" s="220"/>
      <c r="AJ648" s="220"/>
      <c r="AK648" s="220"/>
      <c r="AL648" s="220"/>
      <c r="AM648" s="220"/>
      <c r="AN648" s="220"/>
      <c r="AO648" s="220"/>
      <c r="AP648" s="220"/>
      <c r="AQ648" s="220"/>
      <c r="AR648" s="220"/>
      <c r="AS648" s="220"/>
      <c r="AT648" s="220"/>
      <c r="AU648" s="220"/>
      <c r="AV648" s="220"/>
      <c r="AW648" s="220"/>
      <c r="AX648" s="220"/>
      <c r="AY648" s="220"/>
      <c r="AZ648" s="220"/>
    </row>
    <row r="649" ht="15.75" customHeight="1">
      <c r="A649" s="272"/>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c r="AA649" s="220"/>
      <c r="AB649" s="220"/>
      <c r="AC649" s="220"/>
      <c r="AD649" s="220"/>
      <c r="AE649" s="220"/>
      <c r="AF649" s="220"/>
      <c r="AG649" s="220"/>
      <c r="AH649" s="220"/>
      <c r="AI649" s="220"/>
      <c r="AJ649" s="220"/>
      <c r="AK649" s="220"/>
      <c r="AL649" s="220"/>
      <c r="AM649" s="220"/>
      <c r="AN649" s="220"/>
      <c r="AO649" s="220"/>
      <c r="AP649" s="220"/>
      <c r="AQ649" s="220"/>
      <c r="AR649" s="220"/>
      <c r="AS649" s="220"/>
      <c r="AT649" s="220"/>
      <c r="AU649" s="220"/>
      <c r="AV649" s="220"/>
      <c r="AW649" s="220"/>
      <c r="AX649" s="220"/>
      <c r="AY649" s="220"/>
      <c r="AZ649" s="220"/>
    </row>
    <row r="650" ht="15.75" customHeight="1">
      <c r="A650" s="272"/>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c r="AA650" s="220"/>
      <c r="AB650" s="220"/>
      <c r="AC650" s="220"/>
      <c r="AD650" s="220"/>
      <c r="AE650" s="220"/>
      <c r="AF650" s="220"/>
      <c r="AG650" s="220"/>
      <c r="AH650" s="220"/>
      <c r="AI650" s="220"/>
      <c r="AJ650" s="220"/>
      <c r="AK650" s="220"/>
      <c r="AL650" s="220"/>
      <c r="AM650" s="220"/>
      <c r="AN650" s="220"/>
      <c r="AO650" s="220"/>
      <c r="AP650" s="220"/>
      <c r="AQ650" s="220"/>
      <c r="AR650" s="220"/>
      <c r="AS650" s="220"/>
      <c r="AT650" s="220"/>
      <c r="AU650" s="220"/>
      <c r="AV650" s="220"/>
      <c r="AW650" s="220"/>
      <c r="AX650" s="220"/>
      <c r="AY650" s="220"/>
      <c r="AZ650" s="220"/>
    </row>
    <row r="651" ht="15.75" customHeight="1">
      <c r="A651" s="272"/>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c r="AA651" s="220"/>
      <c r="AB651" s="220"/>
      <c r="AC651" s="220"/>
      <c r="AD651" s="220"/>
      <c r="AE651" s="220"/>
      <c r="AF651" s="220"/>
      <c r="AG651" s="220"/>
      <c r="AH651" s="220"/>
      <c r="AI651" s="220"/>
      <c r="AJ651" s="220"/>
      <c r="AK651" s="220"/>
      <c r="AL651" s="220"/>
      <c r="AM651" s="220"/>
      <c r="AN651" s="220"/>
      <c r="AO651" s="220"/>
      <c r="AP651" s="220"/>
      <c r="AQ651" s="220"/>
      <c r="AR651" s="220"/>
      <c r="AS651" s="220"/>
      <c r="AT651" s="220"/>
      <c r="AU651" s="220"/>
      <c r="AV651" s="220"/>
      <c r="AW651" s="220"/>
      <c r="AX651" s="220"/>
      <c r="AY651" s="220"/>
      <c r="AZ651" s="220"/>
    </row>
    <row r="652" ht="15.75" customHeight="1">
      <c r="A652" s="272"/>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c r="AA652" s="220"/>
      <c r="AB652" s="220"/>
      <c r="AC652" s="220"/>
      <c r="AD652" s="220"/>
      <c r="AE652" s="220"/>
      <c r="AF652" s="220"/>
      <c r="AG652" s="220"/>
      <c r="AH652" s="220"/>
      <c r="AI652" s="220"/>
      <c r="AJ652" s="220"/>
      <c r="AK652" s="220"/>
      <c r="AL652" s="220"/>
      <c r="AM652" s="220"/>
      <c r="AN652" s="220"/>
      <c r="AO652" s="220"/>
      <c r="AP652" s="220"/>
      <c r="AQ652" s="220"/>
      <c r="AR652" s="220"/>
      <c r="AS652" s="220"/>
      <c r="AT652" s="220"/>
      <c r="AU652" s="220"/>
      <c r="AV652" s="220"/>
      <c r="AW652" s="220"/>
      <c r="AX652" s="220"/>
      <c r="AY652" s="220"/>
      <c r="AZ652" s="220"/>
    </row>
    <row r="653" ht="15.75" customHeight="1">
      <c r="A653" s="272"/>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c r="AA653" s="220"/>
      <c r="AB653" s="220"/>
      <c r="AC653" s="220"/>
      <c r="AD653" s="220"/>
      <c r="AE653" s="220"/>
      <c r="AF653" s="220"/>
      <c r="AG653" s="220"/>
      <c r="AH653" s="220"/>
      <c r="AI653" s="220"/>
      <c r="AJ653" s="220"/>
      <c r="AK653" s="220"/>
      <c r="AL653" s="220"/>
      <c r="AM653" s="220"/>
      <c r="AN653" s="220"/>
      <c r="AO653" s="220"/>
      <c r="AP653" s="220"/>
      <c r="AQ653" s="220"/>
      <c r="AR653" s="220"/>
      <c r="AS653" s="220"/>
      <c r="AT653" s="220"/>
      <c r="AU653" s="220"/>
      <c r="AV653" s="220"/>
      <c r="AW653" s="220"/>
      <c r="AX653" s="220"/>
      <c r="AY653" s="220"/>
      <c r="AZ653" s="220"/>
    </row>
    <row r="654" ht="15.75" customHeight="1">
      <c r="A654" s="272"/>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c r="AA654" s="220"/>
      <c r="AB654" s="220"/>
      <c r="AC654" s="220"/>
      <c r="AD654" s="220"/>
      <c r="AE654" s="220"/>
      <c r="AF654" s="220"/>
      <c r="AG654" s="220"/>
      <c r="AH654" s="220"/>
      <c r="AI654" s="220"/>
      <c r="AJ654" s="220"/>
      <c r="AK654" s="220"/>
      <c r="AL654" s="220"/>
      <c r="AM654" s="220"/>
      <c r="AN654" s="220"/>
      <c r="AO654" s="220"/>
      <c r="AP654" s="220"/>
      <c r="AQ654" s="220"/>
      <c r="AR654" s="220"/>
      <c r="AS654" s="220"/>
      <c r="AT654" s="220"/>
      <c r="AU654" s="220"/>
      <c r="AV654" s="220"/>
      <c r="AW654" s="220"/>
      <c r="AX654" s="220"/>
      <c r="AY654" s="220"/>
      <c r="AZ654" s="220"/>
    </row>
    <row r="655" ht="15.75" customHeight="1">
      <c r="A655" s="272"/>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c r="AA655" s="220"/>
      <c r="AB655" s="220"/>
      <c r="AC655" s="220"/>
      <c r="AD655" s="220"/>
      <c r="AE655" s="220"/>
      <c r="AF655" s="220"/>
      <c r="AG655" s="220"/>
      <c r="AH655" s="220"/>
      <c r="AI655" s="220"/>
      <c r="AJ655" s="220"/>
      <c r="AK655" s="220"/>
      <c r="AL655" s="220"/>
      <c r="AM655" s="220"/>
      <c r="AN655" s="220"/>
      <c r="AO655" s="220"/>
      <c r="AP655" s="220"/>
      <c r="AQ655" s="220"/>
      <c r="AR655" s="220"/>
      <c r="AS655" s="220"/>
      <c r="AT655" s="220"/>
      <c r="AU655" s="220"/>
      <c r="AV655" s="220"/>
      <c r="AW655" s="220"/>
      <c r="AX655" s="220"/>
      <c r="AY655" s="220"/>
      <c r="AZ655" s="220"/>
    </row>
    <row r="656" ht="15.75" customHeight="1">
      <c r="A656" s="272"/>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c r="AA656" s="220"/>
      <c r="AB656" s="220"/>
      <c r="AC656" s="220"/>
      <c r="AD656" s="220"/>
      <c r="AE656" s="220"/>
      <c r="AF656" s="220"/>
      <c r="AG656" s="220"/>
      <c r="AH656" s="220"/>
      <c r="AI656" s="220"/>
      <c r="AJ656" s="220"/>
      <c r="AK656" s="220"/>
      <c r="AL656" s="220"/>
      <c r="AM656" s="220"/>
      <c r="AN656" s="220"/>
      <c r="AO656" s="220"/>
      <c r="AP656" s="220"/>
      <c r="AQ656" s="220"/>
      <c r="AR656" s="220"/>
      <c r="AS656" s="220"/>
      <c r="AT656" s="220"/>
      <c r="AU656" s="220"/>
      <c r="AV656" s="220"/>
      <c r="AW656" s="220"/>
      <c r="AX656" s="220"/>
      <c r="AY656" s="220"/>
      <c r="AZ656" s="220"/>
    </row>
    <row r="657" ht="15.75" customHeight="1">
      <c r="A657" s="272"/>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c r="AA657" s="220"/>
      <c r="AB657" s="220"/>
      <c r="AC657" s="220"/>
      <c r="AD657" s="220"/>
      <c r="AE657" s="220"/>
      <c r="AF657" s="220"/>
      <c r="AG657" s="220"/>
      <c r="AH657" s="220"/>
      <c r="AI657" s="220"/>
      <c r="AJ657" s="220"/>
      <c r="AK657" s="220"/>
      <c r="AL657" s="220"/>
      <c r="AM657" s="220"/>
      <c r="AN657" s="220"/>
      <c r="AO657" s="220"/>
      <c r="AP657" s="220"/>
      <c r="AQ657" s="220"/>
      <c r="AR657" s="220"/>
      <c r="AS657" s="220"/>
      <c r="AT657" s="220"/>
      <c r="AU657" s="220"/>
      <c r="AV657" s="220"/>
      <c r="AW657" s="220"/>
      <c r="AX657" s="220"/>
      <c r="AY657" s="220"/>
      <c r="AZ657" s="220"/>
    </row>
    <row r="658" ht="15.75" customHeight="1">
      <c r="A658" s="272"/>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c r="AA658" s="220"/>
      <c r="AB658" s="220"/>
      <c r="AC658" s="220"/>
      <c r="AD658" s="220"/>
      <c r="AE658" s="220"/>
      <c r="AF658" s="220"/>
      <c r="AG658" s="220"/>
      <c r="AH658" s="220"/>
      <c r="AI658" s="220"/>
      <c r="AJ658" s="220"/>
      <c r="AK658" s="220"/>
      <c r="AL658" s="220"/>
      <c r="AM658" s="220"/>
      <c r="AN658" s="220"/>
      <c r="AO658" s="220"/>
      <c r="AP658" s="220"/>
      <c r="AQ658" s="220"/>
      <c r="AR658" s="220"/>
      <c r="AS658" s="220"/>
      <c r="AT658" s="220"/>
      <c r="AU658" s="220"/>
      <c r="AV658" s="220"/>
      <c r="AW658" s="220"/>
      <c r="AX658" s="220"/>
      <c r="AY658" s="220"/>
      <c r="AZ658" s="220"/>
    </row>
    <row r="659" ht="15.75" customHeight="1">
      <c r="A659" s="272"/>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c r="AA659" s="220"/>
      <c r="AB659" s="220"/>
      <c r="AC659" s="220"/>
      <c r="AD659" s="220"/>
      <c r="AE659" s="220"/>
      <c r="AF659" s="220"/>
      <c r="AG659" s="220"/>
      <c r="AH659" s="220"/>
      <c r="AI659" s="220"/>
      <c r="AJ659" s="220"/>
      <c r="AK659" s="220"/>
      <c r="AL659" s="220"/>
      <c r="AM659" s="220"/>
      <c r="AN659" s="220"/>
      <c r="AO659" s="220"/>
      <c r="AP659" s="220"/>
      <c r="AQ659" s="220"/>
      <c r="AR659" s="220"/>
      <c r="AS659" s="220"/>
      <c r="AT659" s="220"/>
      <c r="AU659" s="220"/>
      <c r="AV659" s="220"/>
      <c r="AW659" s="220"/>
      <c r="AX659" s="220"/>
      <c r="AY659" s="220"/>
      <c r="AZ659" s="220"/>
    </row>
    <row r="660" ht="15.75" customHeight="1">
      <c r="A660" s="272"/>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c r="AA660" s="220"/>
      <c r="AB660" s="220"/>
      <c r="AC660" s="220"/>
      <c r="AD660" s="220"/>
      <c r="AE660" s="220"/>
      <c r="AF660" s="220"/>
      <c r="AG660" s="220"/>
      <c r="AH660" s="220"/>
      <c r="AI660" s="220"/>
      <c r="AJ660" s="220"/>
      <c r="AK660" s="220"/>
      <c r="AL660" s="220"/>
      <c r="AM660" s="220"/>
      <c r="AN660" s="220"/>
      <c r="AO660" s="220"/>
      <c r="AP660" s="220"/>
      <c r="AQ660" s="220"/>
      <c r="AR660" s="220"/>
      <c r="AS660" s="220"/>
      <c r="AT660" s="220"/>
      <c r="AU660" s="220"/>
      <c r="AV660" s="220"/>
      <c r="AW660" s="220"/>
      <c r="AX660" s="220"/>
      <c r="AY660" s="220"/>
      <c r="AZ660" s="220"/>
    </row>
    <row r="661" ht="15.75" customHeight="1">
      <c r="A661" s="272"/>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c r="AA661" s="220"/>
      <c r="AB661" s="220"/>
      <c r="AC661" s="220"/>
      <c r="AD661" s="220"/>
      <c r="AE661" s="220"/>
      <c r="AF661" s="220"/>
      <c r="AG661" s="220"/>
      <c r="AH661" s="220"/>
      <c r="AI661" s="220"/>
      <c r="AJ661" s="220"/>
      <c r="AK661" s="220"/>
      <c r="AL661" s="220"/>
      <c r="AM661" s="220"/>
      <c r="AN661" s="220"/>
      <c r="AO661" s="220"/>
      <c r="AP661" s="220"/>
      <c r="AQ661" s="220"/>
      <c r="AR661" s="220"/>
      <c r="AS661" s="220"/>
      <c r="AT661" s="220"/>
      <c r="AU661" s="220"/>
      <c r="AV661" s="220"/>
      <c r="AW661" s="220"/>
      <c r="AX661" s="220"/>
      <c r="AY661" s="220"/>
      <c r="AZ661" s="220"/>
    </row>
    <row r="662" ht="15.75" customHeight="1">
      <c r="A662" s="272"/>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c r="AA662" s="220"/>
      <c r="AB662" s="220"/>
      <c r="AC662" s="220"/>
      <c r="AD662" s="220"/>
      <c r="AE662" s="220"/>
      <c r="AF662" s="220"/>
      <c r="AG662" s="220"/>
      <c r="AH662" s="220"/>
      <c r="AI662" s="220"/>
      <c r="AJ662" s="220"/>
      <c r="AK662" s="220"/>
      <c r="AL662" s="220"/>
      <c r="AM662" s="220"/>
      <c r="AN662" s="220"/>
      <c r="AO662" s="220"/>
      <c r="AP662" s="220"/>
      <c r="AQ662" s="220"/>
      <c r="AR662" s="220"/>
      <c r="AS662" s="220"/>
      <c r="AT662" s="220"/>
      <c r="AU662" s="220"/>
      <c r="AV662" s="220"/>
      <c r="AW662" s="220"/>
      <c r="AX662" s="220"/>
      <c r="AY662" s="220"/>
      <c r="AZ662" s="220"/>
    </row>
    <row r="663" ht="15.75" customHeight="1">
      <c r="A663" s="272"/>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c r="AA663" s="220"/>
      <c r="AB663" s="220"/>
      <c r="AC663" s="220"/>
      <c r="AD663" s="220"/>
      <c r="AE663" s="220"/>
      <c r="AF663" s="220"/>
      <c r="AG663" s="220"/>
      <c r="AH663" s="220"/>
      <c r="AI663" s="220"/>
      <c r="AJ663" s="220"/>
      <c r="AK663" s="220"/>
      <c r="AL663" s="220"/>
      <c r="AM663" s="220"/>
      <c r="AN663" s="220"/>
      <c r="AO663" s="220"/>
      <c r="AP663" s="220"/>
      <c r="AQ663" s="220"/>
      <c r="AR663" s="220"/>
      <c r="AS663" s="220"/>
      <c r="AT663" s="220"/>
      <c r="AU663" s="220"/>
      <c r="AV663" s="220"/>
      <c r="AW663" s="220"/>
      <c r="AX663" s="220"/>
      <c r="AY663" s="220"/>
      <c r="AZ663" s="220"/>
    </row>
    <row r="664" ht="15.75" customHeight="1">
      <c r="A664" s="272"/>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c r="AA664" s="220"/>
      <c r="AB664" s="220"/>
      <c r="AC664" s="220"/>
      <c r="AD664" s="220"/>
      <c r="AE664" s="220"/>
      <c r="AF664" s="220"/>
      <c r="AG664" s="220"/>
      <c r="AH664" s="220"/>
      <c r="AI664" s="220"/>
      <c r="AJ664" s="220"/>
      <c r="AK664" s="220"/>
      <c r="AL664" s="220"/>
      <c r="AM664" s="220"/>
      <c r="AN664" s="220"/>
      <c r="AO664" s="220"/>
      <c r="AP664" s="220"/>
      <c r="AQ664" s="220"/>
      <c r="AR664" s="220"/>
      <c r="AS664" s="220"/>
      <c r="AT664" s="220"/>
      <c r="AU664" s="220"/>
      <c r="AV664" s="220"/>
      <c r="AW664" s="220"/>
      <c r="AX664" s="220"/>
      <c r="AY664" s="220"/>
      <c r="AZ664" s="220"/>
    </row>
    <row r="665" ht="15.75" customHeight="1">
      <c r="A665" s="272"/>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c r="AA665" s="220"/>
      <c r="AB665" s="220"/>
      <c r="AC665" s="220"/>
      <c r="AD665" s="220"/>
      <c r="AE665" s="220"/>
      <c r="AF665" s="220"/>
      <c r="AG665" s="220"/>
      <c r="AH665" s="220"/>
      <c r="AI665" s="220"/>
      <c r="AJ665" s="220"/>
      <c r="AK665" s="220"/>
      <c r="AL665" s="220"/>
      <c r="AM665" s="220"/>
      <c r="AN665" s="220"/>
      <c r="AO665" s="220"/>
      <c r="AP665" s="220"/>
      <c r="AQ665" s="220"/>
      <c r="AR665" s="220"/>
      <c r="AS665" s="220"/>
      <c r="AT665" s="220"/>
      <c r="AU665" s="220"/>
      <c r="AV665" s="220"/>
      <c r="AW665" s="220"/>
      <c r="AX665" s="220"/>
      <c r="AY665" s="220"/>
      <c r="AZ665" s="220"/>
    </row>
    <row r="666" ht="15.75" customHeight="1">
      <c r="A666" s="272"/>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c r="AA666" s="220"/>
      <c r="AB666" s="220"/>
      <c r="AC666" s="220"/>
      <c r="AD666" s="220"/>
      <c r="AE666" s="220"/>
      <c r="AF666" s="220"/>
      <c r="AG666" s="220"/>
      <c r="AH666" s="220"/>
      <c r="AI666" s="220"/>
      <c r="AJ666" s="220"/>
      <c r="AK666" s="220"/>
      <c r="AL666" s="220"/>
      <c r="AM666" s="220"/>
      <c r="AN666" s="220"/>
      <c r="AO666" s="220"/>
      <c r="AP666" s="220"/>
      <c r="AQ666" s="220"/>
      <c r="AR666" s="220"/>
      <c r="AS666" s="220"/>
      <c r="AT666" s="220"/>
      <c r="AU666" s="220"/>
      <c r="AV666" s="220"/>
      <c r="AW666" s="220"/>
      <c r="AX666" s="220"/>
      <c r="AY666" s="220"/>
      <c r="AZ666" s="220"/>
    </row>
    <row r="667" ht="15.75" customHeight="1">
      <c r="A667" s="272"/>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c r="AA667" s="220"/>
      <c r="AB667" s="220"/>
      <c r="AC667" s="220"/>
      <c r="AD667" s="220"/>
      <c r="AE667" s="220"/>
      <c r="AF667" s="220"/>
      <c r="AG667" s="220"/>
      <c r="AH667" s="220"/>
      <c r="AI667" s="220"/>
      <c r="AJ667" s="220"/>
      <c r="AK667" s="220"/>
      <c r="AL667" s="220"/>
      <c r="AM667" s="220"/>
      <c r="AN667" s="220"/>
      <c r="AO667" s="220"/>
      <c r="AP667" s="220"/>
      <c r="AQ667" s="220"/>
      <c r="AR667" s="220"/>
      <c r="AS667" s="220"/>
      <c r="AT667" s="220"/>
      <c r="AU667" s="220"/>
      <c r="AV667" s="220"/>
      <c r="AW667" s="220"/>
      <c r="AX667" s="220"/>
      <c r="AY667" s="220"/>
      <c r="AZ667" s="220"/>
    </row>
    <row r="668" ht="15.75" customHeight="1">
      <c r="A668" s="272"/>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c r="AA668" s="220"/>
      <c r="AB668" s="220"/>
      <c r="AC668" s="220"/>
      <c r="AD668" s="220"/>
      <c r="AE668" s="220"/>
      <c r="AF668" s="220"/>
      <c r="AG668" s="220"/>
      <c r="AH668" s="220"/>
      <c r="AI668" s="220"/>
      <c r="AJ668" s="220"/>
      <c r="AK668" s="220"/>
      <c r="AL668" s="220"/>
      <c r="AM668" s="220"/>
      <c r="AN668" s="220"/>
      <c r="AO668" s="220"/>
      <c r="AP668" s="220"/>
      <c r="AQ668" s="220"/>
      <c r="AR668" s="220"/>
      <c r="AS668" s="220"/>
      <c r="AT668" s="220"/>
      <c r="AU668" s="220"/>
      <c r="AV668" s="220"/>
      <c r="AW668" s="220"/>
      <c r="AX668" s="220"/>
      <c r="AY668" s="220"/>
      <c r="AZ668" s="220"/>
    </row>
    <row r="669" ht="15.75" customHeight="1">
      <c r="A669" s="272"/>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c r="AA669" s="220"/>
      <c r="AB669" s="220"/>
      <c r="AC669" s="220"/>
      <c r="AD669" s="220"/>
      <c r="AE669" s="220"/>
      <c r="AF669" s="220"/>
      <c r="AG669" s="220"/>
      <c r="AH669" s="220"/>
      <c r="AI669" s="220"/>
      <c r="AJ669" s="220"/>
      <c r="AK669" s="220"/>
      <c r="AL669" s="220"/>
      <c r="AM669" s="220"/>
      <c r="AN669" s="220"/>
      <c r="AO669" s="220"/>
      <c r="AP669" s="220"/>
      <c r="AQ669" s="220"/>
      <c r="AR669" s="220"/>
      <c r="AS669" s="220"/>
      <c r="AT669" s="220"/>
      <c r="AU669" s="220"/>
      <c r="AV669" s="220"/>
      <c r="AW669" s="220"/>
      <c r="AX669" s="220"/>
      <c r="AY669" s="220"/>
      <c r="AZ669" s="220"/>
    </row>
    <row r="670" ht="15.75" customHeight="1">
      <c r="A670" s="272"/>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c r="AA670" s="220"/>
      <c r="AB670" s="220"/>
      <c r="AC670" s="220"/>
      <c r="AD670" s="220"/>
      <c r="AE670" s="220"/>
      <c r="AF670" s="220"/>
      <c r="AG670" s="220"/>
      <c r="AH670" s="220"/>
      <c r="AI670" s="220"/>
      <c r="AJ670" s="220"/>
      <c r="AK670" s="220"/>
      <c r="AL670" s="220"/>
      <c r="AM670" s="220"/>
      <c r="AN670" s="220"/>
      <c r="AO670" s="220"/>
      <c r="AP670" s="220"/>
      <c r="AQ670" s="220"/>
      <c r="AR670" s="220"/>
      <c r="AS670" s="220"/>
      <c r="AT670" s="220"/>
      <c r="AU670" s="220"/>
      <c r="AV670" s="220"/>
      <c r="AW670" s="220"/>
      <c r="AX670" s="220"/>
      <c r="AY670" s="220"/>
      <c r="AZ670" s="220"/>
    </row>
    <row r="671" ht="15.75" customHeight="1">
      <c r="A671" s="272"/>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c r="AA671" s="220"/>
      <c r="AB671" s="220"/>
      <c r="AC671" s="220"/>
      <c r="AD671" s="220"/>
      <c r="AE671" s="220"/>
      <c r="AF671" s="220"/>
      <c r="AG671" s="220"/>
      <c r="AH671" s="220"/>
      <c r="AI671" s="220"/>
      <c r="AJ671" s="220"/>
      <c r="AK671" s="220"/>
      <c r="AL671" s="220"/>
      <c r="AM671" s="220"/>
      <c r="AN671" s="220"/>
      <c r="AO671" s="220"/>
      <c r="AP671" s="220"/>
      <c r="AQ671" s="220"/>
      <c r="AR671" s="220"/>
      <c r="AS671" s="220"/>
      <c r="AT671" s="220"/>
      <c r="AU671" s="220"/>
      <c r="AV671" s="220"/>
      <c r="AW671" s="220"/>
      <c r="AX671" s="220"/>
      <c r="AY671" s="220"/>
      <c r="AZ671" s="220"/>
    </row>
    <row r="672" ht="15.75" customHeight="1">
      <c r="A672" s="272"/>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c r="AA672" s="220"/>
      <c r="AB672" s="220"/>
      <c r="AC672" s="220"/>
      <c r="AD672" s="220"/>
      <c r="AE672" s="220"/>
      <c r="AF672" s="220"/>
      <c r="AG672" s="220"/>
      <c r="AH672" s="220"/>
      <c r="AI672" s="220"/>
      <c r="AJ672" s="220"/>
      <c r="AK672" s="220"/>
      <c r="AL672" s="220"/>
      <c r="AM672" s="220"/>
      <c r="AN672" s="220"/>
      <c r="AO672" s="220"/>
      <c r="AP672" s="220"/>
      <c r="AQ672" s="220"/>
      <c r="AR672" s="220"/>
      <c r="AS672" s="220"/>
      <c r="AT672" s="220"/>
      <c r="AU672" s="220"/>
      <c r="AV672" s="220"/>
      <c r="AW672" s="220"/>
      <c r="AX672" s="220"/>
      <c r="AY672" s="220"/>
      <c r="AZ672" s="220"/>
    </row>
    <row r="673" ht="15.75" customHeight="1">
      <c r="A673" s="272"/>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c r="AA673" s="220"/>
      <c r="AB673" s="220"/>
      <c r="AC673" s="220"/>
      <c r="AD673" s="220"/>
      <c r="AE673" s="220"/>
      <c r="AF673" s="220"/>
      <c r="AG673" s="220"/>
      <c r="AH673" s="220"/>
      <c r="AI673" s="220"/>
      <c r="AJ673" s="220"/>
      <c r="AK673" s="220"/>
      <c r="AL673" s="220"/>
      <c r="AM673" s="220"/>
      <c r="AN673" s="220"/>
      <c r="AO673" s="220"/>
      <c r="AP673" s="220"/>
      <c r="AQ673" s="220"/>
      <c r="AR673" s="220"/>
      <c r="AS673" s="220"/>
      <c r="AT673" s="220"/>
      <c r="AU673" s="220"/>
      <c r="AV673" s="220"/>
      <c r="AW673" s="220"/>
      <c r="AX673" s="220"/>
      <c r="AY673" s="220"/>
      <c r="AZ673" s="220"/>
    </row>
    <row r="674" ht="15.75" customHeight="1">
      <c r="A674" s="272"/>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c r="AA674" s="220"/>
      <c r="AB674" s="220"/>
      <c r="AC674" s="220"/>
      <c r="AD674" s="220"/>
      <c r="AE674" s="220"/>
      <c r="AF674" s="220"/>
      <c r="AG674" s="220"/>
      <c r="AH674" s="220"/>
      <c r="AI674" s="220"/>
      <c r="AJ674" s="220"/>
      <c r="AK674" s="220"/>
      <c r="AL674" s="220"/>
      <c r="AM674" s="220"/>
      <c r="AN674" s="220"/>
      <c r="AO674" s="220"/>
      <c r="AP674" s="220"/>
      <c r="AQ674" s="220"/>
      <c r="AR674" s="220"/>
      <c r="AS674" s="220"/>
      <c r="AT674" s="220"/>
      <c r="AU674" s="220"/>
      <c r="AV674" s="220"/>
      <c r="AW674" s="220"/>
      <c r="AX674" s="220"/>
      <c r="AY674" s="220"/>
      <c r="AZ674" s="220"/>
    </row>
    <row r="675" ht="15.75" customHeight="1">
      <c r="A675" s="272"/>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c r="AA675" s="220"/>
      <c r="AB675" s="220"/>
      <c r="AC675" s="220"/>
      <c r="AD675" s="220"/>
      <c r="AE675" s="220"/>
      <c r="AF675" s="220"/>
      <c r="AG675" s="220"/>
      <c r="AH675" s="220"/>
      <c r="AI675" s="220"/>
      <c r="AJ675" s="220"/>
      <c r="AK675" s="220"/>
      <c r="AL675" s="220"/>
      <c r="AM675" s="220"/>
      <c r="AN675" s="220"/>
      <c r="AO675" s="220"/>
      <c r="AP675" s="220"/>
      <c r="AQ675" s="220"/>
      <c r="AR675" s="220"/>
      <c r="AS675" s="220"/>
      <c r="AT675" s="220"/>
      <c r="AU675" s="220"/>
      <c r="AV675" s="220"/>
      <c r="AW675" s="220"/>
      <c r="AX675" s="220"/>
      <c r="AY675" s="220"/>
      <c r="AZ675" s="220"/>
    </row>
    <row r="676" ht="15.75" customHeight="1">
      <c r="A676" s="272"/>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c r="AA676" s="220"/>
      <c r="AB676" s="220"/>
      <c r="AC676" s="220"/>
      <c r="AD676" s="220"/>
      <c r="AE676" s="220"/>
      <c r="AF676" s="220"/>
      <c r="AG676" s="220"/>
      <c r="AH676" s="220"/>
      <c r="AI676" s="220"/>
      <c r="AJ676" s="220"/>
      <c r="AK676" s="220"/>
      <c r="AL676" s="220"/>
      <c r="AM676" s="220"/>
      <c r="AN676" s="220"/>
      <c r="AO676" s="220"/>
      <c r="AP676" s="220"/>
      <c r="AQ676" s="220"/>
      <c r="AR676" s="220"/>
      <c r="AS676" s="220"/>
      <c r="AT676" s="220"/>
      <c r="AU676" s="220"/>
      <c r="AV676" s="220"/>
      <c r="AW676" s="220"/>
      <c r="AX676" s="220"/>
      <c r="AY676" s="220"/>
      <c r="AZ676" s="220"/>
    </row>
    <row r="677" ht="15.75" customHeight="1">
      <c r="A677" s="272"/>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c r="AA677" s="220"/>
      <c r="AB677" s="220"/>
      <c r="AC677" s="220"/>
      <c r="AD677" s="220"/>
      <c r="AE677" s="220"/>
      <c r="AF677" s="220"/>
      <c r="AG677" s="220"/>
      <c r="AH677" s="220"/>
      <c r="AI677" s="220"/>
      <c r="AJ677" s="220"/>
      <c r="AK677" s="220"/>
      <c r="AL677" s="220"/>
      <c r="AM677" s="220"/>
      <c r="AN677" s="220"/>
      <c r="AO677" s="220"/>
      <c r="AP677" s="220"/>
      <c r="AQ677" s="220"/>
      <c r="AR677" s="220"/>
      <c r="AS677" s="220"/>
      <c r="AT677" s="220"/>
      <c r="AU677" s="220"/>
      <c r="AV677" s="220"/>
      <c r="AW677" s="220"/>
      <c r="AX677" s="220"/>
      <c r="AY677" s="220"/>
      <c r="AZ677" s="220"/>
    </row>
    <row r="678" ht="15.75" customHeight="1">
      <c r="A678" s="272"/>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c r="AA678" s="220"/>
      <c r="AB678" s="220"/>
      <c r="AC678" s="220"/>
      <c r="AD678" s="220"/>
      <c r="AE678" s="220"/>
      <c r="AF678" s="220"/>
      <c r="AG678" s="220"/>
      <c r="AH678" s="220"/>
      <c r="AI678" s="220"/>
      <c r="AJ678" s="220"/>
      <c r="AK678" s="220"/>
      <c r="AL678" s="220"/>
      <c r="AM678" s="220"/>
      <c r="AN678" s="220"/>
      <c r="AO678" s="220"/>
      <c r="AP678" s="220"/>
      <c r="AQ678" s="220"/>
      <c r="AR678" s="220"/>
      <c r="AS678" s="220"/>
      <c r="AT678" s="220"/>
      <c r="AU678" s="220"/>
      <c r="AV678" s="220"/>
      <c r="AW678" s="220"/>
      <c r="AX678" s="220"/>
      <c r="AY678" s="220"/>
      <c r="AZ678" s="220"/>
    </row>
    <row r="679" ht="15.75" customHeight="1">
      <c r="A679" s="272"/>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c r="AA679" s="220"/>
      <c r="AB679" s="220"/>
      <c r="AC679" s="220"/>
      <c r="AD679" s="220"/>
      <c r="AE679" s="220"/>
      <c r="AF679" s="220"/>
      <c r="AG679" s="220"/>
      <c r="AH679" s="220"/>
      <c r="AI679" s="220"/>
      <c r="AJ679" s="220"/>
      <c r="AK679" s="220"/>
      <c r="AL679" s="220"/>
      <c r="AM679" s="220"/>
      <c r="AN679" s="220"/>
      <c r="AO679" s="220"/>
      <c r="AP679" s="220"/>
      <c r="AQ679" s="220"/>
      <c r="AR679" s="220"/>
      <c r="AS679" s="220"/>
      <c r="AT679" s="220"/>
      <c r="AU679" s="220"/>
      <c r="AV679" s="220"/>
      <c r="AW679" s="220"/>
      <c r="AX679" s="220"/>
      <c r="AY679" s="220"/>
      <c r="AZ679" s="220"/>
    </row>
    <row r="680" ht="15.75" customHeight="1">
      <c r="A680" s="272"/>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c r="AA680" s="220"/>
      <c r="AB680" s="220"/>
      <c r="AC680" s="220"/>
      <c r="AD680" s="220"/>
      <c r="AE680" s="220"/>
      <c r="AF680" s="220"/>
      <c r="AG680" s="220"/>
      <c r="AH680" s="220"/>
      <c r="AI680" s="220"/>
      <c r="AJ680" s="220"/>
      <c r="AK680" s="220"/>
      <c r="AL680" s="220"/>
      <c r="AM680" s="220"/>
      <c r="AN680" s="220"/>
      <c r="AO680" s="220"/>
      <c r="AP680" s="220"/>
      <c r="AQ680" s="220"/>
      <c r="AR680" s="220"/>
      <c r="AS680" s="220"/>
      <c r="AT680" s="220"/>
      <c r="AU680" s="220"/>
      <c r="AV680" s="220"/>
      <c r="AW680" s="220"/>
      <c r="AX680" s="220"/>
      <c r="AY680" s="220"/>
      <c r="AZ680" s="220"/>
    </row>
    <row r="681" ht="15.75" customHeight="1">
      <c r="A681" s="272"/>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c r="AA681" s="220"/>
      <c r="AB681" s="220"/>
      <c r="AC681" s="220"/>
      <c r="AD681" s="220"/>
      <c r="AE681" s="220"/>
      <c r="AF681" s="220"/>
      <c r="AG681" s="220"/>
      <c r="AH681" s="220"/>
      <c r="AI681" s="220"/>
      <c r="AJ681" s="220"/>
      <c r="AK681" s="220"/>
      <c r="AL681" s="220"/>
      <c r="AM681" s="220"/>
      <c r="AN681" s="220"/>
      <c r="AO681" s="220"/>
      <c r="AP681" s="220"/>
      <c r="AQ681" s="220"/>
      <c r="AR681" s="220"/>
      <c r="AS681" s="220"/>
      <c r="AT681" s="220"/>
      <c r="AU681" s="220"/>
      <c r="AV681" s="220"/>
      <c r="AW681" s="220"/>
      <c r="AX681" s="220"/>
      <c r="AY681" s="220"/>
      <c r="AZ681" s="220"/>
    </row>
    <row r="682" ht="15.75" customHeight="1">
      <c r="A682" s="272"/>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c r="AA682" s="220"/>
      <c r="AB682" s="220"/>
      <c r="AC682" s="220"/>
      <c r="AD682" s="220"/>
      <c r="AE682" s="220"/>
      <c r="AF682" s="220"/>
      <c r="AG682" s="220"/>
      <c r="AH682" s="220"/>
      <c r="AI682" s="220"/>
      <c r="AJ682" s="220"/>
      <c r="AK682" s="220"/>
      <c r="AL682" s="220"/>
      <c r="AM682" s="220"/>
      <c r="AN682" s="220"/>
      <c r="AO682" s="220"/>
      <c r="AP682" s="220"/>
      <c r="AQ682" s="220"/>
      <c r="AR682" s="220"/>
      <c r="AS682" s="220"/>
      <c r="AT682" s="220"/>
      <c r="AU682" s="220"/>
      <c r="AV682" s="220"/>
      <c r="AW682" s="220"/>
      <c r="AX682" s="220"/>
      <c r="AY682" s="220"/>
      <c r="AZ682" s="220"/>
    </row>
    <row r="683" ht="15.75" customHeight="1">
      <c r="A683" s="272"/>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220"/>
      <c r="AM683" s="220"/>
      <c r="AN683" s="220"/>
      <c r="AO683" s="220"/>
      <c r="AP683" s="220"/>
      <c r="AQ683" s="220"/>
      <c r="AR683" s="220"/>
      <c r="AS683" s="220"/>
      <c r="AT683" s="220"/>
      <c r="AU683" s="220"/>
      <c r="AV683" s="220"/>
      <c r="AW683" s="220"/>
      <c r="AX683" s="220"/>
      <c r="AY683" s="220"/>
      <c r="AZ683" s="220"/>
    </row>
    <row r="684" ht="15.75" customHeight="1">
      <c r="A684" s="272"/>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c r="AA684" s="220"/>
      <c r="AB684" s="220"/>
      <c r="AC684" s="220"/>
      <c r="AD684" s="220"/>
      <c r="AE684" s="220"/>
      <c r="AF684" s="220"/>
      <c r="AG684" s="220"/>
      <c r="AH684" s="220"/>
      <c r="AI684" s="220"/>
      <c r="AJ684" s="220"/>
      <c r="AK684" s="220"/>
      <c r="AL684" s="220"/>
      <c r="AM684" s="220"/>
      <c r="AN684" s="220"/>
      <c r="AO684" s="220"/>
      <c r="AP684" s="220"/>
      <c r="AQ684" s="220"/>
      <c r="AR684" s="220"/>
      <c r="AS684" s="220"/>
      <c r="AT684" s="220"/>
      <c r="AU684" s="220"/>
      <c r="AV684" s="220"/>
      <c r="AW684" s="220"/>
      <c r="AX684" s="220"/>
      <c r="AY684" s="220"/>
      <c r="AZ684" s="220"/>
    </row>
    <row r="685" ht="15.75" customHeight="1">
      <c r="A685" s="272"/>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c r="AA685" s="220"/>
      <c r="AB685" s="220"/>
      <c r="AC685" s="220"/>
      <c r="AD685" s="220"/>
      <c r="AE685" s="220"/>
      <c r="AF685" s="220"/>
      <c r="AG685" s="220"/>
      <c r="AH685" s="220"/>
      <c r="AI685" s="220"/>
      <c r="AJ685" s="220"/>
      <c r="AK685" s="220"/>
      <c r="AL685" s="220"/>
      <c r="AM685" s="220"/>
      <c r="AN685" s="220"/>
      <c r="AO685" s="220"/>
      <c r="AP685" s="220"/>
      <c r="AQ685" s="220"/>
      <c r="AR685" s="220"/>
      <c r="AS685" s="220"/>
      <c r="AT685" s="220"/>
      <c r="AU685" s="220"/>
      <c r="AV685" s="220"/>
      <c r="AW685" s="220"/>
      <c r="AX685" s="220"/>
      <c r="AY685" s="220"/>
      <c r="AZ685" s="220"/>
    </row>
    <row r="686" ht="15.75" customHeight="1">
      <c r="A686" s="272"/>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c r="AA686" s="220"/>
      <c r="AB686" s="220"/>
      <c r="AC686" s="220"/>
      <c r="AD686" s="220"/>
      <c r="AE686" s="220"/>
      <c r="AF686" s="220"/>
      <c r="AG686" s="220"/>
      <c r="AH686" s="220"/>
      <c r="AI686" s="220"/>
      <c r="AJ686" s="220"/>
      <c r="AK686" s="220"/>
      <c r="AL686" s="220"/>
      <c r="AM686" s="220"/>
      <c r="AN686" s="220"/>
      <c r="AO686" s="220"/>
      <c r="AP686" s="220"/>
      <c r="AQ686" s="220"/>
      <c r="AR686" s="220"/>
      <c r="AS686" s="220"/>
      <c r="AT686" s="220"/>
      <c r="AU686" s="220"/>
      <c r="AV686" s="220"/>
      <c r="AW686" s="220"/>
      <c r="AX686" s="220"/>
      <c r="AY686" s="220"/>
      <c r="AZ686" s="220"/>
    </row>
    <row r="687" ht="15.75" customHeight="1">
      <c r="A687" s="272"/>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c r="AA687" s="220"/>
      <c r="AB687" s="220"/>
      <c r="AC687" s="220"/>
      <c r="AD687" s="220"/>
      <c r="AE687" s="220"/>
      <c r="AF687" s="220"/>
      <c r="AG687" s="220"/>
      <c r="AH687" s="220"/>
      <c r="AI687" s="220"/>
      <c r="AJ687" s="220"/>
      <c r="AK687" s="220"/>
      <c r="AL687" s="220"/>
      <c r="AM687" s="220"/>
      <c r="AN687" s="220"/>
      <c r="AO687" s="220"/>
      <c r="AP687" s="220"/>
      <c r="AQ687" s="220"/>
      <c r="AR687" s="220"/>
      <c r="AS687" s="220"/>
      <c r="AT687" s="220"/>
      <c r="AU687" s="220"/>
      <c r="AV687" s="220"/>
      <c r="AW687" s="220"/>
      <c r="AX687" s="220"/>
      <c r="AY687" s="220"/>
      <c r="AZ687" s="220"/>
    </row>
    <row r="688" ht="15.75" customHeight="1">
      <c r="A688" s="272"/>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c r="AA688" s="220"/>
      <c r="AB688" s="220"/>
      <c r="AC688" s="220"/>
      <c r="AD688" s="220"/>
      <c r="AE688" s="220"/>
      <c r="AF688" s="220"/>
      <c r="AG688" s="220"/>
      <c r="AH688" s="220"/>
      <c r="AI688" s="220"/>
      <c r="AJ688" s="220"/>
      <c r="AK688" s="220"/>
      <c r="AL688" s="220"/>
      <c r="AM688" s="220"/>
      <c r="AN688" s="220"/>
      <c r="AO688" s="220"/>
      <c r="AP688" s="220"/>
      <c r="AQ688" s="220"/>
      <c r="AR688" s="220"/>
      <c r="AS688" s="220"/>
      <c r="AT688" s="220"/>
      <c r="AU688" s="220"/>
      <c r="AV688" s="220"/>
      <c r="AW688" s="220"/>
      <c r="AX688" s="220"/>
      <c r="AY688" s="220"/>
      <c r="AZ688" s="220"/>
    </row>
    <row r="689" ht="15.75" customHeight="1">
      <c r="A689" s="272"/>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c r="AA689" s="220"/>
      <c r="AB689" s="220"/>
      <c r="AC689" s="220"/>
      <c r="AD689" s="220"/>
      <c r="AE689" s="220"/>
      <c r="AF689" s="220"/>
      <c r="AG689" s="220"/>
      <c r="AH689" s="220"/>
      <c r="AI689" s="220"/>
      <c r="AJ689" s="220"/>
      <c r="AK689" s="220"/>
      <c r="AL689" s="220"/>
      <c r="AM689" s="220"/>
      <c r="AN689" s="220"/>
      <c r="AO689" s="220"/>
      <c r="AP689" s="220"/>
      <c r="AQ689" s="220"/>
      <c r="AR689" s="220"/>
      <c r="AS689" s="220"/>
      <c r="AT689" s="220"/>
      <c r="AU689" s="220"/>
      <c r="AV689" s="220"/>
      <c r="AW689" s="220"/>
      <c r="AX689" s="220"/>
      <c r="AY689" s="220"/>
      <c r="AZ689" s="220"/>
    </row>
    <row r="690" ht="15.75" customHeight="1">
      <c r="A690" s="272"/>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c r="AA690" s="220"/>
      <c r="AB690" s="220"/>
      <c r="AC690" s="220"/>
      <c r="AD690" s="220"/>
      <c r="AE690" s="220"/>
      <c r="AF690" s="220"/>
      <c r="AG690" s="220"/>
      <c r="AH690" s="220"/>
      <c r="AI690" s="220"/>
      <c r="AJ690" s="220"/>
      <c r="AK690" s="220"/>
      <c r="AL690" s="220"/>
      <c r="AM690" s="220"/>
      <c r="AN690" s="220"/>
      <c r="AO690" s="220"/>
      <c r="AP690" s="220"/>
      <c r="AQ690" s="220"/>
      <c r="AR690" s="220"/>
      <c r="AS690" s="220"/>
      <c r="AT690" s="220"/>
      <c r="AU690" s="220"/>
      <c r="AV690" s="220"/>
      <c r="AW690" s="220"/>
      <c r="AX690" s="220"/>
      <c r="AY690" s="220"/>
      <c r="AZ690" s="220"/>
    </row>
    <row r="691" ht="15.75" customHeight="1">
      <c r="A691" s="272"/>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c r="AA691" s="220"/>
      <c r="AB691" s="220"/>
      <c r="AC691" s="220"/>
      <c r="AD691" s="220"/>
      <c r="AE691" s="220"/>
      <c r="AF691" s="220"/>
      <c r="AG691" s="220"/>
      <c r="AH691" s="220"/>
      <c r="AI691" s="220"/>
      <c r="AJ691" s="220"/>
      <c r="AK691" s="220"/>
      <c r="AL691" s="220"/>
      <c r="AM691" s="220"/>
      <c r="AN691" s="220"/>
      <c r="AO691" s="220"/>
      <c r="AP691" s="220"/>
      <c r="AQ691" s="220"/>
      <c r="AR691" s="220"/>
      <c r="AS691" s="220"/>
      <c r="AT691" s="220"/>
      <c r="AU691" s="220"/>
      <c r="AV691" s="220"/>
      <c r="AW691" s="220"/>
      <c r="AX691" s="220"/>
      <c r="AY691" s="220"/>
      <c r="AZ691" s="220"/>
    </row>
    <row r="692" ht="15.75" customHeight="1">
      <c r="A692" s="272"/>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c r="AA692" s="220"/>
      <c r="AB692" s="220"/>
      <c r="AC692" s="220"/>
      <c r="AD692" s="220"/>
      <c r="AE692" s="220"/>
      <c r="AF692" s="220"/>
      <c r="AG692" s="220"/>
      <c r="AH692" s="220"/>
      <c r="AI692" s="220"/>
      <c r="AJ692" s="220"/>
      <c r="AK692" s="220"/>
      <c r="AL692" s="220"/>
      <c r="AM692" s="220"/>
      <c r="AN692" s="220"/>
      <c r="AO692" s="220"/>
      <c r="AP692" s="220"/>
      <c r="AQ692" s="220"/>
      <c r="AR692" s="220"/>
      <c r="AS692" s="220"/>
      <c r="AT692" s="220"/>
      <c r="AU692" s="220"/>
      <c r="AV692" s="220"/>
      <c r="AW692" s="220"/>
      <c r="AX692" s="220"/>
      <c r="AY692" s="220"/>
      <c r="AZ692" s="220"/>
    </row>
    <row r="693" ht="15.75" customHeight="1">
      <c r="A693" s="272"/>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c r="AA693" s="220"/>
      <c r="AB693" s="220"/>
      <c r="AC693" s="220"/>
      <c r="AD693" s="220"/>
      <c r="AE693" s="220"/>
      <c r="AF693" s="220"/>
      <c r="AG693" s="220"/>
      <c r="AH693" s="220"/>
      <c r="AI693" s="220"/>
      <c r="AJ693" s="220"/>
      <c r="AK693" s="220"/>
      <c r="AL693" s="220"/>
      <c r="AM693" s="220"/>
      <c r="AN693" s="220"/>
      <c r="AO693" s="220"/>
      <c r="AP693" s="220"/>
      <c r="AQ693" s="220"/>
      <c r="AR693" s="220"/>
      <c r="AS693" s="220"/>
      <c r="AT693" s="220"/>
      <c r="AU693" s="220"/>
      <c r="AV693" s="220"/>
      <c r="AW693" s="220"/>
      <c r="AX693" s="220"/>
      <c r="AY693" s="220"/>
      <c r="AZ693" s="220"/>
    </row>
    <row r="694" ht="15.75" customHeight="1">
      <c r="A694" s="272"/>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c r="AA694" s="220"/>
      <c r="AB694" s="220"/>
      <c r="AC694" s="220"/>
      <c r="AD694" s="220"/>
      <c r="AE694" s="220"/>
      <c r="AF694" s="220"/>
      <c r="AG694" s="220"/>
      <c r="AH694" s="220"/>
      <c r="AI694" s="220"/>
      <c r="AJ694" s="220"/>
      <c r="AK694" s="220"/>
      <c r="AL694" s="220"/>
      <c r="AM694" s="220"/>
      <c r="AN694" s="220"/>
      <c r="AO694" s="220"/>
      <c r="AP694" s="220"/>
      <c r="AQ694" s="220"/>
      <c r="AR694" s="220"/>
      <c r="AS694" s="220"/>
      <c r="AT694" s="220"/>
      <c r="AU694" s="220"/>
      <c r="AV694" s="220"/>
      <c r="AW694" s="220"/>
      <c r="AX694" s="220"/>
      <c r="AY694" s="220"/>
      <c r="AZ694" s="220"/>
    </row>
    <row r="695" ht="15.75" customHeight="1">
      <c r="A695" s="272"/>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c r="AA695" s="220"/>
      <c r="AB695" s="220"/>
      <c r="AC695" s="220"/>
      <c r="AD695" s="220"/>
      <c r="AE695" s="220"/>
      <c r="AF695" s="220"/>
      <c r="AG695" s="220"/>
      <c r="AH695" s="220"/>
      <c r="AI695" s="220"/>
      <c r="AJ695" s="220"/>
      <c r="AK695" s="220"/>
      <c r="AL695" s="220"/>
      <c r="AM695" s="220"/>
      <c r="AN695" s="220"/>
      <c r="AO695" s="220"/>
      <c r="AP695" s="220"/>
      <c r="AQ695" s="220"/>
      <c r="AR695" s="220"/>
      <c r="AS695" s="220"/>
      <c r="AT695" s="220"/>
      <c r="AU695" s="220"/>
      <c r="AV695" s="220"/>
      <c r="AW695" s="220"/>
      <c r="AX695" s="220"/>
      <c r="AY695" s="220"/>
      <c r="AZ695" s="220"/>
    </row>
    <row r="696" ht="15.75" customHeight="1">
      <c r="A696" s="272"/>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c r="AA696" s="220"/>
      <c r="AB696" s="220"/>
      <c r="AC696" s="220"/>
      <c r="AD696" s="220"/>
      <c r="AE696" s="220"/>
      <c r="AF696" s="220"/>
      <c r="AG696" s="220"/>
      <c r="AH696" s="220"/>
      <c r="AI696" s="220"/>
      <c r="AJ696" s="220"/>
      <c r="AK696" s="220"/>
      <c r="AL696" s="220"/>
      <c r="AM696" s="220"/>
      <c r="AN696" s="220"/>
      <c r="AO696" s="220"/>
      <c r="AP696" s="220"/>
      <c r="AQ696" s="220"/>
      <c r="AR696" s="220"/>
      <c r="AS696" s="220"/>
      <c r="AT696" s="220"/>
      <c r="AU696" s="220"/>
      <c r="AV696" s="220"/>
      <c r="AW696" s="220"/>
      <c r="AX696" s="220"/>
      <c r="AY696" s="220"/>
      <c r="AZ696" s="220"/>
    </row>
    <row r="697" ht="15.75" customHeight="1">
      <c r="A697" s="272"/>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c r="AA697" s="220"/>
      <c r="AB697" s="220"/>
      <c r="AC697" s="220"/>
      <c r="AD697" s="220"/>
      <c r="AE697" s="220"/>
      <c r="AF697" s="220"/>
      <c r="AG697" s="220"/>
      <c r="AH697" s="220"/>
      <c r="AI697" s="220"/>
      <c r="AJ697" s="220"/>
      <c r="AK697" s="220"/>
      <c r="AL697" s="220"/>
      <c r="AM697" s="220"/>
      <c r="AN697" s="220"/>
      <c r="AO697" s="220"/>
      <c r="AP697" s="220"/>
      <c r="AQ697" s="220"/>
      <c r="AR697" s="220"/>
      <c r="AS697" s="220"/>
      <c r="AT697" s="220"/>
      <c r="AU697" s="220"/>
      <c r="AV697" s="220"/>
      <c r="AW697" s="220"/>
      <c r="AX697" s="220"/>
      <c r="AY697" s="220"/>
      <c r="AZ697" s="220"/>
    </row>
    <row r="698" ht="15.75" customHeight="1">
      <c r="A698" s="272"/>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c r="AA698" s="220"/>
      <c r="AB698" s="220"/>
      <c r="AC698" s="220"/>
      <c r="AD698" s="220"/>
      <c r="AE698" s="220"/>
      <c r="AF698" s="220"/>
      <c r="AG698" s="220"/>
      <c r="AH698" s="220"/>
      <c r="AI698" s="220"/>
      <c r="AJ698" s="220"/>
      <c r="AK698" s="220"/>
      <c r="AL698" s="220"/>
      <c r="AM698" s="220"/>
      <c r="AN698" s="220"/>
      <c r="AO698" s="220"/>
      <c r="AP698" s="220"/>
      <c r="AQ698" s="220"/>
      <c r="AR698" s="220"/>
      <c r="AS698" s="220"/>
      <c r="AT698" s="220"/>
      <c r="AU698" s="220"/>
      <c r="AV698" s="220"/>
      <c r="AW698" s="220"/>
      <c r="AX698" s="220"/>
      <c r="AY698" s="220"/>
      <c r="AZ698" s="220"/>
    </row>
    <row r="699" ht="15.75" customHeight="1">
      <c r="A699" s="272"/>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c r="AA699" s="220"/>
      <c r="AB699" s="220"/>
      <c r="AC699" s="220"/>
      <c r="AD699" s="220"/>
      <c r="AE699" s="220"/>
      <c r="AF699" s="220"/>
      <c r="AG699" s="220"/>
      <c r="AH699" s="220"/>
      <c r="AI699" s="220"/>
      <c r="AJ699" s="220"/>
      <c r="AK699" s="220"/>
      <c r="AL699" s="220"/>
      <c r="AM699" s="220"/>
      <c r="AN699" s="220"/>
      <c r="AO699" s="220"/>
      <c r="AP699" s="220"/>
      <c r="AQ699" s="220"/>
      <c r="AR699" s="220"/>
      <c r="AS699" s="220"/>
      <c r="AT699" s="220"/>
      <c r="AU699" s="220"/>
      <c r="AV699" s="220"/>
      <c r="AW699" s="220"/>
      <c r="AX699" s="220"/>
      <c r="AY699" s="220"/>
      <c r="AZ699" s="220"/>
    </row>
    <row r="700" ht="15.75" customHeight="1">
      <c r="A700" s="272"/>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c r="AA700" s="220"/>
      <c r="AB700" s="220"/>
      <c r="AC700" s="220"/>
      <c r="AD700" s="220"/>
      <c r="AE700" s="220"/>
      <c r="AF700" s="220"/>
      <c r="AG700" s="220"/>
      <c r="AH700" s="220"/>
      <c r="AI700" s="220"/>
      <c r="AJ700" s="220"/>
      <c r="AK700" s="220"/>
      <c r="AL700" s="220"/>
      <c r="AM700" s="220"/>
      <c r="AN700" s="220"/>
      <c r="AO700" s="220"/>
      <c r="AP700" s="220"/>
      <c r="AQ700" s="220"/>
      <c r="AR700" s="220"/>
      <c r="AS700" s="220"/>
      <c r="AT700" s="220"/>
      <c r="AU700" s="220"/>
      <c r="AV700" s="220"/>
      <c r="AW700" s="220"/>
      <c r="AX700" s="220"/>
      <c r="AY700" s="220"/>
      <c r="AZ700" s="220"/>
    </row>
    <row r="701" ht="15.75" customHeight="1">
      <c r="A701" s="272"/>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c r="AA701" s="220"/>
      <c r="AB701" s="220"/>
      <c r="AC701" s="220"/>
      <c r="AD701" s="220"/>
      <c r="AE701" s="220"/>
      <c r="AF701" s="220"/>
      <c r="AG701" s="220"/>
      <c r="AH701" s="220"/>
      <c r="AI701" s="220"/>
      <c r="AJ701" s="220"/>
      <c r="AK701" s="220"/>
      <c r="AL701" s="220"/>
      <c r="AM701" s="220"/>
      <c r="AN701" s="220"/>
      <c r="AO701" s="220"/>
      <c r="AP701" s="220"/>
      <c r="AQ701" s="220"/>
      <c r="AR701" s="220"/>
      <c r="AS701" s="220"/>
      <c r="AT701" s="220"/>
      <c r="AU701" s="220"/>
      <c r="AV701" s="220"/>
      <c r="AW701" s="220"/>
      <c r="AX701" s="220"/>
      <c r="AY701" s="220"/>
      <c r="AZ701" s="220"/>
    </row>
    <row r="702" ht="15.75" customHeight="1">
      <c r="A702" s="272"/>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c r="AA702" s="220"/>
      <c r="AB702" s="220"/>
      <c r="AC702" s="220"/>
      <c r="AD702" s="220"/>
      <c r="AE702" s="220"/>
      <c r="AF702" s="220"/>
      <c r="AG702" s="220"/>
      <c r="AH702" s="220"/>
      <c r="AI702" s="220"/>
      <c r="AJ702" s="220"/>
      <c r="AK702" s="220"/>
      <c r="AL702" s="220"/>
      <c r="AM702" s="220"/>
      <c r="AN702" s="220"/>
      <c r="AO702" s="220"/>
      <c r="AP702" s="220"/>
      <c r="AQ702" s="220"/>
      <c r="AR702" s="220"/>
      <c r="AS702" s="220"/>
      <c r="AT702" s="220"/>
      <c r="AU702" s="220"/>
      <c r="AV702" s="220"/>
      <c r="AW702" s="220"/>
      <c r="AX702" s="220"/>
      <c r="AY702" s="220"/>
      <c r="AZ702" s="220"/>
    </row>
    <row r="703" ht="15.75" customHeight="1">
      <c r="A703" s="272"/>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c r="AA703" s="220"/>
      <c r="AB703" s="220"/>
      <c r="AC703" s="220"/>
      <c r="AD703" s="220"/>
      <c r="AE703" s="220"/>
      <c r="AF703" s="220"/>
      <c r="AG703" s="220"/>
      <c r="AH703" s="220"/>
      <c r="AI703" s="220"/>
      <c r="AJ703" s="220"/>
      <c r="AK703" s="220"/>
      <c r="AL703" s="220"/>
      <c r="AM703" s="220"/>
      <c r="AN703" s="220"/>
      <c r="AO703" s="220"/>
      <c r="AP703" s="220"/>
      <c r="AQ703" s="220"/>
      <c r="AR703" s="220"/>
      <c r="AS703" s="220"/>
      <c r="AT703" s="220"/>
      <c r="AU703" s="220"/>
      <c r="AV703" s="220"/>
      <c r="AW703" s="220"/>
      <c r="AX703" s="220"/>
      <c r="AY703" s="220"/>
      <c r="AZ703" s="220"/>
    </row>
    <row r="704" ht="15.75" customHeight="1">
      <c r="A704" s="272"/>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c r="AA704" s="220"/>
      <c r="AB704" s="220"/>
      <c r="AC704" s="220"/>
      <c r="AD704" s="220"/>
      <c r="AE704" s="220"/>
      <c r="AF704" s="220"/>
      <c r="AG704" s="220"/>
      <c r="AH704" s="220"/>
      <c r="AI704" s="220"/>
      <c r="AJ704" s="220"/>
      <c r="AK704" s="220"/>
      <c r="AL704" s="220"/>
      <c r="AM704" s="220"/>
      <c r="AN704" s="220"/>
      <c r="AO704" s="220"/>
      <c r="AP704" s="220"/>
      <c r="AQ704" s="220"/>
      <c r="AR704" s="220"/>
      <c r="AS704" s="220"/>
      <c r="AT704" s="220"/>
      <c r="AU704" s="220"/>
      <c r="AV704" s="220"/>
      <c r="AW704" s="220"/>
      <c r="AX704" s="220"/>
      <c r="AY704" s="220"/>
      <c r="AZ704" s="220"/>
    </row>
    <row r="705" ht="15.75" customHeight="1">
      <c r="A705" s="272"/>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c r="AA705" s="220"/>
      <c r="AB705" s="220"/>
      <c r="AC705" s="220"/>
      <c r="AD705" s="220"/>
      <c r="AE705" s="220"/>
      <c r="AF705" s="220"/>
      <c r="AG705" s="220"/>
      <c r="AH705" s="220"/>
      <c r="AI705" s="220"/>
      <c r="AJ705" s="220"/>
      <c r="AK705" s="220"/>
      <c r="AL705" s="220"/>
      <c r="AM705" s="220"/>
      <c r="AN705" s="220"/>
      <c r="AO705" s="220"/>
      <c r="AP705" s="220"/>
      <c r="AQ705" s="220"/>
      <c r="AR705" s="220"/>
      <c r="AS705" s="220"/>
      <c r="AT705" s="220"/>
      <c r="AU705" s="220"/>
      <c r="AV705" s="220"/>
      <c r="AW705" s="220"/>
      <c r="AX705" s="220"/>
      <c r="AY705" s="220"/>
      <c r="AZ705" s="220"/>
    </row>
    <row r="706" ht="15.75" customHeight="1">
      <c r="A706" s="272"/>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c r="AA706" s="220"/>
      <c r="AB706" s="220"/>
      <c r="AC706" s="220"/>
      <c r="AD706" s="220"/>
      <c r="AE706" s="220"/>
      <c r="AF706" s="220"/>
      <c r="AG706" s="220"/>
      <c r="AH706" s="220"/>
      <c r="AI706" s="220"/>
      <c r="AJ706" s="220"/>
      <c r="AK706" s="220"/>
      <c r="AL706" s="220"/>
      <c r="AM706" s="220"/>
      <c r="AN706" s="220"/>
      <c r="AO706" s="220"/>
      <c r="AP706" s="220"/>
      <c r="AQ706" s="220"/>
      <c r="AR706" s="220"/>
      <c r="AS706" s="220"/>
      <c r="AT706" s="220"/>
      <c r="AU706" s="220"/>
      <c r="AV706" s="220"/>
      <c r="AW706" s="220"/>
      <c r="AX706" s="220"/>
      <c r="AY706" s="220"/>
      <c r="AZ706" s="220"/>
    </row>
    <row r="707" ht="15.75" customHeight="1">
      <c r="A707" s="272"/>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c r="AA707" s="220"/>
      <c r="AB707" s="220"/>
      <c r="AC707" s="220"/>
      <c r="AD707" s="220"/>
      <c r="AE707" s="220"/>
      <c r="AF707" s="220"/>
      <c r="AG707" s="220"/>
      <c r="AH707" s="220"/>
      <c r="AI707" s="220"/>
      <c r="AJ707" s="220"/>
      <c r="AK707" s="220"/>
      <c r="AL707" s="220"/>
      <c r="AM707" s="220"/>
      <c r="AN707" s="220"/>
      <c r="AO707" s="220"/>
      <c r="AP707" s="220"/>
      <c r="AQ707" s="220"/>
      <c r="AR707" s="220"/>
      <c r="AS707" s="220"/>
      <c r="AT707" s="220"/>
      <c r="AU707" s="220"/>
      <c r="AV707" s="220"/>
      <c r="AW707" s="220"/>
      <c r="AX707" s="220"/>
      <c r="AY707" s="220"/>
      <c r="AZ707" s="220"/>
    </row>
    <row r="708" ht="15.75" customHeight="1">
      <c r="A708" s="272"/>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c r="AA708" s="220"/>
      <c r="AB708" s="220"/>
      <c r="AC708" s="220"/>
      <c r="AD708" s="220"/>
      <c r="AE708" s="220"/>
      <c r="AF708" s="220"/>
      <c r="AG708" s="220"/>
      <c r="AH708" s="220"/>
      <c r="AI708" s="220"/>
      <c r="AJ708" s="220"/>
      <c r="AK708" s="220"/>
      <c r="AL708" s="220"/>
      <c r="AM708" s="220"/>
      <c r="AN708" s="220"/>
      <c r="AO708" s="220"/>
      <c r="AP708" s="220"/>
      <c r="AQ708" s="220"/>
      <c r="AR708" s="220"/>
      <c r="AS708" s="220"/>
      <c r="AT708" s="220"/>
      <c r="AU708" s="220"/>
      <c r="AV708" s="220"/>
      <c r="AW708" s="220"/>
      <c r="AX708" s="220"/>
      <c r="AY708" s="220"/>
      <c r="AZ708" s="220"/>
    </row>
    <row r="709" ht="15.75" customHeight="1">
      <c r="A709" s="272"/>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c r="AA709" s="220"/>
      <c r="AB709" s="220"/>
      <c r="AC709" s="220"/>
      <c r="AD709" s="220"/>
      <c r="AE709" s="220"/>
      <c r="AF709" s="220"/>
      <c r="AG709" s="220"/>
      <c r="AH709" s="220"/>
      <c r="AI709" s="220"/>
      <c r="AJ709" s="220"/>
      <c r="AK709" s="220"/>
      <c r="AL709" s="220"/>
      <c r="AM709" s="220"/>
      <c r="AN709" s="220"/>
      <c r="AO709" s="220"/>
      <c r="AP709" s="220"/>
      <c r="AQ709" s="220"/>
      <c r="AR709" s="220"/>
      <c r="AS709" s="220"/>
      <c r="AT709" s="220"/>
      <c r="AU709" s="220"/>
      <c r="AV709" s="220"/>
      <c r="AW709" s="220"/>
      <c r="AX709" s="220"/>
      <c r="AY709" s="220"/>
      <c r="AZ709" s="220"/>
    </row>
    <row r="710" ht="15.75" customHeight="1">
      <c r="A710" s="272"/>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c r="AA710" s="220"/>
      <c r="AB710" s="220"/>
      <c r="AC710" s="220"/>
      <c r="AD710" s="220"/>
      <c r="AE710" s="220"/>
      <c r="AF710" s="220"/>
      <c r="AG710" s="220"/>
      <c r="AH710" s="220"/>
      <c r="AI710" s="220"/>
      <c r="AJ710" s="220"/>
      <c r="AK710" s="220"/>
      <c r="AL710" s="220"/>
      <c r="AM710" s="220"/>
      <c r="AN710" s="220"/>
      <c r="AO710" s="220"/>
      <c r="AP710" s="220"/>
      <c r="AQ710" s="220"/>
      <c r="AR710" s="220"/>
      <c r="AS710" s="220"/>
      <c r="AT710" s="220"/>
      <c r="AU710" s="220"/>
      <c r="AV710" s="220"/>
      <c r="AW710" s="220"/>
      <c r="AX710" s="220"/>
      <c r="AY710" s="220"/>
      <c r="AZ710" s="220"/>
    </row>
    <row r="711" ht="15.75" customHeight="1">
      <c r="A711" s="272"/>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c r="AA711" s="220"/>
      <c r="AB711" s="220"/>
      <c r="AC711" s="220"/>
      <c r="AD711" s="220"/>
      <c r="AE711" s="220"/>
      <c r="AF711" s="220"/>
      <c r="AG711" s="220"/>
      <c r="AH711" s="220"/>
      <c r="AI711" s="220"/>
      <c r="AJ711" s="220"/>
      <c r="AK711" s="220"/>
      <c r="AL711" s="220"/>
      <c r="AM711" s="220"/>
      <c r="AN711" s="220"/>
      <c r="AO711" s="220"/>
      <c r="AP711" s="220"/>
      <c r="AQ711" s="220"/>
      <c r="AR711" s="220"/>
      <c r="AS711" s="220"/>
      <c r="AT711" s="220"/>
      <c r="AU711" s="220"/>
      <c r="AV711" s="220"/>
      <c r="AW711" s="220"/>
      <c r="AX711" s="220"/>
      <c r="AY711" s="220"/>
      <c r="AZ711" s="220"/>
    </row>
    <row r="712" ht="15.75" customHeight="1">
      <c r="A712" s="272"/>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c r="AA712" s="220"/>
      <c r="AB712" s="220"/>
      <c r="AC712" s="220"/>
      <c r="AD712" s="220"/>
      <c r="AE712" s="220"/>
      <c r="AF712" s="220"/>
      <c r="AG712" s="220"/>
      <c r="AH712" s="220"/>
      <c r="AI712" s="220"/>
      <c r="AJ712" s="220"/>
      <c r="AK712" s="220"/>
      <c r="AL712" s="220"/>
      <c r="AM712" s="220"/>
      <c r="AN712" s="220"/>
      <c r="AO712" s="220"/>
      <c r="AP712" s="220"/>
      <c r="AQ712" s="220"/>
      <c r="AR712" s="220"/>
      <c r="AS712" s="220"/>
      <c r="AT712" s="220"/>
      <c r="AU712" s="220"/>
      <c r="AV712" s="220"/>
      <c r="AW712" s="220"/>
      <c r="AX712" s="220"/>
      <c r="AY712" s="220"/>
      <c r="AZ712" s="220"/>
    </row>
    <row r="713" ht="15.75" customHeight="1">
      <c r="A713" s="272"/>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c r="AA713" s="220"/>
      <c r="AB713" s="220"/>
      <c r="AC713" s="220"/>
      <c r="AD713" s="220"/>
      <c r="AE713" s="220"/>
      <c r="AF713" s="220"/>
      <c r="AG713" s="220"/>
      <c r="AH713" s="220"/>
      <c r="AI713" s="220"/>
      <c r="AJ713" s="220"/>
      <c r="AK713" s="220"/>
      <c r="AL713" s="220"/>
      <c r="AM713" s="220"/>
      <c r="AN713" s="220"/>
      <c r="AO713" s="220"/>
      <c r="AP713" s="220"/>
      <c r="AQ713" s="220"/>
      <c r="AR713" s="220"/>
      <c r="AS713" s="220"/>
      <c r="AT713" s="220"/>
      <c r="AU713" s="220"/>
      <c r="AV713" s="220"/>
      <c r="AW713" s="220"/>
      <c r="AX713" s="220"/>
      <c r="AY713" s="220"/>
      <c r="AZ713" s="220"/>
    </row>
    <row r="714" ht="15.75" customHeight="1">
      <c r="A714" s="272"/>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c r="AA714" s="220"/>
      <c r="AB714" s="220"/>
      <c r="AC714" s="220"/>
      <c r="AD714" s="220"/>
      <c r="AE714" s="220"/>
      <c r="AF714" s="220"/>
      <c r="AG714" s="220"/>
      <c r="AH714" s="220"/>
      <c r="AI714" s="220"/>
      <c r="AJ714" s="220"/>
      <c r="AK714" s="220"/>
      <c r="AL714" s="220"/>
      <c r="AM714" s="220"/>
      <c r="AN714" s="220"/>
      <c r="AO714" s="220"/>
      <c r="AP714" s="220"/>
      <c r="AQ714" s="220"/>
      <c r="AR714" s="220"/>
      <c r="AS714" s="220"/>
      <c r="AT714" s="220"/>
      <c r="AU714" s="220"/>
      <c r="AV714" s="220"/>
      <c r="AW714" s="220"/>
      <c r="AX714" s="220"/>
      <c r="AY714" s="220"/>
      <c r="AZ714" s="220"/>
    </row>
    <row r="715" ht="15.75" customHeight="1">
      <c r="A715" s="272"/>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c r="AA715" s="220"/>
      <c r="AB715" s="220"/>
      <c r="AC715" s="220"/>
      <c r="AD715" s="220"/>
      <c r="AE715" s="220"/>
      <c r="AF715" s="220"/>
      <c r="AG715" s="220"/>
      <c r="AH715" s="220"/>
      <c r="AI715" s="220"/>
      <c r="AJ715" s="220"/>
      <c r="AK715" s="220"/>
      <c r="AL715" s="220"/>
      <c r="AM715" s="220"/>
      <c r="AN715" s="220"/>
      <c r="AO715" s="220"/>
      <c r="AP715" s="220"/>
      <c r="AQ715" s="220"/>
      <c r="AR715" s="220"/>
      <c r="AS715" s="220"/>
      <c r="AT715" s="220"/>
      <c r="AU715" s="220"/>
      <c r="AV715" s="220"/>
      <c r="AW715" s="220"/>
      <c r="AX715" s="220"/>
      <c r="AY715" s="220"/>
      <c r="AZ715" s="220"/>
    </row>
    <row r="716" ht="15.75" customHeight="1">
      <c r="A716" s="272"/>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c r="AA716" s="220"/>
      <c r="AB716" s="220"/>
      <c r="AC716" s="220"/>
      <c r="AD716" s="220"/>
      <c r="AE716" s="220"/>
      <c r="AF716" s="220"/>
      <c r="AG716" s="220"/>
      <c r="AH716" s="220"/>
      <c r="AI716" s="220"/>
      <c r="AJ716" s="220"/>
      <c r="AK716" s="220"/>
      <c r="AL716" s="220"/>
      <c r="AM716" s="220"/>
      <c r="AN716" s="220"/>
      <c r="AO716" s="220"/>
      <c r="AP716" s="220"/>
      <c r="AQ716" s="220"/>
      <c r="AR716" s="220"/>
      <c r="AS716" s="220"/>
      <c r="AT716" s="220"/>
      <c r="AU716" s="220"/>
      <c r="AV716" s="220"/>
      <c r="AW716" s="220"/>
      <c r="AX716" s="220"/>
      <c r="AY716" s="220"/>
      <c r="AZ716" s="220"/>
    </row>
    <row r="717" ht="15.75" customHeight="1">
      <c r="A717" s="272"/>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c r="AA717" s="220"/>
      <c r="AB717" s="220"/>
      <c r="AC717" s="220"/>
      <c r="AD717" s="220"/>
      <c r="AE717" s="220"/>
      <c r="AF717" s="220"/>
      <c r="AG717" s="220"/>
      <c r="AH717" s="220"/>
      <c r="AI717" s="220"/>
      <c r="AJ717" s="220"/>
      <c r="AK717" s="220"/>
      <c r="AL717" s="220"/>
      <c r="AM717" s="220"/>
      <c r="AN717" s="220"/>
      <c r="AO717" s="220"/>
      <c r="AP717" s="220"/>
      <c r="AQ717" s="220"/>
      <c r="AR717" s="220"/>
      <c r="AS717" s="220"/>
      <c r="AT717" s="220"/>
      <c r="AU717" s="220"/>
      <c r="AV717" s="220"/>
      <c r="AW717" s="220"/>
      <c r="AX717" s="220"/>
      <c r="AY717" s="220"/>
      <c r="AZ717" s="220"/>
    </row>
    <row r="718" ht="15.75" customHeight="1">
      <c r="A718" s="272"/>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c r="AA718" s="220"/>
      <c r="AB718" s="220"/>
      <c r="AC718" s="220"/>
      <c r="AD718" s="220"/>
      <c r="AE718" s="220"/>
      <c r="AF718" s="220"/>
      <c r="AG718" s="220"/>
      <c r="AH718" s="220"/>
      <c r="AI718" s="220"/>
      <c r="AJ718" s="220"/>
      <c r="AK718" s="220"/>
      <c r="AL718" s="220"/>
      <c r="AM718" s="220"/>
      <c r="AN718" s="220"/>
      <c r="AO718" s="220"/>
      <c r="AP718" s="220"/>
      <c r="AQ718" s="220"/>
      <c r="AR718" s="220"/>
      <c r="AS718" s="220"/>
      <c r="AT718" s="220"/>
      <c r="AU718" s="220"/>
      <c r="AV718" s="220"/>
      <c r="AW718" s="220"/>
      <c r="AX718" s="220"/>
      <c r="AY718" s="220"/>
      <c r="AZ718" s="220"/>
    </row>
    <row r="719" ht="15.75" customHeight="1">
      <c r="A719" s="272"/>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c r="AA719" s="220"/>
      <c r="AB719" s="220"/>
      <c r="AC719" s="220"/>
      <c r="AD719" s="220"/>
      <c r="AE719" s="220"/>
      <c r="AF719" s="220"/>
      <c r="AG719" s="220"/>
      <c r="AH719" s="220"/>
      <c r="AI719" s="220"/>
      <c r="AJ719" s="220"/>
      <c r="AK719" s="220"/>
      <c r="AL719" s="220"/>
      <c r="AM719" s="220"/>
      <c r="AN719" s="220"/>
      <c r="AO719" s="220"/>
      <c r="AP719" s="220"/>
      <c r="AQ719" s="220"/>
      <c r="AR719" s="220"/>
      <c r="AS719" s="220"/>
      <c r="AT719" s="220"/>
      <c r="AU719" s="220"/>
      <c r="AV719" s="220"/>
      <c r="AW719" s="220"/>
      <c r="AX719" s="220"/>
      <c r="AY719" s="220"/>
      <c r="AZ719" s="220"/>
    </row>
    <row r="720" ht="15.75" customHeight="1">
      <c r="A720" s="272"/>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c r="AA720" s="220"/>
      <c r="AB720" s="220"/>
      <c r="AC720" s="220"/>
      <c r="AD720" s="220"/>
      <c r="AE720" s="220"/>
      <c r="AF720" s="220"/>
      <c r="AG720" s="220"/>
      <c r="AH720" s="220"/>
      <c r="AI720" s="220"/>
      <c r="AJ720" s="220"/>
      <c r="AK720" s="220"/>
      <c r="AL720" s="220"/>
      <c r="AM720" s="220"/>
      <c r="AN720" s="220"/>
      <c r="AO720" s="220"/>
      <c r="AP720" s="220"/>
      <c r="AQ720" s="220"/>
      <c r="AR720" s="220"/>
      <c r="AS720" s="220"/>
      <c r="AT720" s="220"/>
      <c r="AU720" s="220"/>
      <c r="AV720" s="220"/>
      <c r="AW720" s="220"/>
      <c r="AX720" s="220"/>
      <c r="AY720" s="220"/>
      <c r="AZ720" s="220"/>
    </row>
    <row r="721" ht="15.75" customHeight="1">
      <c r="A721" s="272"/>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c r="AA721" s="220"/>
      <c r="AB721" s="220"/>
      <c r="AC721" s="220"/>
      <c r="AD721" s="220"/>
      <c r="AE721" s="220"/>
      <c r="AF721" s="220"/>
      <c r="AG721" s="220"/>
      <c r="AH721" s="220"/>
      <c r="AI721" s="220"/>
      <c r="AJ721" s="220"/>
      <c r="AK721" s="220"/>
      <c r="AL721" s="220"/>
      <c r="AM721" s="220"/>
      <c r="AN721" s="220"/>
      <c r="AO721" s="220"/>
      <c r="AP721" s="220"/>
      <c r="AQ721" s="220"/>
      <c r="AR721" s="220"/>
      <c r="AS721" s="220"/>
      <c r="AT721" s="220"/>
      <c r="AU721" s="220"/>
      <c r="AV721" s="220"/>
      <c r="AW721" s="220"/>
      <c r="AX721" s="220"/>
      <c r="AY721" s="220"/>
      <c r="AZ721" s="220"/>
    </row>
    <row r="722" ht="15.75" customHeight="1">
      <c r="A722" s="272"/>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c r="AA722" s="220"/>
      <c r="AB722" s="220"/>
      <c r="AC722" s="220"/>
      <c r="AD722" s="220"/>
      <c r="AE722" s="220"/>
      <c r="AF722" s="220"/>
      <c r="AG722" s="220"/>
      <c r="AH722" s="220"/>
      <c r="AI722" s="220"/>
      <c r="AJ722" s="220"/>
      <c r="AK722" s="220"/>
      <c r="AL722" s="220"/>
      <c r="AM722" s="220"/>
      <c r="AN722" s="220"/>
      <c r="AO722" s="220"/>
      <c r="AP722" s="220"/>
      <c r="AQ722" s="220"/>
      <c r="AR722" s="220"/>
      <c r="AS722" s="220"/>
      <c r="AT722" s="220"/>
      <c r="AU722" s="220"/>
      <c r="AV722" s="220"/>
      <c r="AW722" s="220"/>
      <c r="AX722" s="220"/>
      <c r="AY722" s="220"/>
      <c r="AZ722" s="220"/>
    </row>
    <row r="723" ht="15.75" customHeight="1">
      <c r="A723" s="272"/>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c r="AA723" s="220"/>
      <c r="AB723" s="220"/>
      <c r="AC723" s="220"/>
      <c r="AD723" s="220"/>
      <c r="AE723" s="220"/>
      <c r="AF723" s="220"/>
      <c r="AG723" s="220"/>
      <c r="AH723" s="220"/>
      <c r="AI723" s="220"/>
      <c r="AJ723" s="220"/>
      <c r="AK723" s="220"/>
      <c r="AL723" s="220"/>
      <c r="AM723" s="220"/>
      <c r="AN723" s="220"/>
      <c r="AO723" s="220"/>
      <c r="AP723" s="220"/>
      <c r="AQ723" s="220"/>
      <c r="AR723" s="220"/>
      <c r="AS723" s="220"/>
      <c r="AT723" s="220"/>
      <c r="AU723" s="220"/>
      <c r="AV723" s="220"/>
      <c r="AW723" s="220"/>
      <c r="AX723" s="220"/>
      <c r="AY723" s="220"/>
      <c r="AZ723" s="220"/>
    </row>
    <row r="724" ht="15.75" customHeight="1">
      <c r="A724" s="272"/>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c r="AA724" s="220"/>
      <c r="AB724" s="220"/>
      <c r="AC724" s="220"/>
      <c r="AD724" s="220"/>
      <c r="AE724" s="220"/>
      <c r="AF724" s="220"/>
      <c r="AG724" s="220"/>
      <c r="AH724" s="220"/>
      <c r="AI724" s="220"/>
      <c r="AJ724" s="220"/>
      <c r="AK724" s="220"/>
      <c r="AL724" s="220"/>
      <c r="AM724" s="220"/>
      <c r="AN724" s="220"/>
      <c r="AO724" s="220"/>
      <c r="AP724" s="220"/>
      <c r="AQ724" s="220"/>
      <c r="AR724" s="220"/>
      <c r="AS724" s="220"/>
      <c r="AT724" s="220"/>
      <c r="AU724" s="220"/>
      <c r="AV724" s="220"/>
      <c r="AW724" s="220"/>
      <c r="AX724" s="220"/>
      <c r="AY724" s="220"/>
      <c r="AZ724" s="220"/>
    </row>
    <row r="725" ht="15.75" customHeight="1">
      <c r="A725" s="272"/>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c r="AA725" s="220"/>
      <c r="AB725" s="220"/>
      <c r="AC725" s="220"/>
      <c r="AD725" s="220"/>
      <c r="AE725" s="220"/>
      <c r="AF725" s="220"/>
      <c r="AG725" s="220"/>
      <c r="AH725" s="220"/>
      <c r="AI725" s="220"/>
      <c r="AJ725" s="220"/>
      <c r="AK725" s="220"/>
      <c r="AL725" s="220"/>
      <c r="AM725" s="220"/>
      <c r="AN725" s="220"/>
      <c r="AO725" s="220"/>
      <c r="AP725" s="220"/>
      <c r="AQ725" s="220"/>
      <c r="AR725" s="220"/>
      <c r="AS725" s="220"/>
      <c r="AT725" s="220"/>
      <c r="AU725" s="220"/>
      <c r="AV725" s="220"/>
      <c r="AW725" s="220"/>
      <c r="AX725" s="220"/>
      <c r="AY725" s="220"/>
      <c r="AZ725" s="220"/>
    </row>
    <row r="726" ht="15.75" customHeight="1">
      <c r="A726" s="272"/>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c r="AA726" s="220"/>
      <c r="AB726" s="220"/>
      <c r="AC726" s="220"/>
      <c r="AD726" s="220"/>
      <c r="AE726" s="220"/>
      <c r="AF726" s="220"/>
      <c r="AG726" s="220"/>
      <c r="AH726" s="220"/>
      <c r="AI726" s="220"/>
      <c r="AJ726" s="220"/>
      <c r="AK726" s="220"/>
      <c r="AL726" s="220"/>
      <c r="AM726" s="220"/>
      <c r="AN726" s="220"/>
      <c r="AO726" s="220"/>
      <c r="AP726" s="220"/>
      <c r="AQ726" s="220"/>
      <c r="AR726" s="220"/>
      <c r="AS726" s="220"/>
      <c r="AT726" s="220"/>
      <c r="AU726" s="220"/>
      <c r="AV726" s="220"/>
      <c r="AW726" s="220"/>
      <c r="AX726" s="220"/>
      <c r="AY726" s="220"/>
      <c r="AZ726" s="220"/>
    </row>
    <row r="727" ht="15.75" customHeight="1">
      <c r="A727" s="272"/>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c r="AA727" s="220"/>
      <c r="AB727" s="220"/>
      <c r="AC727" s="220"/>
      <c r="AD727" s="220"/>
      <c r="AE727" s="220"/>
      <c r="AF727" s="220"/>
      <c r="AG727" s="220"/>
      <c r="AH727" s="220"/>
      <c r="AI727" s="220"/>
      <c r="AJ727" s="220"/>
      <c r="AK727" s="220"/>
      <c r="AL727" s="220"/>
      <c r="AM727" s="220"/>
      <c r="AN727" s="220"/>
      <c r="AO727" s="220"/>
      <c r="AP727" s="220"/>
      <c r="AQ727" s="220"/>
      <c r="AR727" s="220"/>
      <c r="AS727" s="220"/>
      <c r="AT727" s="220"/>
      <c r="AU727" s="220"/>
      <c r="AV727" s="220"/>
      <c r="AW727" s="220"/>
      <c r="AX727" s="220"/>
      <c r="AY727" s="220"/>
      <c r="AZ727" s="220"/>
    </row>
    <row r="728" ht="15.75" customHeight="1">
      <c r="A728" s="272"/>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row>
    <row r="729" ht="15.75" customHeight="1">
      <c r="A729" s="272"/>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c r="AA729" s="220"/>
      <c r="AB729" s="220"/>
      <c r="AC729" s="220"/>
      <c r="AD729" s="220"/>
      <c r="AE729" s="220"/>
      <c r="AF729" s="220"/>
      <c r="AG729" s="220"/>
      <c r="AH729" s="220"/>
      <c r="AI729" s="220"/>
      <c r="AJ729" s="220"/>
      <c r="AK729" s="220"/>
      <c r="AL729" s="220"/>
      <c r="AM729" s="220"/>
      <c r="AN729" s="220"/>
      <c r="AO729" s="220"/>
      <c r="AP729" s="220"/>
      <c r="AQ729" s="220"/>
      <c r="AR729" s="220"/>
      <c r="AS729" s="220"/>
      <c r="AT729" s="220"/>
      <c r="AU729" s="220"/>
      <c r="AV729" s="220"/>
      <c r="AW729" s="220"/>
      <c r="AX729" s="220"/>
      <c r="AY729" s="220"/>
      <c r="AZ729" s="220"/>
    </row>
    <row r="730" ht="15.75" customHeight="1">
      <c r="A730" s="272"/>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c r="AA730" s="220"/>
      <c r="AB730" s="220"/>
      <c r="AC730" s="220"/>
      <c r="AD730" s="220"/>
      <c r="AE730" s="220"/>
      <c r="AF730" s="220"/>
      <c r="AG730" s="220"/>
      <c r="AH730" s="220"/>
      <c r="AI730" s="220"/>
      <c r="AJ730" s="220"/>
      <c r="AK730" s="220"/>
      <c r="AL730" s="220"/>
      <c r="AM730" s="220"/>
      <c r="AN730" s="220"/>
      <c r="AO730" s="220"/>
      <c r="AP730" s="220"/>
      <c r="AQ730" s="220"/>
      <c r="AR730" s="220"/>
      <c r="AS730" s="220"/>
      <c r="AT730" s="220"/>
      <c r="AU730" s="220"/>
      <c r="AV730" s="220"/>
      <c r="AW730" s="220"/>
      <c r="AX730" s="220"/>
      <c r="AY730" s="220"/>
      <c r="AZ730" s="220"/>
    </row>
    <row r="731" ht="15.75" customHeight="1">
      <c r="A731" s="272"/>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c r="AA731" s="220"/>
      <c r="AB731" s="220"/>
      <c r="AC731" s="220"/>
      <c r="AD731" s="220"/>
      <c r="AE731" s="220"/>
      <c r="AF731" s="220"/>
      <c r="AG731" s="220"/>
      <c r="AH731" s="220"/>
      <c r="AI731" s="220"/>
      <c r="AJ731" s="220"/>
      <c r="AK731" s="220"/>
      <c r="AL731" s="220"/>
      <c r="AM731" s="220"/>
      <c r="AN731" s="220"/>
      <c r="AO731" s="220"/>
      <c r="AP731" s="220"/>
      <c r="AQ731" s="220"/>
      <c r="AR731" s="220"/>
      <c r="AS731" s="220"/>
      <c r="AT731" s="220"/>
      <c r="AU731" s="220"/>
      <c r="AV731" s="220"/>
      <c r="AW731" s="220"/>
      <c r="AX731" s="220"/>
      <c r="AY731" s="220"/>
      <c r="AZ731" s="220"/>
    </row>
    <row r="732" ht="15.75" customHeight="1">
      <c r="A732" s="272"/>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c r="AA732" s="220"/>
      <c r="AB732" s="220"/>
      <c r="AC732" s="220"/>
      <c r="AD732" s="220"/>
      <c r="AE732" s="220"/>
      <c r="AF732" s="220"/>
      <c r="AG732" s="220"/>
      <c r="AH732" s="220"/>
      <c r="AI732" s="220"/>
      <c r="AJ732" s="220"/>
      <c r="AK732" s="220"/>
      <c r="AL732" s="220"/>
      <c r="AM732" s="220"/>
      <c r="AN732" s="220"/>
      <c r="AO732" s="220"/>
      <c r="AP732" s="220"/>
      <c r="AQ732" s="220"/>
      <c r="AR732" s="220"/>
      <c r="AS732" s="220"/>
      <c r="AT732" s="220"/>
      <c r="AU732" s="220"/>
      <c r="AV732" s="220"/>
      <c r="AW732" s="220"/>
      <c r="AX732" s="220"/>
      <c r="AY732" s="220"/>
      <c r="AZ732" s="220"/>
    </row>
    <row r="733" ht="15.75" customHeight="1">
      <c r="A733" s="272"/>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c r="AA733" s="220"/>
      <c r="AB733" s="220"/>
      <c r="AC733" s="220"/>
      <c r="AD733" s="220"/>
      <c r="AE733" s="220"/>
      <c r="AF733" s="220"/>
      <c r="AG733" s="220"/>
      <c r="AH733" s="220"/>
      <c r="AI733" s="220"/>
      <c r="AJ733" s="220"/>
      <c r="AK733" s="220"/>
      <c r="AL733" s="220"/>
      <c r="AM733" s="220"/>
      <c r="AN733" s="220"/>
      <c r="AO733" s="220"/>
      <c r="AP733" s="220"/>
      <c r="AQ733" s="220"/>
      <c r="AR733" s="220"/>
      <c r="AS733" s="220"/>
      <c r="AT733" s="220"/>
      <c r="AU733" s="220"/>
      <c r="AV733" s="220"/>
      <c r="AW733" s="220"/>
      <c r="AX733" s="220"/>
      <c r="AY733" s="220"/>
      <c r="AZ733" s="220"/>
    </row>
    <row r="734" ht="15.75" customHeight="1">
      <c r="A734" s="272"/>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c r="AA734" s="220"/>
      <c r="AB734" s="220"/>
      <c r="AC734" s="220"/>
      <c r="AD734" s="220"/>
      <c r="AE734" s="220"/>
      <c r="AF734" s="220"/>
      <c r="AG734" s="220"/>
      <c r="AH734" s="220"/>
      <c r="AI734" s="220"/>
      <c r="AJ734" s="220"/>
      <c r="AK734" s="220"/>
      <c r="AL734" s="220"/>
      <c r="AM734" s="220"/>
      <c r="AN734" s="220"/>
      <c r="AO734" s="220"/>
      <c r="AP734" s="220"/>
      <c r="AQ734" s="220"/>
      <c r="AR734" s="220"/>
      <c r="AS734" s="220"/>
      <c r="AT734" s="220"/>
      <c r="AU734" s="220"/>
      <c r="AV734" s="220"/>
      <c r="AW734" s="220"/>
      <c r="AX734" s="220"/>
      <c r="AY734" s="220"/>
      <c r="AZ734" s="220"/>
    </row>
    <row r="735" ht="15.75" customHeight="1">
      <c r="A735" s="272"/>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c r="AA735" s="220"/>
      <c r="AB735" s="220"/>
      <c r="AC735" s="220"/>
      <c r="AD735" s="220"/>
      <c r="AE735" s="220"/>
      <c r="AF735" s="220"/>
      <c r="AG735" s="220"/>
      <c r="AH735" s="220"/>
      <c r="AI735" s="220"/>
      <c r="AJ735" s="220"/>
      <c r="AK735" s="220"/>
      <c r="AL735" s="220"/>
      <c r="AM735" s="220"/>
      <c r="AN735" s="220"/>
      <c r="AO735" s="220"/>
      <c r="AP735" s="220"/>
      <c r="AQ735" s="220"/>
      <c r="AR735" s="220"/>
      <c r="AS735" s="220"/>
      <c r="AT735" s="220"/>
      <c r="AU735" s="220"/>
      <c r="AV735" s="220"/>
      <c r="AW735" s="220"/>
      <c r="AX735" s="220"/>
      <c r="AY735" s="220"/>
      <c r="AZ735" s="220"/>
    </row>
    <row r="736" ht="15.75" customHeight="1">
      <c r="A736" s="272"/>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c r="AA736" s="220"/>
      <c r="AB736" s="220"/>
      <c r="AC736" s="220"/>
      <c r="AD736" s="220"/>
      <c r="AE736" s="220"/>
      <c r="AF736" s="220"/>
      <c r="AG736" s="220"/>
      <c r="AH736" s="220"/>
      <c r="AI736" s="220"/>
      <c r="AJ736" s="220"/>
      <c r="AK736" s="220"/>
      <c r="AL736" s="220"/>
      <c r="AM736" s="220"/>
      <c r="AN736" s="220"/>
      <c r="AO736" s="220"/>
      <c r="AP736" s="220"/>
      <c r="AQ736" s="220"/>
      <c r="AR736" s="220"/>
      <c r="AS736" s="220"/>
      <c r="AT736" s="220"/>
      <c r="AU736" s="220"/>
      <c r="AV736" s="220"/>
      <c r="AW736" s="220"/>
      <c r="AX736" s="220"/>
      <c r="AY736" s="220"/>
      <c r="AZ736" s="220"/>
    </row>
    <row r="737" ht="15.75" customHeight="1">
      <c r="A737" s="272"/>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c r="AA737" s="220"/>
      <c r="AB737" s="220"/>
      <c r="AC737" s="220"/>
      <c r="AD737" s="220"/>
      <c r="AE737" s="220"/>
      <c r="AF737" s="220"/>
      <c r="AG737" s="220"/>
      <c r="AH737" s="220"/>
      <c r="AI737" s="220"/>
      <c r="AJ737" s="220"/>
      <c r="AK737" s="220"/>
      <c r="AL737" s="220"/>
      <c r="AM737" s="220"/>
      <c r="AN737" s="220"/>
      <c r="AO737" s="220"/>
      <c r="AP737" s="220"/>
      <c r="AQ737" s="220"/>
      <c r="AR737" s="220"/>
      <c r="AS737" s="220"/>
      <c r="AT737" s="220"/>
      <c r="AU737" s="220"/>
      <c r="AV737" s="220"/>
      <c r="AW737" s="220"/>
      <c r="AX737" s="220"/>
      <c r="AY737" s="220"/>
      <c r="AZ737" s="220"/>
    </row>
    <row r="738" ht="15.75" customHeight="1">
      <c r="A738" s="272"/>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c r="AA738" s="220"/>
      <c r="AB738" s="220"/>
      <c r="AC738" s="220"/>
      <c r="AD738" s="220"/>
      <c r="AE738" s="220"/>
      <c r="AF738" s="220"/>
      <c r="AG738" s="220"/>
      <c r="AH738" s="220"/>
      <c r="AI738" s="220"/>
      <c r="AJ738" s="220"/>
      <c r="AK738" s="220"/>
      <c r="AL738" s="220"/>
      <c r="AM738" s="220"/>
      <c r="AN738" s="220"/>
      <c r="AO738" s="220"/>
      <c r="AP738" s="220"/>
      <c r="AQ738" s="220"/>
      <c r="AR738" s="220"/>
      <c r="AS738" s="220"/>
      <c r="AT738" s="220"/>
      <c r="AU738" s="220"/>
      <c r="AV738" s="220"/>
      <c r="AW738" s="220"/>
      <c r="AX738" s="220"/>
      <c r="AY738" s="220"/>
      <c r="AZ738" s="220"/>
    </row>
    <row r="739" ht="15.75" customHeight="1">
      <c r="A739" s="272"/>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row>
    <row r="740" ht="15.75" customHeight="1">
      <c r="A740" s="272"/>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row>
    <row r="741" ht="15.75" customHeight="1">
      <c r="A741" s="272"/>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220"/>
      <c r="AN741" s="220"/>
      <c r="AO741" s="220"/>
      <c r="AP741" s="220"/>
      <c r="AQ741" s="220"/>
      <c r="AR741" s="220"/>
      <c r="AS741" s="220"/>
      <c r="AT741" s="220"/>
      <c r="AU741" s="220"/>
      <c r="AV741" s="220"/>
      <c r="AW741" s="220"/>
      <c r="AX741" s="220"/>
      <c r="AY741" s="220"/>
      <c r="AZ741" s="220"/>
    </row>
    <row r="742" ht="15.75" customHeight="1">
      <c r="A742" s="272"/>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220"/>
      <c r="AN742" s="220"/>
      <c r="AO742" s="220"/>
      <c r="AP742" s="220"/>
      <c r="AQ742" s="220"/>
      <c r="AR742" s="220"/>
      <c r="AS742" s="220"/>
      <c r="AT742" s="220"/>
      <c r="AU742" s="220"/>
      <c r="AV742" s="220"/>
      <c r="AW742" s="220"/>
      <c r="AX742" s="220"/>
      <c r="AY742" s="220"/>
      <c r="AZ742" s="220"/>
    </row>
    <row r="743" ht="15.75" customHeight="1">
      <c r="A743" s="272"/>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c r="AA743" s="220"/>
      <c r="AB743" s="220"/>
      <c r="AC743" s="220"/>
      <c r="AD743" s="220"/>
      <c r="AE743" s="220"/>
      <c r="AF743" s="220"/>
      <c r="AG743" s="220"/>
      <c r="AH743" s="220"/>
      <c r="AI743" s="220"/>
      <c r="AJ743" s="220"/>
      <c r="AK743" s="220"/>
      <c r="AL743" s="220"/>
      <c r="AM743" s="220"/>
      <c r="AN743" s="220"/>
      <c r="AO743" s="220"/>
      <c r="AP743" s="220"/>
      <c r="AQ743" s="220"/>
      <c r="AR743" s="220"/>
      <c r="AS743" s="220"/>
      <c r="AT743" s="220"/>
      <c r="AU743" s="220"/>
      <c r="AV743" s="220"/>
      <c r="AW743" s="220"/>
      <c r="AX743" s="220"/>
      <c r="AY743" s="220"/>
      <c r="AZ743" s="220"/>
    </row>
    <row r="744" ht="15.75" customHeight="1">
      <c r="A744" s="272"/>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c r="AA744" s="220"/>
      <c r="AB744" s="220"/>
      <c r="AC744" s="220"/>
      <c r="AD744" s="220"/>
      <c r="AE744" s="220"/>
      <c r="AF744" s="220"/>
      <c r="AG744" s="220"/>
      <c r="AH744" s="220"/>
      <c r="AI744" s="220"/>
      <c r="AJ744" s="220"/>
      <c r="AK744" s="220"/>
      <c r="AL744" s="220"/>
      <c r="AM744" s="220"/>
      <c r="AN744" s="220"/>
      <c r="AO744" s="220"/>
      <c r="AP744" s="220"/>
      <c r="AQ744" s="220"/>
      <c r="AR744" s="220"/>
      <c r="AS744" s="220"/>
      <c r="AT744" s="220"/>
      <c r="AU744" s="220"/>
      <c r="AV744" s="220"/>
      <c r="AW744" s="220"/>
      <c r="AX744" s="220"/>
      <c r="AY744" s="220"/>
      <c r="AZ744" s="220"/>
    </row>
    <row r="745" ht="15.75" customHeight="1">
      <c r="A745" s="272"/>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c r="AA745" s="220"/>
      <c r="AB745" s="220"/>
      <c r="AC745" s="220"/>
      <c r="AD745" s="220"/>
      <c r="AE745" s="220"/>
      <c r="AF745" s="220"/>
      <c r="AG745" s="220"/>
      <c r="AH745" s="220"/>
      <c r="AI745" s="220"/>
      <c r="AJ745" s="220"/>
      <c r="AK745" s="220"/>
      <c r="AL745" s="220"/>
      <c r="AM745" s="220"/>
      <c r="AN745" s="220"/>
      <c r="AO745" s="220"/>
      <c r="AP745" s="220"/>
      <c r="AQ745" s="220"/>
      <c r="AR745" s="220"/>
      <c r="AS745" s="220"/>
      <c r="AT745" s="220"/>
      <c r="AU745" s="220"/>
      <c r="AV745" s="220"/>
      <c r="AW745" s="220"/>
      <c r="AX745" s="220"/>
      <c r="AY745" s="220"/>
      <c r="AZ745" s="220"/>
    </row>
    <row r="746" ht="15.75" customHeight="1">
      <c r="A746" s="272"/>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c r="AA746" s="220"/>
      <c r="AB746" s="220"/>
      <c r="AC746" s="220"/>
      <c r="AD746" s="220"/>
      <c r="AE746" s="220"/>
      <c r="AF746" s="220"/>
      <c r="AG746" s="220"/>
      <c r="AH746" s="220"/>
      <c r="AI746" s="220"/>
      <c r="AJ746" s="220"/>
      <c r="AK746" s="220"/>
      <c r="AL746" s="220"/>
      <c r="AM746" s="220"/>
      <c r="AN746" s="220"/>
      <c r="AO746" s="220"/>
      <c r="AP746" s="220"/>
      <c r="AQ746" s="220"/>
      <c r="AR746" s="220"/>
      <c r="AS746" s="220"/>
      <c r="AT746" s="220"/>
      <c r="AU746" s="220"/>
      <c r="AV746" s="220"/>
      <c r="AW746" s="220"/>
      <c r="AX746" s="220"/>
      <c r="AY746" s="220"/>
      <c r="AZ746" s="220"/>
    </row>
    <row r="747" ht="15.75" customHeight="1">
      <c r="A747" s="272"/>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c r="AA747" s="220"/>
      <c r="AB747" s="220"/>
      <c r="AC747" s="220"/>
      <c r="AD747" s="220"/>
      <c r="AE747" s="220"/>
      <c r="AF747" s="220"/>
      <c r="AG747" s="220"/>
      <c r="AH747" s="220"/>
      <c r="AI747" s="220"/>
      <c r="AJ747" s="220"/>
      <c r="AK747" s="220"/>
      <c r="AL747" s="220"/>
      <c r="AM747" s="220"/>
      <c r="AN747" s="220"/>
      <c r="AO747" s="220"/>
      <c r="AP747" s="220"/>
      <c r="AQ747" s="220"/>
      <c r="AR747" s="220"/>
      <c r="AS747" s="220"/>
      <c r="AT747" s="220"/>
      <c r="AU747" s="220"/>
      <c r="AV747" s="220"/>
      <c r="AW747" s="220"/>
      <c r="AX747" s="220"/>
      <c r="AY747" s="220"/>
      <c r="AZ747" s="220"/>
    </row>
    <row r="748" ht="15.75" customHeight="1">
      <c r="A748" s="272"/>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c r="AA748" s="220"/>
      <c r="AB748" s="220"/>
      <c r="AC748" s="220"/>
      <c r="AD748" s="220"/>
      <c r="AE748" s="220"/>
      <c r="AF748" s="220"/>
      <c r="AG748" s="220"/>
      <c r="AH748" s="220"/>
      <c r="AI748" s="220"/>
      <c r="AJ748" s="220"/>
      <c r="AK748" s="220"/>
      <c r="AL748" s="220"/>
      <c r="AM748" s="220"/>
      <c r="AN748" s="220"/>
      <c r="AO748" s="220"/>
      <c r="AP748" s="220"/>
      <c r="AQ748" s="220"/>
      <c r="AR748" s="220"/>
      <c r="AS748" s="220"/>
      <c r="AT748" s="220"/>
      <c r="AU748" s="220"/>
      <c r="AV748" s="220"/>
      <c r="AW748" s="220"/>
      <c r="AX748" s="220"/>
      <c r="AY748" s="220"/>
      <c r="AZ748" s="220"/>
    </row>
    <row r="749" ht="15.75" customHeight="1">
      <c r="A749" s="272"/>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c r="AA749" s="220"/>
      <c r="AB749" s="220"/>
      <c r="AC749" s="220"/>
      <c r="AD749" s="220"/>
      <c r="AE749" s="220"/>
      <c r="AF749" s="220"/>
      <c r="AG749" s="220"/>
      <c r="AH749" s="220"/>
      <c r="AI749" s="220"/>
      <c r="AJ749" s="220"/>
      <c r="AK749" s="220"/>
      <c r="AL749" s="220"/>
      <c r="AM749" s="220"/>
      <c r="AN749" s="220"/>
      <c r="AO749" s="220"/>
      <c r="AP749" s="220"/>
      <c r="AQ749" s="220"/>
      <c r="AR749" s="220"/>
      <c r="AS749" s="220"/>
      <c r="AT749" s="220"/>
      <c r="AU749" s="220"/>
      <c r="AV749" s="220"/>
      <c r="AW749" s="220"/>
      <c r="AX749" s="220"/>
      <c r="AY749" s="220"/>
      <c r="AZ749" s="220"/>
    </row>
    <row r="750" ht="15.75" customHeight="1">
      <c r="A750" s="272"/>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c r="AA750" s="220"/>
      <c r="AB750" s="220"/>
      <c r="AC750" s="220"/>
      <c r="AD750" s="220"/>
      <c r="AE750" s="220"/>
      <c r="AF750" s="220"/>
      <c r="AG750" s="220"/>
      <c r="AH750" s="220"/>
      <c r="AI750" s="220"/>
      <c r="AJ750" s="220"/>
      <c r="AK750" s="220"/>
      <c r="AL750" s="220"/>
      <c r="AM750" s="220"/>
      <c r="AN750" s="220"/>
      <c r="AO750" s="220"/>
      <c r="AP750" s="220"/>
      <c r="AQ750" s="220"/>
      <c r="AR750" s="220"/>
      <c r="AS750" s="220"/>
      <c r="AT750" s="220"/>
      <c r="AU750" s="220"/>
      <c r="AV750" s="220"/>
      <c r="AW750" s="220"/>
      <c r="AX750" s="220"/>
      <c r="AY750" s="220"/>
      <c r="AZ750" s="220"/>
    </row>
    <row r="751" ht="15.75" customHeight="1">
      <c r="A751" s="272"/>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c r="AA751" s="220"/>
      <c r="AB751" s="220"/>
      <c r="AC751" s="220"/>
      <c r="AD751" s="220"/>
      <c r="AE751" s="220"/>
      <c r="AF751" s="220"/>
      <c r="AG751" s="220"/>
      <c r="AH751" s="220"/>
      <c r="AI751" s="220"/>
      <c r="AJ751" s="220"/>
      <c r="AK751" s="220"/>
      <c r="AL751" s="220"/>
      <c r="AM751" s="220"/>
      <c r="AN751" s="220"/>
      <c r="AO751" s="220"/>
      <c r="AP751" s="220"/>
      <c r="AQ751" s="220"/>
      <c r="AR751" s="220"/>
      <c r="AS751" s="220"/>
      <c r="AT751" s="220"/>
      <c r="AU751" s="220"/>
      <c r="AV751" s="220"/>
      <c r="AW751" s="220"/>
      <c r="AX751" s="220"/>
      <c r="AY751" s="220"/>
      <c r="AZ751" s="220"/>
    </row>
    <row r="752" ht="15.75" customHeight="1">
      <c r="A752" s="272"/>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c r="AA752" s="220"/>
      <c r="AB752" s="220"/>
      <c r="AC752" s="220"/>
      <c r="AD752" s="220"/>
      <c r="AE752" s="220"/>
      <c r="AF752" s="220"/>
      <c r="AG752" s="220"/>
      <c r="AH752" s="220"/>
      <c r="AI752" s="220"/>
      <c r="AJ752" s="220"/>
      <c r="AK752" s="220"/>
      <c r="AL752" s="220"/>
      <c r="AM752" s="220"/>
      <c r="AN752" s="220"/>
      <c r="AO752" s="220"/>
      <c r="AP752" s="220"/>
      <c r="AQ752" s="220"/>
      <c r="AR752" s="220"/>
      <c r="AS752" s="220"/>
      <c r="AT752" s="220"/>
      <c r="AU752" s="220"/>
      <c r="AV752" s="220"/>
      <c r="AW752" s="220"/>
      <c r="AX752" s="220"/>
      <c r="AY752" s="220"/>
      <c r="AZ752" s="220"/>
    </row>
    <row r="753" ht="15.75" customHeight="1">
      <c r="A753" s="272"/>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c r="AA753" s="220"/>
      <c r="AB753" s="220"/>
      <c r="AC753" s="220"/>
      <c r="AD753" s="220"/>
      <c r="AE753" s="220"/>
      <c r="AF753" s="220"/>
      <c r="AG753" s="220"/>
      <c r="AH753" s="220"/>
      <c r="AI753" s="220"/>
      <c r="AJ753" s="220"/>
      <c r="AK753" s="220"/>
      <c r="AL753" s="220"/>
      <c r="AM753" s="220"/>
      <c r="AN753" s="220"/>
      <c r="AO753" s="220"/>
      <c r="AP753" s="220"/>
      <c r="AQ753" s="220"/>
      <c r="AR753" s="220"/>
      <c r="AS753" s="220"/>
      <c r="AT753" s="220"/>
      <c r="AU753" s="220"/>
      <c r="AV753" s="220"/>
      <c r="AW753" s="220"/>
      <c r="AX753" s="220"/>
      <c r="AY753" s="220"/>
      <c r="AZ753" s="220"/>
    </row>
    <row r="754" ht="15.75" customHeight="1">
      <c r="A754" s="272"/>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c r="AA754" s="220"/>
      <c r="AB754" s="220"/>
      <c r="AC754" s="220"/>
      <c r="AD754" s="220"/>
      <c r="AE754" s="220"/>
      <c r="AF754" s="220"/>
      <c r="AG754" s="220"/>
      <c r="AH754" s="220"/>
      <c r="AI754" s="220"/>
      <c r="AJ754" s="220"/>
      <c r="AK754" s="220"/>
      <c r="AL754" s="220"/>
      <c r="AM754" s="220"/>
      <c r="AN754" s="220"/>
      <c r="AO754" s="220"/>
      <c r="AP754" s="220"/>
      <c r="AQ754" s="220"/>
      <c r="AR754" s="220"/>
      <c r="AS754" s="220"/>
      <c r="AT754" s="220"/>
      <c r="AU754" s="220"/>
      <c r="AV754" s="220"/>
      <c r="AW754" s="220"/>
      <c r="AX754" s="220"/>
      <c r="AY754" s="220"/>
      <c r="AZ754" s="220"/>
    </row>
    <row r="755" ht="15.75" customHeight="1">
      <c r="A755" s="272"/>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c r="AA755" s="220"/>
      <c r="AB755" s="220"/>
      <c r="AC755" s="220"/>
      <c r="AD755" s="220"/>
      <c r="AE755" s="220"/>
      <c r="AF755" s="220"/>
      <c r="AG755" s="220"/>
      <c r="AH755" s="220"/>
      <c r="AI755" s="220"/>
      <c r="AJ755" s="220"/>
      <c r="AK755" s="220"/>
      <c r="AL755" s="220"/>
      <c r="AM755" s="220"/>
      <c r="AN755" s="220"/>
      <c r="AO755" s="220"/>
      <c r="AP755" s="220"/>
      <c r="AQ755" s="220"/>
      <c r="AR755" s="220"/>
      <c r="AS755" s="220"/>
      <c r="AT755" s="220"/>
      <c r="AU755" s="220"/>
      <c r="AV755" s="220"/>
      <c r="AW755" s="220"/>
      <c r="AX755" s="220"/>
      <c r="AY755" s="220"/>
      <c r="AZ755" s="220"/>
    </row>
    <row r="756" ht="15.75" customHeight="1">
      <c r="A756" s="272"/>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c r="AA756" s="220"/>
      <c r="AB756" s="220"/>
      <c r="AC756" s="220"/>
      <c r="AD756" s="220"/>
      <c r="AE756" s="220"/>
      <c r="AF756" s="220"/>
      <c r="AG756" s="220"/>
      <c r="AH756" s="220"/>
      <c r="AI756" s="220"/>
      <c r="AJ756" s="220"/>
      <c r="AK756" s="220"/>
      <c r="AL756" s="220"/>
      <c r="AM756" s="220"/>
      <c r="AN756" s="220"/>
      <c r="AO756" s="220"/>
      <c r="AP756" s="220"/>
      <c r="AQ756" s="220"/>
      <c r="AR756" s="220"/>
      <c r="AS756" s="220"/>
      <c r="AT756" s="220"/>
      <c r="AU756" s="220"/>
      <c r="AV756" s="220"/>
      <c r="AW756" s="220"/>
      <c r="AX756" s="220"/>
      <c r="AY756" s="220"/>
      <c r="AZ756" s="220"/>
    </row>
    <row r="757" ht="15.75" customHeight="1">
      <c r="A757" s="272"/>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c r="AA757" s="220"/>
      <c r="AB757" s="220"/>
      <c r="AC757" s="220"/>
      <c r="AD757" s="220"/>
      <c r="AE757" s="220"/>
      <c r="AF757" s="220"/>
      <c r="AG757" s="220"/>
      <c r="AH757" s="220"/>
      <c r="AI757" s="220"/>
      <c r="AJ757" s="220"/>
      <c r="AK757" s="220"/>
      <c r="AL757" s="220"/>
      <c r="AM757" s="220"/>
      <c r="AN757" s="220"/>
      <c r="AO757" s="220"/>
      <c r="AP757" s="220"/>
      <c r="AQ757" s="220"/>
      <c r="AR757" s="220"/>
      <c r="AS757" s="220"/>
      <c r="AT757" s="220"/>
      <c r="AU757" s="220"/>
      <c r="AV757" s="220"/>
      <c r="AW757" s="220"/>
      <c r="AX757" s="220"/>
      <c r="AY757" s="220"/>
      <c r="AZ757" s="220"/>
    </row>
    <row r="758" ht="15.75" customHeight="1">
      <c r="A758" s="272"/>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c r="AA758" s="220"/>
      <c r="AB758" s="220"/>
      <c r="AC758" s="220"/>
      <c r="AD758" s="220"/>
      <c r="AE758" s="220"/>
      <c r="AF758" s="220"/>
      <c r="AG758" s="220"/>
      <c r="AH758" s="220"/>
      <c r="AI758" s="220"/>
      <c r="AJ758" s="220"/>
      <c r="AK758" s="220"/>
      <c r="AL758" s="220"/>
      <c r="AM758" s="220"/>
      <c r="AN758" s="220"/>
      <c r="AO758" s="220"/>
      <c r="AP758" s="220"/>
      <c r="AQ758" s="220"/>
      <c r="AR758" s="220"/>
      <c r="AS758" s="220"/>
      <c r="AT758" s="220"/>
      <c r="AU758" s="220"/>
      <c r="AV758" s="220"/>
      <c r="AW758" s="220"/>
      <c r="AX758" s="220"/>
      <c r="AY758" s="220"/>
      <c r="AZ758" s="220"/>
    </row>
    <row r="759" ht="15.75" customHeight="1">
      <c r="A759" s="272"/>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c r="AA759" s="220"/>
      <c r="AB759" s="220"/>
      <c r="AC759" s="220"/>
      <c r="AD759" s="220"/>
      <c r="AE759" s="220"/>
      <c r="AF759" s="220"/>
      <c r="AG759" s="220"/>
      <c r="AH759" s="220"/>
      <c r="AI759" s="220"/>
      <c r="AJ759" s="220"/>
      <c r="AK759" s="220"/>
      <c r="AL759" s="220"/>
      <c r="AM759" s="220"/>
      <c r="AN759" s="220"/>
      <c r="AO759" s="220"/>
      <c r="AP759" s="220"/>
      <c r="AQ759" s="220"/>
      <c r="AR759" s="220"/>
      <c r="AS759" s="220"/>
      <c r="AT759" s="220"/>
      <c r="AU759" s="220"/>
      <c r="AV759" s="220"/>
      <c r="AW759" s="220"/>
      <c r="AX759" s="220"/>
      <c r="AY759" s="220"/>
      <c r="AZ759" s="220"/>
    </row>
    <row r="760" ht="15.75" customHeight="1">
      <c r="A760" s="272"/>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c r="AA760" s="220"/>
      <c r="AB760" s="220"/>
      <c r="AC760" s="220"/>
      <c r="AD760" s="220"/>
      <c r="AE760" s="220"/>
      <c r="AF760" s="220"/>
      <c r="AG760" s="220"/>
      <c r="AH760" s="220"/>
      <c r="AI760" s="220"/>
      <c r="AJ760" s="220"/>
      <c r="AK760" s="220"/>
      <c r="AL760" s="220"/>
      <c r="AM760" s="220"/>
      <c r="AN760" s="220"/>
      <c r="AO760" s="220"/>
      <c r="AP760" s="220"/>
      <c r="AQ760" s="220"/>
      <c r="AR760" s="220"/>
      <c r="AS760" s="220"/>
      <c r="AT760" s="220"/>
      <c r="AU760" s="220"/>
      <c r="AV760" s="220"/>
      <c r="AW760" s="220"/>
      <c r="AX760" s="220"/>
      <c r="AY760" s="220"/>
      <c r="AZ760" s="220"/>
    </row>
    <row r="761" ht="15.75" customHeight="1">
      <c r="A761" s="272"/>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c r="AA761" s="220"/>
      <c r="AB761" s="220"/>
      <c r="AC761" s="220"/>
      <c r="AD761" s="220"/>
      <c r="AE761" s="220"/>
      <c r="AF761" s="220"/>
      <c r="AG761" s="220"/>
      <c r="AH761" s="220"/>
      <c r="AI761" s="220"/>
      <c r="AJ761" s="220"/>
      <c r="AK761" s="220"/>
      <c r="AL761" s="220"/>
      <c r="AM761" s="220"/>
      <c r="AN761" s="220"/>
      <c r="AO761" s="220"/>
      <c r="AP761" s="220"/>
      <c r="AQ761" s="220"/>
      <c r="AR761" s="220"/>
      <c r="AS761" s="220"/>
      <c r="AT761" s="220"/>
      <c r="AU761" s="220"/>
      <c r="AV761" s="220"/>
      <c r="AW761" s="220"/>
      <c r="AX761" s="220"/>
      <c r="AY761" s="220"/>
      <c r="AZ761" s="220"/>
    </row>
    <row r="762" ht="15.75" customHeight="1">
      <c r="A762" s="272"/>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c r="AA762" s="220"/>
      <c r="AB762" s="220"/>
      <c r="AC762" s="220"/>
      <c r="AD762" s="220"/>
      <c r="AE762" s="220"/>
      <c r="AF762" s="220"/>
      <c r="AG762" s="220"/>
      <c r="AH762" s="220"/>
      <c r="AI762" s="220"/>
      <c r="AJ762" s="220"/>
      <c r="AK762" s="220"/>
      <c r="AL762" s="220"/>
      <c r="AM762" s="220"/>
      <c r="AN762" s="220"/>
      <c r="AO762" s="220"/>
      <c r="AP762" s="220"/>
      <c r="AQ762" s="220"/>
      <c r="AR762" s="220"/>
      <c r="AS762" s="220"/>
      <c r="AT762" s="220"/>
      <c r="AU762" s="220"/>
      <c r="AV762" s="220"/>
      <c r="AW762" s="220"/>
      <c r="AX762" s="220"/>
      <c r="AY762" s="220"/>
      <c r="AZ762" s="220"/>
    </row>
    <row r="763" ht="15.75" customHeight="1">
      <c r="A763" s="272"/>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c r="AA763" s="220"/>
      <c r="AB763" s="220"/>
      <c r="AC763" s="220"/>
      <c r="AD763" s="220"/>
      <c r="AE763" s="220"/>
      <c r="AF763" s="220"/>
      <c r="AG763" s="220"/>
      <c r="AH763" s="220"/>
      <c r="AI763" s="220"/>
      <c r="AJ763" s="220"/>
      <c r="AK763" s="220"/>
      <c r="AL763" s="220"/>
      <c r="AM763" s="220"/>
      <c r="AN763" s="220"/>
      <c r="AO763" s="220"/>
      <c r="AP763" s="220"/>
      <c r="AQ763" s="220"/>
      <c r="AR763" s="220"/>
      <c r="AS763" s="220"/>
      <c r="AT763" s="220"/>
      <c r="AU763" s="220"/>
      <c r="AV763" s="220"/>
      <c r="AW763" s="220"/>
      <c r="AX763" s="220"/>
      <c r="AY763" s="220"/>
      <c r="AZ763" s="220"/>
    </row>
    <row r="764" ht="15.75" customHeight="1">
      <c r="A764" s="272"/>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c r="AA764" s="220"/>
      <c r="AB764" s="220"/>
      <c r="AC764" s="220"/>
      <c r="AD764" s="220"/>
      <c r="AE764" s="220"/>
      <c r="AF764" s="220"/>
      <c r="AG764" s="220"/>
      <c r="AH764" s="220"/>
      <c r="AI764" s="220"/>
      <c r="AJ764" s="220"/>
      <c r="AK764" s="220"/>
      <c r="AL764" s="220"/>
      <c r="AM764" s="220"/>
      <c r="AN764" s="220"/>
      <c r="AO764" s="220"/>
      <c r="AP764" s="220"/>
      <c r="AQ764" s="220"/>
      <c r="AR764" s="220"/>
      <c r="AS764" s="220"/>
      <c r="AT764" s="220"/>
      <c r="AU764" s="220"/>
      <c r="AV764" s="220"/>
      <c r="AW764" s="220"/>
      <c r="AX764" s="220"/>
      <c r="AY764" s="220"/>
      <c r="AZ764" s="220"/>
    </row>
    <row r="765" ht="15.75" customHeight="1">
      <c r="A765" s="272"/>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c r="AA765" s="220"/>
      <c r="AB765" s="220"/>
      <c r="AC765" s="220"/>
      <c r="AD765" s="220"/>
      <c r="AE765" s="220"/>
      <c r="AF765" s="220"/>
      <c r="AG765" s="220"/>
      <c r="AH765" s="220"/>
      <c r="AI765" s="220"/>
      <c r="AJ765" s="220"/>
      <c r="AK765" s="220"/>
      <c r="AL765" s="220"/>
      <c r="AM765" s="220"/>
      <c r="AN765" s="220"/>
      <c r="AO765" s="220"/>
      <c r="AP765" s="220"/>
      <c r="AQ765" s="220"/>
      <c r="AR765" s="220"/>
      <c r="AS765" s="220"/>
      <c r="AT765" s="220"/>
      <c r="AU765" s="220"/>
      <c r="AV765" s="220"/>
      <c r="AW765" s="220"/>
      <c r="AX765" s="220"/>
      <c r="AY765" s="220"/>
      <c r="AZ765" s="220"/>
    </row>
    <row r="766" ht="15.75" customHeight="1">
      <c r="A766" s="272"/>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c r="AA766" s="220"/>
      <c r="AB766" s="220"/>
      <c r="AC766" s="220"/>
      <c r="AD766" s="220"/>
      <c r="AE766" s="220"/>
      <c r="AF766" s="220"/>
      <c r="AG766" s="220"/>
      <c r="AH766" s="220"/>
      <c r="AI766" s="220"/>
      <c r="AJ766" s="220"/>
      <c r="AK766" s="220"/>
      <c r="AL766" s="220"/>
      <c r="AM766" s="220"/>
      <c r="AN766" s="220"/>
      <c r="AO766" s="220"/>
      <c r="AP766" s="220"/>
      <c r="AQ766" s="220"/>
      <c r="AR766" s="220"/>
      <c r="AS766" s="220"/>
      <c r="AT766" s="220"/>
      <c r="AU766" s="220"/>
      <c r="AV766" s="220"/>
      <c r="AW766" s="220"/>
      <c r="AX766" s="220"/>
      <c r="AY766" s="220"/>
      <c r="AZ766" s="220"/>
    </row>
    <row r="767" ht="15.75" customHeight="1">
      <c r="A767" s="272"/>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row>
    <row r="768" ht="15.75" customHeight="1">
      <c r="A768" s="272"/>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c r="AA768" s="220"/>
      <c r="AB768" s="220"/>
      <c r="AC768" s="220"/>
      <c r="AD768" s="220"/>
      <c r="AE768" s="220"/>
      <c r="AF768" s="220"/>
      <c r="AG768" s="220"/>
      <c r="AH768" s="220"/>
      <c r="AI768" s="220"/>
      <c r="AJ768" s="220"/>
      <c r="AK768" s="220"/>
      <c r="AL768" s="220"/>
      <c r="AM768" s="220"/>
      <c r="AN768" s="220"/>
      <c r="AO768" s="220"/>
      <c r="AP768" s="220"/>
      <c r="AQ768" s="220"/>
      <c r="AR768" s="220"/>
      <c r="AS768" s="220"/>
      <c r="AT768" s="220"/>
      <c r="AU768" s="220"/>
      <c r="AV768" s="220"/>
      <c r="AW768" s="220"/>
      <c r="AX768" s="220"/>
      <c r="AY768" s="220"/>
      <c r="AZ768" s="220"/>
    </row>
    <row r="769" ht="15.75" customHeight="1">
      <c r="A769" s="272"/>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c r="AA769" s="220"/>
      <c r="AB769" s="220"/>
      <c r="AC769" s="220"/>
      <c r="AD769" s="220"/>
      <c r="AE769" s="220"/>
      <c r="AF769" s="220"/>
      <c r="AG769" s="220"/>
      <c r="AH769" s="220"/>
      <c r="AI769" s="220"/>
      <c r="AJ769" s="220"/>
      <c r="AK769" s="220"/>
      <c r="AL769" s="220"/>
      <c r="AM769" s="220"/>
      <c r="AN769" s="220"/>
      <c r="AO769" s="220"/>
      <c r="AP769" s="220"/>
      <c r="AQ769" s="220"/>
      <c r="AR769" s="220"/>
      <c r="AS769" s="220"/>
      <c r="AT769" s="220"/>
      <c r="AU769" s="220"/>
      <c r="AV769" s="220"/>
      <c r="AW769" s="220"/>
      <c r="AX769" s="220"/>
      <c r="AY769" s="220"/>
      <c r="AZ769" s="220"/>
    </row>
    <row r="770" ht="15.75" customHeight="1">
      <c r="A770" s="272"/>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c r="AA770" s="220"/>
      <c r="AB770" s="220"/>
      <c r="AC770" s="220"/>
      <c r="AD770" s="220"/>
      <c r="AE770" s="220"/>
      <c r="AF770" s="220"/>
      <c r="AG770" s="220"/>
      <c r="AH770" s="220"/>
      <c r="AI770" s="220"/>
      <c r="AJ770" s="220"/>
      <c r="AK770" s="220"/>
      <c r="AL770" s="220"/>
      <c r="AM770" s="220"/>
      <c r="AN770" s="220"/>
      <c r="AO770" s="220"/>
      <c r="AP770" s="220"/>
      <c r="AQ770" s="220"/>
      <c r="AR770" s="220"/>
      <c r="AS770" s="220"/>
      <c r="AT770" s="220"/>
      <c r="AU770" s="220"/>
      <c r="AV770" s="220"/>
      <c r="AW770" s="220"/>
      <c r="AX770" s="220"/>
      <c r="AY770" s="220"/>
      <c r="AZ770" s="220"/>
    </row>
    <row r="771" ht="15.75" customHeight="1">
      <c r="A771" s="272"/>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c r="AA771" s="220"/>
      <c r="AB771" s="220"/>
      <c r="AC771" s="220"/>
      <c r="AD771" s="220"/>
      <c r="AE771" s="220"/>
      <c r="AF771" s="220"/>
      <c r="AG771" s="220"/>
      <c r="AH771" s="220"/>
      <c r="AI771" s="220"/>
      <c r="AJ771" s="220"/>
      <c r="AK771" s="220"/>
      <c r="AL771" s="220"/>
      <c r="AM771" s="220"/>
      <c r="AN771" s="220"/>
      <c r="AO771" s="220"/>
      <c r="AP771" s="220"/>
      <c r="AQ771" s="220"/>
      <c r="AR771" s="220"/>
      <c r="AS771" s="220"/>
      <c r="AT771" s="220"/>
      <c r="AU771" s="220"/>
      <c r="AV771" s="220"/>
      <c r="AW771" s="220"/>
      <c r="AX771" s="220"/>
      <c r="AY771" s="220"/>
      <c r="AZ771" s="220"/>
    </row>
    <row r="772" ht="15.75" customHeight="1">
      <c r="A772" s="272"/>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c r="AA772" s="220"/>
      <c r="AB772" s="220"/>
      <c r="AC772" s="220"/>
      <c r="AD772" s="220"/>
      <c r="AE772" s="220"/>
      <c r="AF772" s="220"/>
      <c r="AG772" s="220"/>
      <c r="AH772" s="220"/>
      <c r="AI772" s="220"/>
      <c r="AJ772" s="220"/>
      <c r="AK772" s="220"/>
      <c r="AL772" s="220"/>
      <c r="AM772" s="220"/>
      <c r="AN772" s="220"/>
      <c r="AO772" s="220"/>
      <c r="AP772" s="220"/>
      <c r="AQ772" s="220"/>
      <c r="AR772" s="220"/>
      <c r="AS772" s="220"/>
      <c r="AT772" s="220"/>
      <c r="AU772" s="220"/>
      <c r="AV772" s="220"/>
      <c r="AW772" s="220"/>
      <c r="AX772" s="220"/>
      <c r="AY772" s="220"/>
      <c r="AZ772" s="220"/>
    </row>
    <row r="773" ht="15.75" customHeight="1">
      <c r="A773" s="272"/>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c r="AA773" s="220"/>
      <c r="AB773" s="220"/>
      <c r="AC773" s="220"/>
      <c r="AD773" s="220"/>
      <c r="AE773" s="220"/>
      <c r="AF773" s="220"/>
      <c r="AG773" s="220"/>
      <c r="AH773" s="220"/>
      <c r="AI773" s="220"/>
      <c r="AJ773" s="220"/>
      <c r="AK773" s="220"/>
      <c r="AL773" s="220"/>
      <c r="AM773" s="220"/>
      <c r="AN773" s="220"/>
      <c r="AO773" s="220"/>
      <c r="AP773" s="220"/>
      <c r="AQ773" s="220"/>
      <c r="AR773" s="220"/>
      <c r="AS773" s="220"/>
      <c r="AT773" s="220"/>
      <c r="AU773" s="220"/>
      <c r="AV773" s="220"/>
      <c r="AW773" s="220"/>
      <c r="AX773" s="220"/>
      <c r="AY773" s="220"/>
      <c r="AZ773" s="220"/>
    </row>
    <row r="774" ht="15.75" customHeight="1">
      <c r="A774" s="272"/>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c r="AA774" s="220"/>
      <c r="AB774" s="220"/>
      <c r="AC774" s="220"/>
      <c r="AD774" s="220"/>
      <c r="AE774" s="220"/>
      <c r="AF774" s="220"/>
      <c r="AG774" s="220"/>
      <c r="AH774" s="220"/>
      <c r="AI774" s="220"/>
      <c r="AJ774" s="220"/>
      <c r="AK774" s="220"/>
      <c r="AL774" s="220"/>
      <c r="AM774" s="220"/>
      <c r="AN774" s="220"/>
      <c r="AO774" s="220"/>
      <c r="AP774" s="220"/>
      <c r="AQ774" s="220"/>
      <c r="AR774" s="220"/>
      <c r="AS774" s="220"/>
      <c r="AT774" s="220"/>
      <c r="AU774" s="220"/>
      <c r="AV774" s="220"/>
      <c r="AW774" s="220"/>
      <c r="AX774" s="220"/>
      <c r="AY774" s="220"/>
      <c r="AZ774" s="220"/>
    </row>
    <row r="775" ht="15.75" customHeight="1">
      <c r="A775" s="272"/>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c r="AA775" s="220"/>
      <c r="AB775" s="220"/>
      <c r="AC775" s="220"/>
      <c r="AD775" s="220"/>
      <c r="AE775" s="220"/>
      <c r="AF775" s="220"/>
      <c r="AG775" s="220"/>
      <c r="AH775" s="220"/>
      <c r="AI775" s="220"/>
      <c r="AJ775" s="220"/>
      <c r="AK775" s="220"/>
      <c r="AL775" s="220"/>
      <c r="AM775" s="220"/>
      <c r="AN775" s="220"/>
      <c r="AO775" s="220"/>
      <c r="AP775" s="220"/>
      <c r="AQ775" s="220"/>
      <c r="AR775" s="220"/>
      <c r="AS775" s="220"/>
      <c r="AT775" s="220"/>
      <c r="AU775" s="220"/>
      <c r="AV775" s="220"/>
      <c r="AW775" s="220"/>
      <c r="AX775" s="220"/>
      <c r="AY775" s="220"/>
      <c r="AZ775" s="220"/>
    </row>
    <row r="776" ht="15.75" customHeight="1">
      <c r="A776" s="272"/>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c r="AA776" s="220"/>
      <c r="AB776" s="220"/>
      <c r="AC776" s="220"/>
      <c r="AD776" s="220"/>
      <c r="AE776" s="220"/>
      <c r="AF776" s="220"/>
      <c r="AG776" s="220"/>
      <c r="AH776" s="220"/>
      <c r="AI776" s="220"/>
      <c r="AJ776" s="220"/>
      <c r="AK776" s="220"/>
      <c r="AL776" s="220"/>
      <c r="AM776" s="220"/>
      <c r="AN776" s="220"/>
      <c r="AO776" s="220"/>
      <c r="AP776" s="220"/>
      <c r="AQ776" s="220"/>
      <c r="AR776" s="220"/>
      <c r="AS776" s="220"/>
      <c r="AT776" s="220"/>
      <c r="AU776" s="220"/>
      <c r="AV776" s="220"/>
      <c r="AW776" s="220"/>
      <c r="AX776" s="220"/>
      <c r="AY776" s="220"/>
      <c r="AZ776" s="220"/>
    </row>
    <row r="777" ht="15.75" customHeight="1">
      <c r="A777" s="272"/>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c r="AA777" s="220"/>
      <c r="AB777" s="220"/>
      <c r="AC777" s="220"/>
      <c r="AD777" s="220"/>
      <c r="AE777" s="220"/>
      <c r="AF777" s="220"/>
      <c r="AG777" s="220"/>
      <c r="AH777" s="220"/>
      <c r="AI777" s="220"/>
      <c r="AJ777" s="220"/>
      <c r="AK777" s="220"/>
      <c r="AL777" s="220"/>
      <c r="AM777" s="220"/>
      <c r="AN777" s="220"/>
      <c r="AO777" s="220"/>
      <c r="AP777" s="220"/>
      <c r="AQ777" s="220"/>
      <c r="AR777" s="220"/>
      <c r="AS777" s="220"/>
      <c r="AT777" s="220"/>
      <c r="AU777" s="220"/>
      <c r="AV777" s="220"/>
      <c r="AW777" s="220"/>
      <c r="AX777" s="220"/>
      <c r="AY777" s="220"/>
      <c r="AZ777" s="220"/>
    </row>
    <row r="778" ht="15.75" customHeight="1">
      <c r="A778" s="272"/>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c r="AA778" s="220"/>
      <c r="AB778" s="220"/>
      <c r="AC778" s="220"/>
      <c r="AD778" s="220"/>
      <c r="AE778" s="220"/>
      <c r="AF778" s="220"/>
      <c r="AG778" s="220"/>
      <c r="AH778" s="220"/>
      <c r="AI778" s="220"/>
      <c r="AJ778" s="220"/>
      <c r="AK778" s="220"/>
      <c r="AL778" s="220"/>
      <c r="AM778" s="220"/>
      <c r="AN778" s="220"/>
      <c r="AO778" s="220"/>
      <c r="AP778" s="220"/>
      <c r="AQ778" s="220"/>
      <c r="AR778" s="220"/>
      <c r="AS778" s="220"/>
      <c r="AT778" s="220"/>
      <c r="AU778" s="220"/>
      <c r="AV778" s="220"/>
      <c r="AW778" s="220"/>
      <c r="AX778" s="220"/>
      <c r="AY778" s="220"/>
      <c r="AZ778" s="220"/>
    </row>
    <row r="779" ht="15.75" customHeight="1">
      <c r="A779" s="272"/>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c r="AA779" s="220"/>
      <c r="AB779" s="220"/>
      <c r="AC779" s="220"/>
      <c r="AD779" s="220"/>
      <c r="AE779" s="220"/>
      <c r="AF779" s="220"/>
      <c r="AG779" s="220"/>
      <c r="AH779" s="220"/>
      <c r="AI779" s="220"/>
      <c r="AJ779" s="220"/>
      <c r="AK779" s="220"/>
      <c r="AL779" s="220"/>
      <c r="AM779" s="220"/>
      <c r="AN779" s="220"/>
      <c r="AO779" s="220"/>
      <c r="AP779" s="220"/>
      <c r="AQ779" s="220"/>
      <c r="AR779" s="220"/>
      <c r="AS779" s="220"/>
      <c r="AT779" s="220"/>
      <c r="AU779" s="220"/>
      <c r="AV779" s="220"/>
      <c r="AW779" s="220"/>
      <c r="AX779" s="220"/>
      <c r="AY779" s="220"/>
      <c r="AZ779" s="220"/>
    </row>
    <row r="780" ht="15.75" customHeight="1">
      <c r="A780" s="272"/>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c r="AA780" s="220"/>
      <c r="AB780" s="220"/>
      <c r="AC780" s="220"/>
      <c r="AD780" s="220"/>
      <c r="AE780" s="220"/>
      <c r="AF780" s="220"/>
      <c r="AG780" s="220"/>
      <c r="AH780" s="220"/>
      <c r="AI780" s="220"/>
      <c r="AJ780" s="220"/>
      <c r="AK780" s="220"/>
      <c r="AL780" s="220"/>
      <c r="AM780" s="220"/>
      <c r="AN780" s="220"/>
      <c r="AO780" s="220"/>
      <c r="AP780" s="220"/>
      <c r="AQ780" s="220"/>
      <c r="AR780" s="220"/>
      <c r="AS780" s="220"/>
      <c r="AT780" s="220"/>
      <c r="AU780" s="220"/>
      <c r="AV780" s="220"/>
      <c r="AW780" s="220"/>
      <c r="AX780" s="220"/>
      <c r="AY780" s="220"/>
      <c r="AZ780" s="220"/>
    </row>
    <row r="781" ht="15.75" customHeight="1">
      <c r="A781" s="272"/>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c r="AA781" s="220"/>
      <c r="AB781" s="220"/>
      <c r="AC781" s="220"/>
      <c r="AD781" s="220"/>
      <c r="AE781" s="220"/>
      <c r="AF781" s="220"/>
      <c r="AG781" s="220"/>
      <c r="AH781" s="220"/>
      <c r="AI781" s="220"/>
      <c r="AJ781" s="220"/>
      <c r="AK781" s="220"/>
      <c r="AL781" s="220"/>
      <c r="AM781" s="220"/>
      <c r="AN781" s="220"/>
      <c r="AO781" s="220"/>
      <c r="AP781" s="220"/>
      <c r="AQ781" s="220"/>
      <c r="AR781" s="220"/>
      <c r="AS781" s="220"/>
      <c r="AT781" s="220"/>
      <c r="AU781" s="220"/>
      <c r="AV781" s="220"/>
      <c r="AW781" s="220"/>
      <c r="AX781" s="220"/>
      <c r="AY781" s="220"/>
      <c r="AZ781" s="220"/>
    </row>
    <row r="782" ht="15.75" customHeight="1">
      <c r="A782" s="272"/>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c r="AA782" s="220"/>
      <c r="AB782" s="220"/>
      <c r="AC782" s="220"/>
      <c r="AD782" s="220"/>
      <c r="AE782" s="220"/>
      <c r="AF782" s="220"/>
      <c r="AG782" s="220"/>
      <c r="AH782" s="220"/>
      <c r="AI782" s="220"/>
      <c r="AJ782" s="220"/>
      <c r="AK782" s="220"/>
      <c r="AL782" s="220"/>
      <c r="AM782" s="220"/>
      <c r="AN782" s="220"/>
      <c r="AO782" s="220"/>
      <c r="AP782" s="220"/>
      <c r="AQ782" s="220"/>
      <c r="AR782" s="220"/>
      <c r="AS782" s="220"/>
      <c r="AT782" s="220"/>
      <c r="AU782" s="220"/>
      <c r="AV782" s="220"/>
      <c r="AW782" s="220"/>
      <c r="AX782" s="220"/>
      <c r="AY782" s="220"/>
      <c r="AZ782" s="220"/>
    </row>
    <row r="783" ht="15.75" customHeight="1">
      <c r="A783" s="272"/>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c r="AA783" s="220"/>
      <c r="AB783" s="220"/>
      <c r="AC783" s="220"/>
      <c r="AD783" s="220"/>
      <c r="AE783" s="220"/>
      <c r="AF783" s="220"/>
      <c r="AG783" s="220"/>
      <c r="AH783" s="220"/>
      <c r="AI783" s="220"/>
      <c r="AJ783" s="220"/>
      <c r="AK783" s="220"/>
      <c r="AL783" s="220"/>
      <c r="AM783" s="220"/>
      <c r="AN783" s="220"/>
      <c r="AO783" s="220"/>
      <c r="AP783" s="220"/>
      <c r="AQ783" s="220"/>
      <c r="AR783" s="220"/>
      <c r="AS783" s="220"/>
      <c r="AT783" s="220"/>
      <c r="AU783" s="220"/>
      <c r="AV783" s="220"/>
      <c r="AW783" s="220"/>
      <c r="AX783" s="220"/>
      <c r="AY783" s="220"/>
      <c r="AZ783" s="220"/>
    </row>
    <row r="784" ht="15.75" customHeight="1">
      <c r="A784" s="272"/>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c r="AA784" s="220"/>
      <c r="AB784" s="220"/>
      <c r="AC784" s="220"/>
      <c r="AD784" s="220"/>
      <c r="AE784" s="220"/>
      <c r="AF784" s="220"/>
      <c r="AG784" s="220"/>
      <c r="AH784" s="220"/>
      <c r="AI784" s="220"/>
      <c r="AJ784" s="220"/>
      <c r="AK784" s="220"/>
      <c r="AL784" s="220"/>
      <c r="AM784" s="220"/>
      <c r="AN784" s="220"/>
      <c r="AO784" s="220"/>
      <c r="AP784" s="220"/>
      <c r="AQ784" s="220"/>
      <c r="AR784" s="220"/>
      <c r="AS784" s="220"/>
      <c r="AT784" s="220"/>
      <c r="AU784" s="220"/>
      <c r="AV784" s="220"/>
      <c r="AW784" s="220"/>
      <c r="AX784" s="220"/>
      <c r="AY784" s="220"/>
      <c r="AZ784" s="220"/>
    </row>
    <row r="785" ht="15.75" customHeight="1">
      <c r="A785" s="272"/>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c r="AA785" s="220"/>
      <c r="AB785" s="220"/>
      <c r="AC785" s="220"/>
      <c r="AD785" s="220"/>
      <c r="AE785" s="220"/>
      <c r="AF785" s="220"/>
      <c r="AG785" s="220"/>
      <c r="AH785" s="220"/>
      <c r="AI785" s="220"/>
      <c r="AJ785" s="220"/>
      <c r="AK785" s="220"/>
      <c r="AL785" s="220"/>
      <c r="AM785" s="220"/>
      <c r="AN785" s="220"/>
      <c r="AO785" s="220"/>
      <c r="AP785" s="220"/>
      <c r="AQ785" s="220"/>
      <c r="AR785" s="220"/>
      <c r="AS785" s="220"/>
      <c r="AT785" s="220"/>
      <c r="AU785" s="220"/>
      <c r="AV785" s="220"/>
      <c r="AW785" s="220"/>
      <c r="AX785" s="220"/>
      <c r="AY785" s="220"/>
      <c r="AZ785" s="220"/>
    </row>
    <row r="786" ht="15.75" customHeight="1">
      <c r="A786" s="272"/>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c r="AA786" s="220"/>
      <c r="AB786" s="220"/>
      <c r="AC786" s="220"/>
      <c r="AD786" s="220"/>
      <c r="AE786" s="220"/>
      <c r="AF786" s="220"/>
      <c r="AG786" s="220"/>
      <c r="AH786" s="220"/>
      <c r="AI786" s="220"/>
      <c r="AJ786" s="220"/>
      <c r="AK786" s="220"/>
      <c r="AL786" s="220"/>
      <c r="AM786" s="220"/>
      <c r="AN786" s="220"/>
      <c r="AO786" s="220"/>
      <c r="AP786" s="220"/>
      <c r="AQ786" s="220"/>
      <c r="AR786" s="220"/>
      <c r="AS786" s="220"/>
      <c r="AT786" s="220"/>
      <c r="AU786" s="220"/>
      <c r="AV786" s="220"/>
      <c r="AW786" s="220"/>
      <c r="AX786" s="220"/>
      <c r="AY786" s="220"/>
      <c r="AZ786" s="220"/>
    </row>
    <row r="787" ht="15.75" customHeight="1">
      <c r="A787" s="272"/>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c r="AA787" s="220"/>
      <c r="AB787" s="220"/>
      <c r="AC787" s="220"/>
      <c r="AD787" s="220"/>
      <c r="AE787" s="220"/>
      <c r="AF787" s="220"/>
      <c r="AG787" s="220"/>
      <c r="AH787" s="220"/>
      <c r="AI787" s="220"/>
      <c r="AJ787" s="220"/>
      <c r="AK787" s="220"/>
      <c r="AL787" s="220"/>
      <c r="AM787" s="220"/>
      <c r="AN787" s="220"/>
      <c r="AO787" s="220"/>
      <c r="AP787" s="220"/>
      <c r="AQ787" s="220"/>
      <c r="AR787" s="220"/>
      <c r="AS787" s="220"/>
      <c r="AT787" s="220"/>
      <c r="AU787" s="220"/>
      <c r="AV787" s="220"/>
      <c r="AW787" s="220"/>
      <c r="AX787" s="220"/>
      <c r="AY787" s="220"/>
      <c r="AZ787" s="220"/>
    </row>
    <row r="788" ht="15.75" customHeight="1">
      <c r="A788" s="272"/>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c r="AA788" s="220"/>
      <c r="AB788" s="220"/>
      <c r="AC788" s="220"/>
      <c r="AD788" s="220"/>
      <c r="AE788" s="220"/>
      <c r="AF788" s="220"/>
      <c r="AG788" s="220"/>
      <c r="AH788" s="220"/>
      <c r="AI788" s="220"/>
      <c r="AJ788" s="220"/>
      <c r="AK788" s="220"/>
      <c r="AL788" s="220"/>
      <c r="AM788" s="220"/>
      <c r="AN788" s="220"/>
      <c r="AO788" s="220"/>
      <c r="AP788" s="220"/>
      <c r="AQ788" s="220"/>
      <c r="AR788" s="220"/>
      <c r="AS788" s="220"/>
      <c r="AT788" s="220"/>
      <c r="AU788" s="220"/>
      <c r="AV788" s="220"/>
      <c r="AW788" s="220"/>
      <c r="AX788" s="220"/>
      <c r="AY788" s="220"/>
      <c r="AZ788" s="220"/>
    </row>
    <row r="789" ht="15.75" customHeight="1">
      <c r="A789" s="272"/>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row>
    <row r="790" ht="15.75" customHeight="1">
      <c r="A790" s="272"/>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row>
    <row r="791" ht="15.75" customHeight="1">
      <c r="A791" s="272"/>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c r="AA791" s="220"/>
      <c r="AB791" s="220"/>
      <c r="AC791" s="220"/>
      <c r="AD791" s="220"/>
      <c r="AE791" s="220"/>
      <c r="AF791" s="220"/>
      <c r="AG791" s="220"/>
      <c r="AH791" s="220"/>
      <c r="AI791" s="220"/>
      <c r="AJ791" s="220"/>
      <c r="AK791" s="220"/>
      <c r="AL791" s="220"/>
      <c r="AM791" s="220"/>
      <c r="AN791" s="220"/>
      <c r="AO791" s="220"/>
      <c r="AP791" s="220"/>
      <c r="AQ791" s="220"/>
      <c r="AR791" s="220"/>
      <c r="AS791" s="220"/>
      <c r="AT791" s="220"/>
      <c r="AU791" s="220"/>
      <c r="AV791" s="220"/>
      <c r="AW791" s="220"/>
      <c r="AX791" s="220"/>
      <c r="AY791" s="220"/>
      <c r="AZ791" s="220"/>
    </row>
    <row r="792" ht="15.75" customHeight="1">
      <c r="A792" s="272"/>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c r="AA792" s="220"/>
      <c r="AB792" s="220"/>
      <c r="AC792" s="220"/>
      <c r="AD792" s="220"/>
      <c r="AE792" s="220"/>
      <c r="AF792" s="220"/>
      <c r="AG792" s="220"/>
      <c r="AH792" s="220"/>
      <c r="AI792" s="220"/>
      <c r="AJ792" s="220"/>
      <c r="AK792" s="220"/>
      <c r="AL792" s="220"/>
      <c r="AM792" s="220"/>
      <c r="AN792" s="220"/>
      <c r="AO792" s="220"/>
      <c r="AP792" s="220"/>
      <c r="AQ792" s="220"/>
      <c r="AR792" s="220"/>
      <c r="AS792" s="220"/>
      <c r="AT792" s="220"/>
      <c r="AU792" s="220"/>
      <c r="AV792" s="220"/>
      <c r="AW792" s="220"/>
      <c r="AX792" s="220"/>
      <c r="AY792" s="220"/>
      <c r="AZ792" s="220"/>
    </row>
    <row r="793" ht="15.75" customHeight="1">
      <c r="A793" s="272"/>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c r="AA793" s="220"/>
      <c r="AB793" s="220"/>
      <c r="AC793" s="220"/>
      <c r="AD793" s="220"/>
      <c r="AE793" s="220"/>
      <c r="AF793" s="220"/>
      <c r="AG793" s="220"/>
      <c r="AH793" s="220"/>
      <c r="AI793" s="220"/>
      <c r="AJ793" s="220"/>
      <c r="AK793" s="220"/>
      <c r="AL793" s="220"/>
      <c r="AM793" s="220"/>
      <c r="AN793" s="220"/>
      <c r="AO793" s="220"/>
      <c r="AP793" s="220"/>
      <c r="AQ793" s="220"/>
      <c r="AR793" s="220"/>
      <c r="AS793" s="220"/>
      <c r="AT793" s="220"/>
      <c r="AU793" s="220"/>
      <c r="AV793" s="220"/>
      <c r="AW793" s="220"/>
      <c r="AX793" s="220"/>
      <c r="AY793" s="220"/>
      <c r="AZ793" s="220"/>
    </row>
    <row r="794" ht="15.75" customHeight="1">
      <c r="A794" s="272"/>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c r="AA794" s="220"/>
      <c r="AB794" s="220"/>
      <c r="AC794" s="220"/>
      <c r="AD794" s="220"/>
      <c r="AE794" s="220"/>
      <c r="AF794" s="220"/>
      <c r="AG794" s="220"/>
      <c r="AH794" s="220"/>
      <c r="AI794" s="220"/>
      <c r="AJ794" s="220"/>
      <c r="AK794" s="220"/>
      <c r="AL794" s="220"/>
      <c r="AM794" s="220"/>
      <c r="AN794" s="220"/>
      <c r="AO794" s="220"/>
      <c r="AP794" s="220"/>
      <c r="AQ794" s="220"/>
      <c r="AR794" s="220"/>
      <c r="AS794" s="220"/>
      <c r="AT794" s="220"/>
      <c r="AU794" s="220"/>
      <c r="AV794" s="220"/>
      <c r="AW794" s="220"/>
      <c r="AX794" s="220"/>
      <c r="AY794" s="220"/>
      <c r="AZ794" s="220"/>
    </row>
    <row r="795" ht="15.75" customHeight="1">
      <c r="A795" s="272"/>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c r="AA795" s="220"/>
      <c r="AB795" s="220"/>
      <c r="AC795" s="220"/>
      <c r="AD795" s="220"/>
      <c r="AE795" s="220"/>
      <c r="AF795" s="220"/>
      <c r="AG795" s="220"/>
      <c r="AH795" s="220"/>
      <c r="AI795" s="220"/>
      <c r="AJ795" s="220"/>
      <c r="AK795" s="220"/>
      <c r="AL795" s="220"/>
      <c r="AM795" s="220"/>
      <c r="AN795" s="220"/>
      <c r="AO795" s="220"/>
      <c r="AP795" s="220"/>
      <c r="AQ795" s="220"/>
      <c r="AR795" s="220"/>
      <c r="AS795" s="220"/>
      <c r="AT795" s="220"/>
      <c r="AU795" s="220"/>
      <c r="AV795" s="220"/>
      <c r="AW795" s="220"/>
      <c r="AX795" s="220"/>
      <c r="AY795" s="220"/>
      <c r="AZ795" s="220"/>
    </row>
    <row r="796" ht="15.75" customHeight="1">
      <c r="A796" s="272"/>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c r="AA796" s="220"/>
      <c r="AB796" s="220"/>
      <c r="AC796" s="220"/>
      <c r="AD796" s="220"/>
      <c r="AE796" s="220"/>
      <c r="AF796" s="220"/>
      <c r="AG796" s="220"/>
      <c r="AH796" s="220"/>
      <c r="AI796" s="220"/>
      <c r="AJ796" s="220"/>
      <c r="AK796" s="220"/>
      <c r="AL796" s="220"/>
      <c r="AM796" s="220"/>
      <c r="AN796" s="220"/>
      <c r="AO796" s="220"/>
      <c r="AP796" s="220"/>
      <c r="AQ796" s="220"/>
      <c r="AR796" s="220"/>
      <c r="AS796" s="220"/>
      <c r="AT796" s="220"/>
      <c r="AU796" s="220"/>
      <c r="AV796" s="220"/>
      <c r="AW796" s="220"/>
      <c r="AX796" s="220"/>
      <c r="AY796" s="220"/>
      <c r="AZ796" s="220"/>
    </row>
    <row r="797" ht="15.75" customHeight="1">
      <c r="A797" s="272"/>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c r="AA797" s="220"/>
      <c r="AB797" s="220"/>
      <c r="AC797" s="220"/>
      <c r="AD797" s="220"/>
      <c r="AE797" s="220"/>
      <c r="AF797" s="220"/>
      <c r="AG797" s="220"/>
      <c r="AH797" s="220"/>
      <c r="AI797" s="220"/>
      <c r="AJ797" s="220"/>
      <c r="AK797" s="220"/>
      <c r="AL797" s="220"/>
      <c r="AM797" s="220"/>
      <c r="AN797" s="220"/>
      <c r="AO797" s="220"/>
      <c r="AP797" s="220"/>
      <c r="AQ797" s="220"/>
      <c r="AR797" s="220"/>
      <c r="AS797" s="220"/>
      <c r="AT797" s="220"/>
      <c r="AU797" s="220"/>
      <c r="AV797" s="220"/>
      <c r="AW797" s="220"/>
      <c r="AX797" s="220"/>
      <c r="AY797" s="220"/>
      <c r="AZ797" s="220"/>
    </row>
    <row r="798" ht="15.75" customHeight="1">
      <c r="A798" s="272"/>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c r="AA798" s="220"/>
      <c r="AB798" s="220"/>
      <c r="AC798" s="220"/>
      <c r="AD798" s="220"/>
      <c r="AE798" s="220"/>
      <c r="AF798" s="220"/>
      <c r="AG798" s="220"/>
      <c r="AH798" s="220"/>
      <c r="AI798" s="220"/>
      <c r="AJ798" s="220"/>
      <c r="AK798" s="220"/>
      <c r="AL798" s="220"/>
      <c r="AM798" s="220"/>
      <c r="AN798" s="220"/>
      <c r="AO798" s="220"/>
      <c r="AP798" s="220"/>
      <c r="AQ798" s="220"/>
      <c r="AR798" s="220"/>
      <c r="AS798" s="220"/>
      <c r="AT798" s="220"/>
      <c r="AU798" s="220"/>
      <c r="AV798" s="220"/>
      <c r="AW798" s="220"/>
      <c r="AX798" s="220"/>
      <c r="AY798" s="220"/>
      <c r="AZ798" s="220"/>
    </row>
    <row r="799" ht="15.75" customHeight="1">
      <c r="A799" s="272"/>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c r="AA799" s="220"/>
      <c r="AB799" s="220"/>
      <c r="AC799" s="220"/>
      <c r="AD799" s="220"/>
      <c r="AE799" s="220"/>
      <c r="AF799" s="220"/>
      <c r="AG799" s="220"/>
      <c r="AH799" s="220"/>
      <c r="AI799" s="220"/>
      <c r="AJ799" s="220"/>
      <c r="AK799" s="220"/>
      <c r="AL799" s="220"/>
      <c r="AM799" s="220"/>
      <c r="AN799" s="220"/>
      <c r="AO799" s="220"/>
      <c r="AP799" s="220"/>
      <c r="AQ799" s="220"/>
      <c r="AR799" s="220"/>
      <c r="AS799" s="220"/>
      <c r="AT799" s="220"/>
      <c r="AU799" s="220"/>
      <c r="AV799" s="220"/>
      <c r="AW799" s="220"/>
      <c r="AX799" s="220"/>
      <c r="AY799" s="220"/>
      <c r="AZ799" s="220"/>
    </row>
    <row r="800" ht="15.75" customHeight="1">
      <c r="A800" s="272"/>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c r="AA800" s="220"/>
      <c r="AB800" s="220"/>
      <c r="AC800" s="220"/>
      <c r="AD800" s="220"/>
      <c r="AE800" s="220"/>
      <c r="AF800" s="220"/>
      <c r="AG800" s="220"/>
      <c r="AH800" s="220"/>
      <c r="AI800" s="220"/>
      <c r="AJ800" s="220"/>
      <c r="AK800" s="220"/>
      <c r="AL800" s="220"/>
      <c r="AM800" s="220"/>
      <c r="AN800" s="220"/>
      <c r="AO800" s="220"/>
      <c r="AP800" s="220"/>
      <c r="AQ800" s="220"/>
      <c r="AR800" s="220"/>
      <c r="AS800" s="220"/>
      <c r="AT800" s="220"/>
      <c r="AU800" s="220"/>
      <c r="AV800" s="220"/>
      <c r="AW800" s="220"/>
      <c r="AX800" s="220"/>
      <c r="AY800" s="220"/>
      <c r="AZ800" s="220"/>
    </row>
    <row r="801" ht="15.75" customHeight="1">
      <c r="A801" s="272"/>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c r="AA801" s="220"/>
      <c r="AB801" s="220"/>
      <c r="AC801" s="220"/>
      <c r="AD801" s="220"/>
      <c r="AE801" s="220"/>
      <c r="AF801" s="220"/>
      <c r="AG801" s="220"/>
      <c r="AH801" s="220"/>
      <c r="AI801" s="220"/>
      <c r="AJ801" s="220"/>
      <c r="AK801" s="220"/>
      <c r="AL801" s="220"/>
      <c r="AM801" s="220"/>
      <c r="AN801" s="220"/>
      <c r="AO801" s="220"/>
      <c r="AP801" s="220"/>
      <c r="AQ801" s="220"/>
      <c r="AR801" s="220"/>
      <c r="AS801" s="220"/>
      <c r="AT801" s="220"/>
      <c r="AU801" s="220"/>
      <c r="AV801" s="220"/>
      <c r="AW801" s="220"/>
      <c r="AX801" s="220"/>
      <c r="AY801" s="220"/>
      <c r="AZ801" s="220"/>
    </row>
    <row r="802" ht="15.75" customHeight="1">
      <c r="A802" s="272"/>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c r="AA802" s="220"/>
      <c r="AB802" s="220"/>
      <c r="AC802" s="220"/>
      <c r="AD802" s="220"/>
      <c r="AE802" s="220"/>
      <c r="AF802" s="220"/>
      <c r="AG802" s="220"/>
      <c r="AH802" s="220"/>
      <c r="AI802" s="220"/>
      <c r="AJ802" s="220"/>
      <c r="AK802" s="220"/>
      <c r="AL802" s="220"/>
      <c r="AM802" s="220"/>
      <c r="AN802" s="220"/>
      <c r="AO802" s="220"/>
      <c r="AP802" s="220"/>
      <c r="AQ802" s="220"/>
      <c r="AR802" s="220"/>
      <c r="AS802" s="220"/>
      <c r="AT802" s="220"/>
      <c r="AU802" s="220"/>
      <c r="AV802" s="220"/>
      <c r="AW802" s="220"/>
      <c r="AX802" s="220"/>
      <c r="AY802" s="220"/>
      <c r="AZ802" s="220"/>
    </row>
    <row r="803" ht="15.75" customHeight="1">
      <c r="A803" s="272"/>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c r="AA803" s="220"/>
      <c r="AB803" s="220"/>
      <c r="AC803" s="220"/>
      <c r="AD803" s="220"/>
      <c r="AE803" s="220"/>
      <c r="AF803" s="220"/>
      <c r="AG803" s="220"/>
      <c r="AH803" s="220"/>
      <c r="AI803" s="220"/>
      <c r="AJ803" s="220"/>
      <c r="AK803" s="220"/>
      <c r="AL803" s="220"/>
      <c r="AM803" s="220"/>
      <c r="AN803" s="220"/>
      <c r="AO803" s="220"/>
      <c r="AP803" s="220"/>
      <c r="AQ803" s="220"/>
      <c r="AR803" s="220"/>
      <c r="AS803" s="220"/>
      <c r="AT803" s="220"/>
      <c r="AU803" s="220"/>
      <c r="AV803" s="220"/>
      <c r="AW803" s="220"/>
      <c r="AX803" s="220"/>
      <c r="AY803" s="220"/>
      <c r="AZ803" s="220"/>
    </row>
    <row r="804" ht="15.75" customHeight="1">
      <c r="A804" s="272"/>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c r="AA804" s="220"/>
      <c r="AB804" s="220"/>
      <c r="AC804" s="220"/>
      <c r="AD804" s="220"/>
      <c r="AE804" s="220"/>
      <c r="AF804" s="220"/>
      <c r="AG804" s="220"/>
      <c r="AH804" s="220"/>
      <c r="AI804" s="220"/>
      <c r="AJ804" s="220"/>
      <c r="AK804" s="220"/>
      <c r="AL804" s="220"/>
      <c r="AM804" s="220"/>
      <c r="AN804" s="220"/>
      <c r="AO804" s="220"/>
      <c r="AP804" s="220"/>
      <c r="AQ804" s="220"/>
      <c r="AR804" s="220"/>
      <c r="AS804" s="220"/>
      <c r="AT804" s="220"/>
      <c r="AU804" s="220"/>
      <c r="AV804" s="220"/>
      <c r="AW804" s="220"/>
      <c r="AX804" s="220"/>
      <c r="AY804" s="220"/>
      <c r="AZ804" s="220"/>
    </row>
    <row r="805" ht="15.75" customHeight="1">
      <c r="A805" s="272"/>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c r="AA805" s="220"/>
      <c r="AB805" s="220"/>
      <c r="AC805" s="220"/>
      <c r="AD805" s="220"/>
      <c r="AE805" s="220"/>
      <c r="AF805" s="220"/>
      <c r="AG805" s="220"/>
      <c r="AH805" s="220"/>
      <c r="AI805" s="220"/>
      <c r="AJ805" s="220"/>
      <c r="AK805" s="220"/>
      <c r="AL805" s="220"/>
      <c r="AM805" s="220"/>
      <c r="AN805" s="220"/>
      <c r="AO805" s="220"/>
      <c r="AP805" s="220"/>
      <c r="AQ805" s="220"/>
      <c r="AR805" s="220"/>
      <c r="AS805" s="220"/>
      <c r="AT805" s="220"/>
      <c r="AU805" s="220"/>
      <c r="AV805" s="220"/>
      <c r="AW805" s="220"/>
      <c r="AX805" s="220"/>
      <c r="AY805" s="220"/>
      <c r="AZ805" s="220"/>
    </row>
    <row r="806" ht="15.75" customHeight="1">
      <c r="A806" s="272"/>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c r="AA806" s="220"/>
      <c r="AB806" s="220"/>
      <c r="AC806" s="220"/>
      <c r="AD806" s="220"/>
      <c r="AE806" s="220"/>
      <c r="AF806" s="220"/>
      <c r="AG806" s="220"/>
      <c r="AH806" s="220"/>
      <c r="AI806" s="220"/>
      <c r="AJ806" s="220"/>
      <c r="AK806" s="220"/>
      <c r="AL806" s="220"/>
      <c r="AM806" s="220"/>
      <c r="AN806" s="220"/>
      <c r="AO806" s="220"/>
      <c r="AP806" s="220"/>
      <c r="AQ806" s="220"/>
      <c r="AR806" s="220"/>
      <c r="AS806" s="220"/>
      <c r="AT806" s="220"/>
      <c r="AU806" s="220"/>
      <c r="AV806" s="220"/>
      <c r="AW806" s="220"/>
      <c r="AX806" s="220"/>
      <c r="AY806" s="220"/>
      <c r="AZ806" s="220"/>
    </row>
    <row r="807" ht="15.75" customHeight="1">
      <c r="A807" s="272"/>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c r="AA807" s="220"/>
      <c r="AB807" s="220"/>
      <c r="AC807" s="220"/>
      <c r="AD807" s="220"/>
      <c r="AE807" s="220"/>
      <c r="AF807" s="220"/>
      <c r="AG807" s="220"/>
      <c r="AH807" s="220"/>
      <c r="AI807" s="220"/>
      <c r="AJ807" s="220"/>
      <c r="AK807" s="220"/>
      <c r="AL807" s="220"/>
      <c r="AM807" s="220"/>
      <c r="AN807" s="220"/>
      <c r="AO807" s="220"/>
      <c r="AP807" s="220"/>
      <c r="AQ807" s="220"/>
      <c r="AR807" s="220"/>
      <c r="AS807" s="220"/>
      <c r="AT807" s="220"/>
      <c r="AU807" s="220"/>
      <c r="AV807" s="220"/>
      <c r="AW807" s="220"/>
      <c r="AX807" s="220"/>
      <c r="AY807" s="220"/>
      <c r="AZ807" s="220"/>
    </row>
    <row r="808" ht="15.75" customHeight="1">
      <c r="A808" s="272"/>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c r="AA808" s="220"/>
      <c r="AB808" s="220"/>
      <c r="AC808" s="220"/>
      <c r="AD808" s="220"/>
      <c r="AE808" s="220"/>
      <c r="AF808" s="220"/>
      <c r="AG808" s="220"/>
      <c r="AH808" s="220"/>
      <c r="AI808" s="220"/>
      <c r="AJ808" s="220"/>
      <c r="AK808" s="220"/>
      <c r="AL808" s="220"/>
      <c r="AM808" s="220"/>
      <c r="AN808" s="220"/>
      <c r="AO808" s="220"/>
      <c r="AP808" s="220"/>
      <c r="AQ808" s="220"/>
      <c r="AR808" s="220"/>
      <c r="AS808" s="220"/>
      <c r="AT808" s="220"/>
      <c r="AU808" s="220"/>
      <c r="AV808" s="220"/>
      <c r="AW808" s="220"/>
      <c r="AX808" s="220"/>
      <c r="AY808" s="220"/>
      <c r="AZ808" s="220"/>
    </row>
    <row r="809" ht="15.75" customHeight="1">
      <c r="A809" s="272"/>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c r="AA809" s="220"/>
      <c r="AB809" s="220"/>
      <c r="AC809" s="220"/>
      <c r="AD809" s="220"/>
      <c r="AE809" s="220"/>
      <c r="AF809" s="220"/>
      <c r="AG809" s="220"/>
      <c r="AH809" s="220"/>
      <c r="AI809" s="220"/>
      <c r="AJ809" s="220"/>
      <c r="AK809" s="220"/>
      <c r="AL809" s="220"/>
      <c r="AM809" s="220"/>
      <c r="AN809" s="220"/>
      <c r="AO809" s="220"/>
      <c r="AP809" s="220"/>
      <c r="AQ809" s="220"/>
      <c r="AR809" s="220"/>
      <c r="AS809" s="220"/>
      <c r="AT809" s="220"/>
      <c r="AU809" s="220"/>
      <c r="AV809" s="220"/>
      <c r="AW809" s="220"/>
      <c r="AX809" s="220"/>
      <c r="AY809" s="220"/>
      <c r="AZ809" s="220"/>
    </row>
    <row r="810" ht="15.75" customHeight="1">
      <c r="A810" s="272"/>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c r="AA810" s="220"/>
      <c r="AB810" s="220"/>
      <c r="AC810" s="220"/>
      <c r="AD810" s="220"/>
      <c r="AE810" s="220"/>
      <c r="AF810" s="220"/>
      <c r="AG810" s="220"/>
      <c r="AH810" s="220"/>
      <c r="AI810" s="220"/>
      <c r="AJ810" s="220"/>
      <c r="AK810" s="220"/>
      <c r="AL810" s="220"/>
      <c r="AM810" s="220"/>
      <c r="AN810" s="220"/>
      <c r="AO810" s="220"/>
      <c r="AP810" s="220"/>
      <c r="AQ810" s="220"/>
      <c r="AR810" s="220"/>
      <c r="AS810" s="220"/>
      <c r="AT810" s="220"/>
      <c r="AU810" s="220"/>
      <c r="AV810" s="220"/>
      <c r="AW810" s="220"/>
      <c r="AX810" s="220"/>
      <c r="AY810" s="220"/>
      <c r="AZ810" s="220"/>
    </row>
    <row r="811" ht="15.75" customHeight="1">
      <c r="A811" s="272"/>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c r="AA811" s="220"/>
      <c r="AB811" s="220"/>
      <c r="AC811" s="220"/>
      <c r="AD811" s="220"/>
      <c r="AE811" s="220"/>
      <c r="AF811" s="220"/>
      <c r="AG811" s="220"/>
      <c r="AH811" s="220"/>
      <c r="AI811" s="220"/>
      <c r="AJ811" s="220"/>
      <c r="AK811" s="220"/>
      <c r="AL811" s="220"/>
      <c r="AM811" s="220"/>
      <c r="AN811" s="220"/>
      <c r="AO811" s="220"/>
      <c r="AP811" s="220"/>
      <c r="AQ811" s="220"/>
      <c r="AR811" s="220"/>
      <c r="AS811" s="220"/>
      <c r="AT811" s="220"/>
      <c r="AU811" s="220"/>
      <c r="AV811" s="220"/>
      <c r="AW811" s="220"/>
      <c r="AX811" s="220"/>
      <c r="AY811" s="220"/>
      <c r="AZ811" s="220"/>
    </row>
    <row r="812" ht="15.75" customHeight="1">
      <c r="A812" s="272"/>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c r="AA812" s="220"/>
      <c r="AB812" s="220"/>
      <c r="AC812" s="220"/>
      <c r="AD812" s="220"/>
      <c r="AE812" s="220"/>
      <c r="AF812" s="220"/>
      <c r="AG812" s="220"/>
      <c r="AH812" s="220"/>
      <c r="AI812" s="220"/>
      <c r="AJ812" s="220"/>
      <c r="AK812" s="220"/>
      <c r="AL812" s="220"/>
      <c r="AM812" s="220"/>
      <c r="AN812" s="220"/>
      <c r="AO812" s="220"/>
      <c r="AP812" s="220"/>
      <c r="AQ812" s="220"/>
      <c r="AR812" s="220"/>
      <c r="AS812" s="220"/>
      <c r="AT812" s="220"/>
      <c r="AU812" s="220"/>
      <c r="AV812" s="220"/>
      <c r="AW812" s="220"/>
      <c r="AX812" s="220"/>
      <c r="AY812" s="220"/>
      <c r="AZ812" s="220"/>
    </row>
    <row r="813" ht="15.75" customHeight="1">
      <c r="A813" s="272"/>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c r="AA813" s="220"/>
      <c r="AB813" s="220"/>
      <c r="AC813" s="220"/>
      <c r="AD813" s="220"/>
      <c r="AE813" s="220"/>
      <c r="AF813" s="220"/>
      <c r="AG813" s="220"/>
      <c r="AH813" s="220"/>
      <c r="AI813" s="220"/>
      <c r="AJ813" s="220"/>
      <c r="AK813" s="220"/>
      <c r="AL813" s="220"/>
      <c r="AM813" s="220"/>
      <c r="AN813" s="220"/>
      <c r="AO813" s="220"/>
      <c r="AP813" s="220"/>
      <c r="AQ813" s="220"/>
      <c r="AR813" s="220"/>
      <c r="AS813" s="220"/>
      <c r="AT813" s="220"/>
      <c r="AU813" s="220"/>
      <c r="AV813" s="220"/>
      <c r="AW813" s="220"/>
      <c r="AX813" s="220"/>
      <c r="AY813" s="220"/>
      <c r="AZ813" s="220"/>
    </row>
    <row r="814" ht="15.75" customHeight="1">
      <c r="A814" s="272"/>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c r="AA814" s="220"/>
      <c r="AB814" s="220"/>
      <c r="AC814" s="220"/>
      <c r="AD814" s="220"/>
      <c r="AE814" s="220"/>
      <c r="AF814" s="220"/>
      <c r="AG814" s="220"/>
      <c r="AH814" s="220"/>
      <c r="AI814" s="220"/>
      <c r="AJ814" s="220"/>
      <c r="AK814" s="220"/>
      <c r="AL814" s="220"/>
      <c r="AM814" s="220"/>
      <c r="AN814" s="220"/>
      <c r="AO814" s="220"/>
      <c r="AP814" s="220"/>
      <c r="AQ814" s="220"/>
      <c r="AR814" s="220"/>
      <c r="AS814" s="220"/>
      <c r="AT814" s="220"/>
      <c r="AU814" s="220"/>
      <c r="AV814" s="220"/>
      <c r="AW814" s="220"/>
      <c r="AX814" s="220"/>
      <c r="AY814" s="220"/>
      <c r="AZ814" s="220"/>
    </row>
    <row r="815" ht="15.75" customHeight="1">
      <c r="A815" s="272"/>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c r="AA815" s="220"/>
      <c r="AB815" s="220"/>
      <c r="AC815" s="220"/>
      <c r="AD815" s="220"/>
      <c r="AE815" s="220"/>
      <c r="AF815" s="220"/>
      <c r="AG815" s="220"/>
      <c r="AH815" s="220"/>
      <c r="AI815" s="220"/>
      <c r="AJ815" s="220"/>
      <c r="AK815" s="220"/>
      <c r="AL815" s="220"/>
      <c r="AM815" s="220"/>
      <c r="AN815" s="220"/>
      <c r="AO815" s="220"/>
      <c r="AP815" s="220"/>
      <c r="AQ815" s="220"/>
      <c r="AR815" s="220"/>
      <c r="AS815" s="220"/>
      <c r="AT815" s="220"/>
      <c r="AU815" s="220"/>
      <c r="AV815" s="220"/>
      <c r="AW815" s="220"/>
      <c r="AX815" s="220"/>
      <c r="AY815" s="220"/>
      <c r="AZ815" s="220"/>
    </row>
    <row r="816" ht="15.75" customHeight="1">
      <c r="A816" s="272"/>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c r="AA816" s="220"/>
      <c r="AB816" s="220"/>
      <c r="AC816" s="220"/>
      <c r="AD816" s="220"/>
      <c r="AE816" s="220"/>
      <c r="AF816" s="220"/>
      <c r="AG816" s="220"/>
      <c r="AH816" s="220"/>
      <c r="AI816" s="220"/>
      <c r="AJ816" s="220"/>
      <c r="AK816" s="220"/>
      <c r="AL816" s="220"/>
      <c r="AM816" s="220"/>
      <c r="AN816" s="220"/>
      <c r="AO816" s="220"/>
      <c r="AP816" s="220"/>
      <c r="AQ816" s="220"/>
      <c r="AR816" s="220"/>
      <c r="AS816" s="220"/>
      <c r="AT816" s="220"/>
      <c r="AU816" s="220"/>
      <c r="AV816" s="220"/>
      <c r="AW816" s="220"/>
      <c r="AX816" s="220"/>
      <c r="AY816" s="220"/>
      <c r="AZ816" s="220"/>
    </row>
    <row r="817" ht="15.75" customHeight="1">
      <c r="A817" s="272"/>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c r="AA817" s="220"/>
      <c r="AB817" s="220"/>
      <c r="AC817" s="220"/>
      <c r="AD817" s="220"/>
      <c r="AE817" s="220"/>
      <c r="AF817" s="220"/>
      <c r="AG817" s="220"/>
      <c r="AH817" s="220"/>
      <c r="AI817" s="220"/>
      <c r="AJ817" s="220"/>
      <c r="AK817" s="220"/>
      <c r="AL817" s="220"/>
      <c r="AM817" s="220"/>
      <c r="AN817" s="220"/>
      <c r="AO817" s="220"/>
      <c r="AP817" s="220"/>
      <c r="AQ817" s="220"/>
      <c r="AR817" s="220"/>
      <c r="AS817" s="220"/>
      <c r="AT817" s="220"/>
      <c r="AU817" s="220"/>
      <c r="AV817" s="220"/>
      <c r="AW817" s="220"/>
      <c r="AX817" s="220"/>
      <c r="AY817" s="220"/>
      <c r="AZ817" s="220"/>
    </row>
    <row r="818" ht="15.75" customHeight="1">
      <c r="A818" s="272"/>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c r="AA818" s="220"/>
      <c r="AB818" s="220"/>
      <c r="AC818" s="220"/>
      <c r="AD818" s="220"/>
      <c r="AE818" s="220"/>
      <c r="AF818" s="220"/>
      <c r="AG818" s="220"/>
      <c r="AH818" s="220"/>
      <c r="AI818" s="220"/>
      <c r="AJ818" s="220"/>
      <c r="AK818" s="220"/>
      <c r="AL818" s="220"/>
      <c r="AM818" s="220"/>
      <c r="AN818" s="220"/>
      <c r="AO818" s="220"/>
      <c r="AP818" s="220"/>
      <c r="AQ818" s="220"/>
      <c r="AR818" s="220"/>
      <c r="AS818" s="220"/>
      <c r="AT818" s="220"/>
      <c r="AU818" s="220"/>
      <c r="AV818" s="220"/>
      <c r="AW818" s="220"/>
      <c r="AX818" s="220"/>
      <c r="AY818" s="220"/>
      <c r="AZ818" s="220"/>
    </row>
    <row r="819" ht="15.75" customHeight="1">
      <c r="A819" s="272"/>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c r="AA819" s="220"/>
      <c r="AB819" s="220"/>
      <c r="AC819" s="220"/>
      <c r="AD819" s="220"/>
      <c r="AE819" s="220"/>
      <c r="AF819" s="220"/>
      <c r="AG819" s="220"/>
      <c r="AH819" s="220"/>
      <c r="AI819" s="220"/>
      <c r="AJ819" s="220"/>
      <c r="AK819" s="220"/>
      <c r="AL819" s="220"/>
      <c r="AM819" s="220"/>
      <c r="AN819" s="220"/>
      <c r="AO819" s="220"/>
      <c r="AP819" s="220"/>
      <c r="AQ819" s="220"/>
      <c r="AR819" s="220"/>
      <c r="AS819" s="220"/>
      <c r="AT819" s="220"/>
      <c r="AU819" s="220"/>
      <c r="AV819" s="220"/>
      <c r="AW819" s="220"/>
      <c r="AX819" s="220"/>
      <c r="AY819" s="220"/>
      <c r="AZ819" s="220"/>
    </row>
    <row r="820" ht="15.75" customHeight="1">
      <c r="A820" s="272"/>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c r="AA820" s="220"/>
      <c r="AB820" s="220"/>
      <c r="AC820" s="220"/>
      <c r="AD820" s="220"/>
      <c r="AE820" s="220"/>
      <c r="AF820" s="220"/>
      <c r="AG820" s="220"/>
      <c r="AH820" s="220"/>
      <c r="AI820" s="220"/>
      <c r="AJ820" s="220"/>
      <c r="AK820" s="220"/>
      <c r="AL820" s="220"/>
      <c r="AM820" s="220"/>
      <c r="AN820" s="220"/>
      <c r="AO820" s="220"/>
      <c r="AP820" s="220"/>
      <c r="AQ820" s="220"/>
      <c r="AR820" s="220"/>
      <c r="AS820" s="220"/>
      <c r="AT820" s="220"/>
      <c r="AU820" s="220"/>
      <c r="AV820" s="220"/>
      <c r="AW820" s="220"/>
      <c r="AX820" s="220"/>
      <c r="AY820" s="220"/>
      <c r="AZ820" s="220"/>
    </row>
    <row r="821" ht="15.75" customHeight="1">
      <c r="A821" s="272"/>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c r="AA821" s="220"/>
      <c r="AB821" s="220"/>
      <c r="AC821" s="220"/>
      <c r="AD821" s="220"/>
      <c r="AE821" s="220"/>
      <c r="AF821" s="220"/>
      <c r="AG821" s="220"/>
      <c r="AH821" s="220"/>
      <c r="AI821" s="220"/>
      <c r="AJ821" s="220"/>
      <c r="AK821" s="220"/>
      <c r="AL821" s="220"/>
      <c r="AM821" s="220"/>
      <c r="AN821" s="220"/>
      <c r="AO821" s="220"/>
      <c r="AP821" s="220"/>
      <c r="AQ821" s="220"/>
      <c r="AR821" s="220"/>
      <c r="AS821" s="220"/>
      <c r="AT821" s="220"/>
      <c r="AU821" s="220"/>
      <c r="AV821" s="220"/>
      <c r="AW821" s="220"/>
      <c r="AX821" s="220"/>
      <c r="AY821" s="220"/>
      <c r="AZ821" s="220"/>
    </row>
    <row r="822" ht="15.75" customHeight="1">
      <c r="A822" s="272"/>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c r="AA822" s="220"/>
      <c r="AB822" s="220"/>
      <c r="AC822" s="220"/>
      <c r="AD822" s="220"/>
      <c r="AE822" s="220"/>
      <c r="AF822" s="220"/>
      <c r="AG822" s="220"/>
      <c r="AH822" s="220"/>
      <c r="AI822" s="220"/>
      <c r="AJ822" s="220"/>
      <c r="AK822" s="220"/>
      <c r="AL822" s="220"/>
      <c r="AM822" s="220"/>
      <c r="AN822" s="220"/>
      <c r="AO822" s="220"/>
      <c r="AP822" s="220"/>
      <c r="AQ822" s="220"/>
      <c r="AR822" s="220"/>
      <c r="AS822" s="220"/>
      <c r="AT822" s="220"/>
      <c r="AU822" s="220"/>
      <c r="AV822" s="220"/>
      <c r="AW822" s="220"/>
      <c r="AX822" s="220"/>
      <c r="AY822" s="220"/>
      <c r="AZ822" s="220"/>
    </row>
    <row r="823" ht="15.75" customHeight="1">
      <c r="A823" s="272"/>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c r="AA823" s="220"/>
      <c r="AB823" s="220"/>
      <c r="AC823" s="220"/>
      <c r="AD823" s="220"/>
      <c r="AE823" s="220"/>
      <c r="AF823" s="220"/>
      <c r="AG823" s="220"/>
      <c r="AH823" s="220"/>
      <c r="AI823" s="220"/>
      <c r="AJ823" s="220"/>
      <c r="AK823" s="220"/>
      <c r="AL823" s="220"/>
      <c r="AM823" s="220"/>
      <c r="AN823" s="220"/>
      <c r="AO823" s="220"/>
      <c r="AP823" s="220"/>
      <c r="AQ823" s="220"/>
      <c r="AR823" s="220"/>
      <c r="AS823" s="220"/>
      <c r="AT823" s="220"/>
      <c r="AU823" s="220"/>
      <c r="AV823" s="220"/>
      <c r="AW823" s="220"/>
      <c r="AX823" s="220"/>
      <c r="AY823" s="220"/>
      <c r="AZ823" s="220"/>
    </row>
    <row r="824" ht="15.75" customHeight="1">
      <c r="A824" s="272"/>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c r="AA824" s="220"/>
      <c r="AB824" s="220"/>
      <c r="AC824" s="220"/>
      <c r="AD824" s="220"/>
      <c r="AE824" s="220"/>
      <c r="AF824" s="220"/>
      <c r="AG824" s="220"/>
      <c r="AH824" s="220"/>
      <c r="AI824" s="220"/>
      <c r="AJ824" s="220"/>
      <c r="AK824" s="220"/>
      <c r="AL824" s="220"/>
      <c r="AM824" s="220"/>
      <c r="AN824" s="220"/>
      <c r="AO824" s="220"/>
      <c r="AP824" s="220"/>
      <c r="AQ824" s="220"/>
      <c r="AR824" s="220"/>
      <c r="AS824" s="220"/>
      <c r="AT824" s="220"/>
      <c r="AU824" s="220"/>
      <c r="AV824" s="220"/>
      <c r="AW824" s="220"/>
      <c r="AX824" s="220"/>
      <c r="AY824" s="220"/>
      <c r="AZ824" s="220"/>
    </row>
    <row r="825" ht="15.75" customHeight="1">
      <c r="A825" s="272"/>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c r="AA825" s="220"/>
      <c r="AB825" s="220"/>
      <c r="AC825" s="220"/>
      <c r="AD825" s="220"/>
      <c r="AE825" s="220"/>
      <c r="AF825" s="220"/>
      <c r="AG825" s="220"/>
      <c r="AH825" s="220"/>
      <c r="AI825" s="220"/>
      <c r="AJ825" s="220"/>
      <c r="AK825" s="220"/>
      <c r="AL825" s="220"/>
      <c r="AM825" s="220"/>
      <c r="AN825" s="220"/>
      <c r="AO825" s="220"/>
      <c r="AP825" s="220"/>
      <c r="AQ825" s="220"/>
      <c r="AR825" s="220"/>
      <c r="AS825" s="220"/>
      <c r="AT825" s="220"/>
      <c r="AU825" s="220"/>
      <c r="AV825" s="220"/>
      <c r="AW825" s="220"/>
      <c r="AX825" s="220"/>
      <c r="AY825" s="220"/>
      <c r="AZ825" s="220"/>
    </row>
    <row r="826" ht="15.75" customHeight="1">
      <c r="A826" s="272"/>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c r="AA826" s="220"/>
      <c r="AB826" s="220"/>
      <c r="AC826" s="220"/>
      <c r="AD826" s="220"/>
      <c r="AE826" s="220"/>
      <c r="AF826" s="220"/>
      <c r="AG826" s="220"/>
      <c r="AH826" s="220"/>
      <c r="AI826" s="220"/>
      <c r="AJ826" s="220"/>
      <c r="AK826" s="220"/>
      <c r="AL826" s="220"/>
      <c r="AM826" s="220"/>
      <c r="AN826" s="220"/>
      <c r="AO826" s="220"/>
      <c r="AP826" s="220"/>
      <c r="AQ826" s="220"/>
      <c r="AR826" s="220"/>
      <c r="AS826" s="220"/>
      <c r="AT826" s="220"/>
      <c r="AU826" s="220"/>
      <c r="AV826" s="220"/>
      <c r="AW826" s="220"/>
      <c r="AX826" s="220"/>
      <c r="AY826" s="220"/>
      <c r="AZ826" s="220"/>
    </row>
    <row r="827" ht="15.75" customHeight="1">
      <c r="A827" s="272"/>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c r="AA827" s="220"/>
      <c r="AB827" s="220"/>
      <c r="AC827" s="220"/>
      <c r="AD827" s="220"/>
      <c r="AE827" s="220"/>
      <c r="AF827" s="220"/>
      <c r="AG827" s="220"/>
      <c r="AH827" s="220"/>
      <c r="AI827" s="220"/>
      <c r="AJ827" s="220"/>
      <c r="AK827" s="220"/>
      <c r="AL827" s="220"/>
      <c r="AM827" s="220"/>
      <c r="AN827" s="220"/>
      <c r="AO827" s="220"/>
      <c r="AP827" s="220"/>
      <c r="AQ827" s="220"/>
      <c r="AR827" s="220"/>
      <c r="AS827" s="220"/>
      <c r="AT827" s="220"/>
      <c r="AU827" s="220"/>
      <c r="AV827" s="220"/>
      <c r="AW827" s="220"/>
      <c r="AX827" s="220"/>
      <c r="AY827" s="220"/>
      <c r="AZ827" s="220"/>
    </row>
    <row r="828" ht="15.75" customHeight="1">
      <c r="A828" s="272"/>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c r="AA828" s="220"/>
      <c r="AB828" s="220"/>
      <c r="AC828" s="220"/>
      <c r="AD828" s="220"/>
      <c r="AE828" s="220"/>
      <c r="AF828" s="220"/>
      <c r="AG828" s="220"/>
      <c r="AH828" s="220"/>
      <c r="AI828" s="220"/>
      <c r="AJ828" s="220"/>
      <c r="AK828" s="220"/>
      <c r="AL828" s="220"/>
      <c r="AM828" s="220"/>
      <c r="AN828" s="220"/>
      <c r="AO828" s="220"/>
      <c r="AP828" s="220"/>
      <c r="AQ828" s="220"/>
      <c r="AR828" s="220"/>
      <c r="AS828" s="220"/>
      <c r="AT828" s="220"/>
      <c r="AU828" s="220"/>
      <c r="AV828" s="220"/>
      <c r="AW828" s="220"/>
      <c r="AX828" s="220"/>
      <c r="AY828" s="220"/>
      <c r="AZ828" s="220"/>
    </row>
    <row r="829" ht="15.75" customHeight="1">
      <c r="A829" s="272"/>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c r="AA829" s="220"/>
      <c r="AB829" s="220"/>
      <c r="AC829" s="220"/>
      <c r="AD829" s="220"/>
      <c r="AE829" s="220"/>
      <c r="AF829" s="220"/>
      <c r="AG829" s="220"/>
      <c r="AH829" s="220"/>
      <c r="AI829" s="220"/>
      <c r="AJ829" s="220"/>
      <c r="AK829" s="220"/>
      <c r="AL829" s="220"/>
      <c r="AM829" s="220"/>
      <c r="AN829" s="220"/>
      <c r="AO829" s="220"/>
      <c r="AP829" s="220"/>
      <c r="AQ829" s="220"/>
      <c r="AR829" s="220"/>
      <c r="AS829" s="220"/>
      <c r="AT829" s="220"/>
      <c r="AU829" s="220"/>
      <c r="AV829" s="220"/>
      <c r="AW829" s="220"/>
      <c r="AX829" s="220"/>
      <c r="AY829" s="220"/>
      <c r="AZ829" s="220"/>
    </row>
    <row r="830" ht="15.75" customHeight="1">
      <c r="A830" s="272"/>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c r="AA830" s="220"/>
      <c r="AB830" s="220"/>
      <c r="AC830" s="220"/>
      <c r="AD830" s="220"/>
      <c r="AE830" s="220"/>
      <c r="AF830" s="220"/>
      <c r="AG830" s="220"/>
      <c r="AH830" s="220"/>
      <c r="AI830" s="220"/>
      <c r="AJ830" s="220"/>
      <c r="AK830" s="220"/>
      <c r="AL830" s="220"/>
      <c r="AM830" s="220"/>
      <c r="AN830" s="220"/>
      <c r="AO830" s="220"/>
      <c r="AP830" s="220"/>
      <c r="AQ830" s="220"/>
      <c r="AR830" s="220"/>
      <c r="AS830" s="220"/>
      <c r="AT830" s="220"/>
      <c r="AU830" s="220"/>
      <c r="AV830" s="220"/>
      <c r="AW830" s="220"/>
      <c r="AX830" s="220"/>
      <c r="AY830" s="220"/>
      <c r="AZ830" s="220"/>
    </row>
    <row r="831" ht="15.75" customHeight="1">
      <c r="A831" s="272"/>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c r="AA831" s="220"/>
      <c r="AB831" s="220"/>
      <c r="AC831" s="220"/>
      <c r="AD831" s="220"/>
      <c r="AE831" s="220"/>
      <c r="AF831" s="220"/>
      <c r="AG831" s="220"/>
      <c r="AH831" s="220"/>
      <c r="AI831" s="220"/>
      <c r="AJ831" s="220"/>
      <c r="AK831" s="220"/>
      <c r="AL831" s="220"/>
      <c r="AM831" s="220"/>
      <c r="AN831" s="220"/>
      <c r="AO831" s="220"/>
      <c r="AP831" s="220"/>
      <c r="AQ831" s="220"/>
      <c r="AR831" s="220"/>
      <c r="AS831" s="220"/>
      <c r="AT831" s="220"/>
      <c r="AU831" s="220"/>
      <c r="AV831" s="220"/>
      <c r="AW831" s="220"/>
      <c r="AX831" s="220"/>
      <c r="AY831" s="220"/>
      <c r="AZ831" s="220"/>
    </row>
    <row r="832" ht="15.75" customHeight="1">
      <c r="A832" s="272"/>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c r="AA832" s="220"/>
      <c r="AB832" s="220"/>
      <c r="AC832" s="220"/>
      <c r="AD832" s="220"/>
      <c r="AE832" s="220"/>
      <c r="AF832" s="220"/>
      <c r="AG832" s="220"/>
      <c r="AH832" s="220"/>
      <c r="AI832" s="220"/>
      <c r="AJ832" s="220"/>
      <c r="AK832" s="220"/>
      <c r="AL832" s="220"/>
      <c r="AM832" s="220"/>
      <c r="AN832" s="220"/>
      <c r="AO832" s="220"/>
      <c r="AP832" s="220"/>
      <c r="AQ832" s="220"/>
      <c r="AR832" s="220"/>
      <c r="AS832" s="220"/>
      <c r="AT832" s="220"/>
      <c r="AU832" s="220"/>
      <c r="AV832" s="220"/>
      <c r="AW832" s="220"/>
      <c r="AX832" s="220"/>
      <c r="AY832" s="220"/>
      <c r="AZ832" s="220"/>
    </row>
    <row r="833" ht="15.75" customHeight="1">
      <c r="A833" s="272"/>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c r="AA833" s="220"/>
      <c r="AB833" s="220"/>
      <c r="AC833" s="220"/>
      <c r="AD833" s="220"/>
      <c r="AE833" s="220"/>
      <c r="AF833" s="220"/>
      <c r="AG833" s="220"/>
      <c r="AH833" s="220"/>
      <c r="AI833" s="220"/>
      <c r="AJ833" s="220"/>
      <c r="AK833" s="220"/>
      <c r="AL833" s="220"/>
      <c r="AM833" s="220"/>
      <c r="AN833" s="220"/>
      <c r="AO833" s="220"/>
      <c r="AP833" s="220"/>
      <c r="AQ833" s="220"/>
      <c r="AR833" s="220"/>
      <c r="AS833" s="220"/>
      <c r="AT833" s="220"/>
      <c r="AU833" s="220"/>
      <c r="AV833" s="220"/>
      <c r="AW833" s="220"/>
      <c r="AX833" s="220"/>
      <c r="AY833" s="220"/>
      <c r="AZ833" s="220"/>
    </row>
    <row r="834" ht="15.75" customHeight="1">
      <c r="A834" s="272"/>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c r="AA834" s="220"/>
      <c r="AB834" s="220"/>
      <c r="AC834" s="220"/>
      <c r="AD834" s="220"/>
      <c r="AE834" s="220"/>
      <c r="AF834" s="220"/>
      <c r="AG834" s="220"/>
      <c r="AH834" s="220"/>
      <c r="AI834" s="220"/>
      <c r="AJ834" s="220"/>
      <c r="AK834" s="220"/>
      <c r="AL834" s="220"/>
      <c r="AM834" s="220"/>
      <c r="AN834" s="220"/>
      <c r="AO834" s="220"/>
      <c r="AP834" s="220"/>
      <c r="AQ834" s="220"/>
      <c r="AR834" s="220"/>
      <c r="AS834" s="220"/>
      <c r="AT834" s="220"/>
      <c r="AU834" s="220"/>
      <c r="AV834" s="220"/>
      <c r="AW834" s="220"/>
      <c r="AX834" s="220"/>
      <c r="AY834" s="220"/>
      <c r="AZ834" s="220"/>
    </row>
    <row r="835" ht="15.75" customHeight="1">
      <c r="A835" s="272"/>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c r="AA835" s="220"/>
      <c r="AB835" s="220"/>
      <c r="AC835" s="220"/>
      <c r="AD835" s="220"/>
      <c r="AE835" s="220"/>
      <c r="AF835" s="220"/>
      <c r="AG835" s="220"/>
      <c r="AH835" s="220"/>
      <c r="AI835" s="220"/>
      <c r="AJ835" s="220"/>
      <c r="AK835" s="220"/>
      <c r="AL835" s="220"/>
      <c r="AM835" s="220"/>
      <c r="AN835" s="220"/>
      <c r="AO835" s="220"/>
      <c r="AP835" s="220"/>
      <c r="AQ835" s="220"/>
      <c r="AR835" s="220"/>
      <c r="AS835" s="220"/>
      <c r="AT835" s="220"/>
      <c r="AU835" s="220"/>
      <c r="AV835" s="220"/>
      <c r="AW835" s="220"/>
      <c r="AX835" s="220"/>
      <c r="AY835" s="220"/>
      <c r="AZ835" s="220"/>
    </row>
    <row r="836" ht="15.75" customHeight="1">
      <c r="A836" s="272"/>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c r="AA836" s="220"/>
      <c r="AB836" s="220"/>
      <c r="AC836" s="220"/>
      <c r="AD836" s="220"/>
      <c r="AE836" s="220"/>
      <c r="AF836" s="220"/>
      <c r="AG836" s="220"/>
      <c r="AH836" s="220"/>
      <c r="AI836" s="220"/>
      <c r="AJ836" s="220"/>
      <c r="AK836" s="220"/>
      <c r="AL836" s="220"/>
      <c r="AM836" s="220"/>
      <c r="AN836" s="220"/>
      <c r="AO836" s="220"/>
      <c r="AP836" s="220"/>
      <c r="AQ836" s="220"/>
      <c r="AR836" s="220"/>
      <c r="AS836" s="220"/>
      <c r="AT836" s="220"/>
      <c r="AU836" s="220"/>
      <c r="AV836" s="220"/>
      <c r="AW836" s="220"/>
      <c r="AX836" s="220"/>
      <c r="AY836" s="220"/>
      <c r="AZ836" s="220"/>
    </row>
    <row r="837" ht="15.75" customHeight="1">
      <c r="A837" s="272"/>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c r="AA837" s="220"/>
      <c r="AB837" s="220"/>
      <c r="AC837" s="220"/>
      <c r="AD837" s="220"/>
      <c r="AE837" s="220"/>
      <c r="AF837" s="220"/>
      <c r="AG837" s="220"/>
      <c r="AH837" s="220"/>
      <c r="AI837" s="220"/>
      <c r="AJ837" s="220"/>
      <c r="AK837" s="220"/>
      <c r="AL837" s="220"/>
      <c r="AM837" s="220"/>
      <c r="AN837" s="220"/>
      <c r="AO837" s="220"/>
      <c r="AP837" s="220"/>
      <c r="AQ837" s="220"/>
      <c r="AR837" s="220"/>
      <c r="AS837" s="220"/>
      <c r="AT837" s="220"/>
      <c r="AU837" s="220"/>
      <c r="AV837" s="220"/>
      <c r="AW837" s="220"/>
      <c r="AX837" s="220"/>
      <c r="AY837" s="220"/>
      <c r="AZ837" s="220"/>
    </row>
    <row r="838" ht="15.75" customHeight="1">
      <c r="A838" s="272"/>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c r="AA838" s="220"/>
      <c r="AB838" s="220"/>
      <c r="AC838" s="220"/>
      <c r="AD838" s="220"/>
      <c r="AE838" s="220"/>
      <c r="AF838" s="220"/>
      <c r="AG838" s="220"/>
      <c r="AH838" s="220"/>
      <c r="AI838" s="220"/>
      <c r="AJ838" s="220"/>
      <c r="AK838" s="220"/>
      <c r="AL838" s="220"/>
      <c r="AM838" s="220"/>
      <c r="AN838" s="220"/>
      <c r="AO838" s="220"/>
      <c r="AP838" s="220"/>
      <c r="AQ838" s="220"/>
      <c r="AR838" s="220"/>
      <c r="AS838" s="220"/>
      <c r="AT838" s="220"/>
      <c r="AU838" s="220"/>
      <c r="AV838" s="220"/>
      <c r="AW838" s="220"/>
      <c r="AX838" s="220"/>
      <c r="AY838" s="220"/>
      <c r="AZ838" s="220"/>
    </row>
    <row r="839" ht="15.75" customHeight="1">
      <c r="A839" s="272"/>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c r="AA839" s="220"/>
      <c r="AB839" s="220"/>
      <c r="AC839" s="220"/>
      <c r="AD839" s="220"/>
      <c r="AE839" s="220"/>
      <c r="AF839" s="220"/>
      <c r="AG839" s="220"/>
      <c r="AH839" s="220"/>
      <c r="AI839" s="220"/>
      <c r="AJ839" s="220"/>
      <c r="AK839" s="220"/>
      <c r="AL839" s="220"/>
      <c r="AM839" s="220"/>
      <c r="AN839" s="220"/>
      <c r="AO839" s="220"/>
      <c r="AP839" s="220"/>
      <c r="AQ839" s="220"/>
      <c r="AR839" s="220"/>
      <c r="AS839" s="220"/>
      <c r="AT839" s="220"/>
      <c r="AU839" s="220"/>
      <c r="AV839" s="220"/>
      <c r="AW839" s="220"/>
      <c r="AX839" s="220"/>
      <c r="AY839" s="220"/>
      <c r="AZ839" s="220"/>
    </row>
    <row r="840" ht="15.75" customHeight="1">
      <c r="A840" s="272"/>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c r="AA840" s="220"/>
      <c r="AB840" s="220"/>
      <c r="AC840" s="220"/>
      <c r="AD840" s="220"/>
      <c r="AE840" s="220"/>
      <c r="AF840" s="220"/>
      <c r="AG840" s="220"/>
      <c r="AH840" s="220"/>
      <c r="AI840" s="220"/>
      <c r="AJ840" s="220"/>
      <c r="AK840" s="220"/>
      <c r="AL840" s="220"/>
      <c r="AM840" s="220"/>
      <c r="AN840" s="220"/>
      <c r="AO840" s="220"/>
      <c r="AP840" s="220"/>
      <c r="AQ840" s="220"/>
      <c r="AR840" s="220"/>
      <c r="AS840" s="220"/>
      <c r="AT840" s="220"/>
      <c r="AU840" s="220"/>
      <c r="AV840" s="220"/>
      <c r="AW840" s="220"/>
      <c r="AX840" s="220"/>
      <c r="AY840" s="220"/>
      <c r="AZ840" s="220"/>
    </row>
    <row r="841" ht="15.75" customHeight="1">
      <c r="A841" s="272"/>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c r="AA841" s="220"/>
      <c r="AB841" s="220"/>
      <c r="AC841" s="220"/>
      <c r="AD841" s="220"/>
      <c r="AE841" s="220"/>
      <c r="AF841" s="220"/>
      <c r="AG841" s="220"/>
      <c r="AH841" s="220"/>
      <c r="AI841" s="220"/>
      <c r="AJ841" s="220"/>
      <c r="AK841" s="220"/>
      <c r="AL841" s="220"/>
      <c r="AM841" s="220"/>
      <c r="AN841" s="220"/>
      <c r="AO841" s="220"/>
      <c r="AP841" s="220"/>
      <c r="AQ841" s="220"/>
      <c r="AR841" s="220"/>
      <c r="AS841" s="220"/>
      <c r="AT841" s="220"/>
      <c r="AU841" s="220"/>
      <c r="AV841" s="220"/>
      <c r="AW841" s="220"/>
      <c r="AX841" s="220"/>
      <c r="AY841" s="220"/>
      <c r="AZ841" s="220"/>
    </row>
    <row r="842" ht="15.75" customHeight="1">
      <c r="A842" s="272"/>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c r="AA842" s="220"/>
      <c r="AB842" s="220"/>
      <c r="AC842" s="220"/>
      <c r="AD842" s="220"/>
      <c r="AE842" s="220"/>
      <c r="AF842" s="220"/>
      <c r="AG842" s="220"/>
      <c r="AH842" s="220"/>
      <c r="AI842" s="220"/>
      <c r="AJ842" s="220"/>
      <c r="AK842" s="220"/>
      <c r="AL842" s="220"/>
      <c r="AM842" s="220"/>
      <c r="AN842" s="220"/>
      <c r="AO842" s="220"/>
      <c r="AP842" s="220"/>
      <c r="AQ842" s="220"/>
      <c r="AR842" s="220"/>
      <c r="AS842" s="220"/>
      <c r="AT842" s="220"/>
      <c r="AU842" s="220"/>
      <c r="AV842" s="220"/>
      <c r="AW842" s="220"/>
      <c r="AX842" s="220"/>
      <c r="AY842" s="220"/>
      <c r="AZ842" s="220"/>
    </row>
    <row r="843" ht="15.75" customHeight="1">
      <c r="A843" s="272"/>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c r="AA843" s="220"/>
      <c r="AB843" s="220"/>
      <c r="AC843" s="220"/>
      <c r="AD843" s="220"/>
      <c r="AE843" s="220"/>
      <c r="AF843" s="220"/>
      <c r="AG843" s="220"/>
      <c r="AH843" s="220"/>
      <c r="AI843" s="220"/>
      <c r="AJ843" s="220"/>
      <c r="AK843" s="220"/>
      <c r="AL843" s="220"/>
      <c r="AM843" s="220"/>
      <c r="AN843" s="220"/>
      <c r="AO843" s="220"/>
      <c r="AP843" s="220"/>
      <c r="AQ843" s="220"/>
      <c r="AR843" s="220"/>
      <c r="AS843" s="220"/>
      <c r="AT843" s="220"/>
      <c r="AU843" s="220"/>
      <c r="AV843" s="220"/>
      <c r="AW843" s="220"/>
      <c r="AX843" s="220"/>
      <c r="AY843" s="220"/>
      <c r="AZ843" s="220"/>
    </row>
    <row r="844" ht="15.75" customHeight="1">
      <c r="A844" s="272"/>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c r="AA844" s="220"/>
      <c r="AB844" s="220"/>
      <c r="AC844" s="220"/>
      <c r="AD844" s="220"/>
      <c r="AE844" s="220"/>
      <c r="AF844" s="220"/>
      <c r="AG844" s="220"/>
      <c r="AH844" s="220"/>
      <c r="AI844" s="220"/>
      <c r="AJ844" s="220"/>
      <c r="AK844" s="220"/>
      <c r="AL844" s="220"/>
      <c r="AM844" s="220"/>
      <c r="AN844" s="220"/>
      <c r="AO844" s="220"/>
      <c r="AP844" s="220"/>
      <c r="AQ844" s="220"/>
      <c r="AR844" s="220"/>
      <c r="AS844" s="220"/>
      <c r="AT844" s="220"/>
      <c r="AU844" s="220"/>
      <c r="AV844" s="220"/>
      <c r="AW844" s="220"/>
      <c r="AX844" s="220"/>
      <c r="AY844" s="220"/>
      <c r="AZ844" s="220"/>
    </row>
    <row r="845" ht="15.75" customHeight="1">
      <c r="A845" s="272"/>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c r="AA845" s="220"/>
      <c r="AB845" s="220"/>
      <c r="AC845" s="220"/>
      <c r="AD845" s="220"/>
      <c r="AE845" s="220"/>
      <c r="AF845" s="220"/>
      <c r="AG845" s="220"/>
      <c r="AH845" s="220"/>
      <c r="AI845" s="220"/>
      <c r="AJ845" s="220"/>
      <c r="AK845" s="220"/>
      <c r="AL845" s="220"/>
      <c r="AM845" s="220"/>
      <c r="AN845" s="220"/>
      <c r="AO845" s="220"/>
      <c r="AP845" s="220"/>
      <c r="AQ845" s="220"/>
      <c r="AR845" s="220"/>
      <c r="AS845" s="220"/>
      <c r="AT845" s="220"/>
      <c r="AU845" s="220"/>
      <c r="AV845" s="220"/>
      <c r="AW845" s="220"/>
      <c r="AX845" s="220"/>
      <c r="AY845" s="220"/>
      <c r="AZ845" s="220"/>
    </row>
    <row r="846" ht="15.75" customHeight="1">
      <c r="A846" s="272"/>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c r="AA846" s="220"/>
      <c r="AB846" s="220"/>
      <c r="AC846" s="220"/>
      <c r="AD846" s="220"/>
      <c r="AE846" s="220"/>
      <c r="AF846" s="220"/>
      <c r="AG846" s="220"/>
      <c r="AH846" s="220"/>
      <c r="AI846" s="220"/>
      <c r="AJ846" s="220"/>
      <c r="AK846" s="220"/>
      <c r="AL846" s="220"/>
      <c r="AM846" s="220"/>
      <c r="AN846" s="220"/>
      <c r="AO846" s="220"/>
      <c r="AP846" s="220"/>
      <c r="AQ846" s="220"/>
      <c r="AR846" s="220"/>
      <c r="AS846" s="220"/>
      <c r="AT846" s="220"/>
      <c r="AU846" s="220"/>
      <c r="AV846" s="220"/>
      <c r="AW846" s="220"/>
      <c r="AX846" s="220"/>
      <c r="AY846" s="220"/>
      <c r="AZ846" s="220"/>
    </row>
    <row r="847" ht="15.75" customHeight="1">
      <c r="A847" s="272"/>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c r="AA847" s="220"/>
      <c r="AB847" s="220"/>
      <c r="AC847" s="220"/>
      <c r="AD847" s="220"/>
      <c r="AE847" s="220"/>
      <c r="AF847" s="220"/>
      <c r="AG847" s="220"/>
      <c r="AH847" s="220"/>
      <c r="AI847" s="220"/>
      <c r="AJ847" s="220"/>
      <c r="AK847" s="220"/>
      <c r="AL847" s="220"/>
      <c r="AM847" s="220"/>
      <c r="AN847" s="220"/>
      <c r="AO847" s="220"/>
      <c r="AP847" s="220"/>
      <c r="AQ847" s="220"/>
      <c r="AR847" s="220"/>
      <c r="AS847" s="220"/>
      <c r="AT847" s="220"/>
      <c r="AU847" s="220"/>
      <c r="AV847" s="220"/>
      <c r="AW847" s="220"/>
      <c r="AX847" s="220"/>
      <c r="AY847" s="220"/>
      <c r="AZ847" s="220"/>
    </row>
    <row r="848" ht="15.75" customHeight="1">
      <c r="A848" s="272"/>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c r="AA848" s="220"/>
      <c r="AB848" s="220"/>
      <c r="AC848" s="220"/>
      <c r="AD848" s="220"/>
      <c r="AE848" s="220"/>
      <c r="AF848" s="220"/>
      <c r="AG848" s="220"/>
      <c r="AH848" s="220"/>
      <c r="AI848" s="220"/>
      <c r="AJ848" s="220"/>
      <c r="AK848" s="220"/>
      <c r="AL848" s="220"/>
      <c r="AM848" s="220"/>
      <c r="AN848" s="220"/>
      <c r="AO848" s="220"/>
      <c r="AP848" s="220"/>
      <c r="AQ848" s="220"/>
      <c r="AR848" s="220"/>
      <c r="AS848" s="220"/>
      <c r="AT848" s="220"/>
      <c r="AU848" s="220"/>
      <c r="AV848" s="220"/>
      <c r="AW848" s="220"/>
      <c r="AX848" s="220"/>
      <c r="AY848" s="220"/>
      <c r="AZ848" s="220"/>
    </row>
    <row r="849" ht="15.75" customHeight="1">
      <c r="A849" s="272"/>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c r="AA849" s="220"/>
      <c r="AB849" s="220"/>
      <c r="AC849" s="220"/>
      <c r="AD849" s="220"/>
      <c r="AE849" s="220"/>
      <c r="AF849" s="220"/>
      <c r="AG849" s="220"/>
      <c r="AH849" s="220"/>
      <c r="AI849" s="220"/>
      <c r="AJ849" s="220"/>
      <c r="AK849" s="220"/>
      <c r="AL849" s="220"/>
      <c r="AM849" s="220"/>
      <c r="AN849" s="220"/>
      <c r="AO849" s="220"/>
      <c r="AP849" s="220"/>
      <c r="AQ849" s="220"/>
      <c r="AR849" s="220"/>
      <c r="AS849" s="220"/>
      <c r="AT849" s="220"/>
      <c r="AU849" s="220"/>
      <c r="AV849" s="220"/>
      <c r="AW849" s="220"/>
      <c r="AX849" s="220"/>
      <c r="AY849" s="220"/>
      <c r="AZ849" s="220"/>
    </row>
    <row r="850" ht="15.75" customHeight="1">
      <c r="A850" s="272"/>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c r="AA850" s="220"/>
      <c r="AB850" s="220"/>
      <c r="AC850" s="220"/>
      <c r="AD850" s="220"/>
      <c r="AE850" s="220"/>
      <c r="AF850" s="220"/>
      <c r="AG850" s="220"/>
      <c r="AH850" s="220"/>
      <c r="AI850" s="220"/>
      <c r="AJ850" s="220"/>
      <c r="AK850" s="220"/>
      <c r="AL850" s="220"/>
      <c r="AM850" s="220"/>
      <c r="AN850" s="220"/>
      <c r="AO850" s="220"/>
      <c r="AP850" s="220"/>
      <c r="AQ850" s="220"/>
      <c r="AR850" s="220"/>
      <c r="AS850" s="220"/>
      <c r="AT850" s="220"/>
      <c r="AU850" s="220"/>
      <c r="AV850" s="220"/>
      <c r="AW850" s="220"/>
      <c r="AX850" s="220"/>
      <c r="AY850" s="220"/>
      <c r="AZ850" s="220"/>
    </row>
    <row r="851" ht="15.75" customHeight="1">
      <c r="A851" s="272"/>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c r="AA851" s="220"/>
      <c r="AB851" s="220"/>
      <c r="AC851" s="220"/>
      <c r="AD851" s="220"/>
      <c r="AE851" s="220"/>
      <c r="AF851" s="220"/>
      <c r="AG851" s="220"/>
      <c r="AH851" s="220"/>
      <c r="AI851" s="220"/>
      <c r="AJ851" s="220"/>
      <c r="AK851" s="220"/>
      <c r="AL851" s="220"/>
      <c r="AM851" s="220"/>
      <c r="AN851" s="220"/>
      <c r="AO851" s="220"/>
      <c r="AP851" s="220"/>
      <c r="AQ851" s="220"/>
      <c r="AR851" s="220"/>
      <c r="AS851" s="220"/>
      <c r="AT851" s="220"/>
      <c r="AU851" s="220"/>
      <c r="AV851" s="220"/>
      <c r="AW851" s="220"/>
      <c r="AX851" s="220"/>
      <c r="AY851" s="220"/>
      <c r="AZ851" s="220"/>
    </row>
    <row r="852" ht="15.75" customHeight="1">
      <c r="A852" s="272"/>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c r="AA852" s="220"/>
      <c r="AB852" s="220"/>
      <c r="AC852" s="220"/>
      <c r="AD852" s="220"/>
      <c r="AE852" s="220"/>
      <c r="AF852" s="220"/>
      <c r="AG852" s="220"/>
      <c r="AH852" s="220"/>
      <c r="AI852" s="220"/>
      <c r="AJ852" s="220"/>
      <c r="AK852" s="220"/>
      <c r="AL852" s="220"/>
      <c r="AM852" s="220"/>
      <c r="AN852" s="220"/>
      <c r="AO852" s="220"/>
      <c r="AP852" s="220"/>
      <c r="AQ852" s="220"/>
      <c r="AR852" s="220"/>
      <c r="AS852" s="220"/>
      <c r="AT852" s="220"/>
      <c r="AU852" s="220"/>
      <c r="AV852" s="220"/>
      <c r="AW852" s="220"/>
      <c r="AX852" s="220"/>
      <c r="AY852" s="220"/>
      <c r="AZ852" s="220"/>
    </row>
    <row r="853" ht="15.75" customHeight="1">
      <c r="A853" s="272"/>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c r="AA853" s="220"/>
      <c r="AB853" s="220"/>
      <c r="AC853" s="220"/>
      <c r="AD853" s="220"/>
      <c r="AE853" s="220"/>
      <c r="AF853" s="220"/>
      <c r="AG853" s="220"/>
      <c r="AH853" s="220"/>
      <c r="AI853" s="220"/>
      <c r="AJ853" s="220"/>
      <c r="AK853" s="220"/>
      <c r="AL853" s="220"/>
      <c r="AM853" s="220"/>
      <c r="AN853" s="220"/>
      <c r="AO853" s="220"/>
      <c r="AP853" s="220"/>
      <c r="AQ853" s="220"/>
      <c r="AR853" s="220"/>
      <c r="AS853" s="220"/>
      <c r="AT853" s="220"/>
      <c r="AU853" s="220"/>
      <c r="AV853" s="220"/>
      <c r="AW853" s="220"/>
      <c r="AX853" s="220"/>
      <c r="AY853" s="220"/>
      <c r="AZ853" s="220"/>
    </row>
    <row r="854" ht="15.75" customHeight="1">
      <c r="A854" s="272"/>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c r="AA854" s="220"/>
      <c r="AB854" s="220"/>
      <c r="AC854" s="220"/>
      <c r="AD854" s="220"/>
      <c r="AE854" s="220"/>
      <c r="AF854" s="220"/>
      <c r="AG854" s="220"/>
      <c r="AH854" s="220"/>
      <c r="AI854" s="220"/>
      <c r="AJ854" s="220"/>
      <c r="AK854" s="220"/>
      <c r="AL854" s="220"/>
      <c r="AM854" s="220"/>
      <c r="AN854" s="220"/>
      <c r="AO854" s="220"/>
      <c r="AP854" s="220"/>
      <c r="AQ854" s="220"/>
      <c r="AR854" s="220"/>
      <c r="AS854" s="220"/>
      <c r="AT854" s="220"/>
      <c r="AU854" s="220"/>
      <c r="AV854" s="220"/>
      <c r="AW854" s="220"/>
      <c r="AX854" s="220"/>
      <c r="AY854" s="220"/>
      <c r="AZ854" s="220"/>
    </row>
    <row r="855" ht="15.75" customHeight="1">
      <c r="A855" s="272"/>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c r="AA855" s="220"/>
      <c r="AB855" s="220"/>
      <c r="AC855" s="220"/>
      <c r="AD855" s="220"/>
      <c r="AE855" s="220"/>
      <c r="AF855" s="220"/>
      <c r="AG855" s="220"/>
      <c r="AH855" s="220"/>
      <c r="AI855" s="220"/>
      <c r="AJ855" s="220"/>
      <c r="AK855" s="220"/>
      <c r="AL855" s="220"/>
      <c r="AM855" s="220"/>
      <c r="AN855" s="220"/>
      <c r="AO855" s="220"/>
      <c r="AP855" s="220"/>
      <c r="AQ855" s="220"/>
      <c r="AR855" s="220"/>
      <c r="AS855" s="220"/>
      <c r="AT855" s="220"/>
      <c r="AU855" s="220"/>
      <c r="AV855" s="220"/>
      <c r="AW855" s="220"/>
      <c r="AX855" s="220"/>
      <c r="AY855" s="220"/>
      <c r="AZ855" s="220"/>
    </row>
    <row r="856" ht="15.75" customHeight="1">
      <c r="A856" s="272"/>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c r="AA856" s="220"/>
      <c r="AB856" s="220"/>
      <c r="AC856" s="220"/>
      <c r="AD856" s="220"/>
      <c r="AE856" s="220"/>
      <c r="AF856" s="220"/>
      <c r="AG856" s="220"/>
      <c r="AH856" s="220"/>
      <c r="AI856" s="220"/>
      <c r="AJ856" s="220"/>
      <c r="AK856" s="220"/>
      <c r="AL856" s="220"/>
      <c r="AM856" s="220"/>
      <c r="AN856" s="220"/>
      <c r="AO856" s="220"/>
      <c r="AP856" s="220"/>
      <c r="AQ856" s="220"/>
      <c r="AR856" s="220"/>
      <c r="AS856" s="220"/>
      <c r="AT856" s="220"/>
      <c r="AU856" s="220"/>
      <c r="AV856" s="220"/>
      <c r="AW856" s="220"/>
      <c r="AX856" s="220"/>
      <c r="AY856" s="220"/>
      <c r="AZ856" s="220"/>
    </row>
    <row r="857" ht="15.75" customHeight="1">
      <c r="A857" s="272"/>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c r="AA857" s="220"/>
      <c r="AB857" s="220"/>
      <c r="AC857" s="220"/>
      <c r="AD857" s="220"/>
      <c r="AE857" s="220"/>
      <c r="AF857" s="220"/>
      <c r="AG857" s="220"/>
      <c r="AH857" s="220"/>
      <c r="AI857" s="220"/>
      <c r="AJ857" s="220"/>
      <c r="AK857" s="220"/>
      <c r="AL857" s="220"/>
      <c r="AM857" s="220"/>
      <c r="AN857" s="220"/>
      <c r="AO857" s="220"/>
      <c r="AP857" s="220"/>
      <c r="AQ857" s="220"/>
      <c r="AR857" s="220"/>
      <c r="AS857" s="220"/>
      <c r="AT857" s="220"/>
      <c r="AU857" s="220"/>
      <c r="AV857" s="220"/>
      <c r="AW857" s="220"/>
      <c r="AX857" s="220"/>
      <c r="AY857" s="220"/>
      <c r="AZ857" s="220"/>
    </row>
    <row r="858" ht="15.75" customHeight="1">
      <c r="A858" s="272"/>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c r="AA858" s="220"/>
      <c r="AB858" s="220"/>
      <c r="AC858" s="220"/>
      <c r="AD858" s="220"/>
      <c r="AE858" s="220"/>
      <c r="AF858" s="220"/>
      <c r="AG858" s="220"/>
      <c r="AH858" s="220"/>
      <c r="AI858" s="220"/>
      <c r="AJ858" s="220"/>
      <c r="AK858" s="220"/>
      <c r="AL858" s="220"/>
      <c r="AM858" s="220"/>
      <c r="AN858" s="220"/>
      <c r="AO858" s="220"/>
      <c r="AP858" s="220"/>
      <c r="AQ858" s="220"/>
      <c r="AR858" s="220"/>
      <c r="AS858" s="220"/>
      <c r="AT858" s="220"/>
      <c r="AU858" s="220"/>
      <c r="AV858" s="220"/>
      <c r="AW858" s="220"/>
      <c r="AX858" s="220"/>
      <c r="AY858" s="220"/>
      <c r="AZ858" s="220"/>
    </row>
    <row r="859" ht="15.75" customHeight="1">
      <c r="A859" s="272"/>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c r="AA859" s="220"/>
      <c r="AB859" s="220"/>
      <c r="AC859" s="220"/>
      <c r="AD859" s="220"/>
      <c r="AE859" s="220"/>
      <c r="AF859" s="220"/>
      <c r="AG859" s="220"/>
      <c r="AH859" s="220"/>
      <c r="AI859" s="220"/>
      <c r="AJ859" s="220"/>
      <c r="AK859" s="220"/>
      <c r="AL859" s="220"/>
      <c r="AM859" s="220"/>
      <c r="AN859" s="220"/>
      <c r="AO859" s="220"/>
      <c r="AP859" s="220"/>
      <c r="AQ859" s="220"/>
      <c r="AR859" s="220"/>
      <c r="AS859" s="220"/>
      <c r="AT859" s="220"/>
      <c r="AU859" s="220"/>
      <c r="AV859" s="220"/>
      <c r="AW859" s="220"/>
      <c r="AX859" s="220"/>
      <c r="AY859" s="220"/>
      <c r="AZ859" s="220"/>
    </row>
    <row r="860" ht="15.75" customHeight="1">
      <c r="A860" s="272"/>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c r="AA860" s="220"/>
      <c r="AB860" s="220"/>
      <c r="AC860" s="220"/>
      <c r="AD860" s="220"/>
      <c r="AE860" s="220"/>
      <c r="AF860" s="220"/>
      <c r="AG860" s="220"/>
      <c r="AH860" s="220"/>
      <c r="AI860" s="220"/>
      <c r="AJ860" s="220"/>
      <c r="AK860" s="220"/>
      <c r="AL860" s="220"/>
      <c r="AM860" s="220"/>
      <c r="AN860" s="220"/>
      <c r="AO860" s="220"/>
      <c r="AP860" s="220"/>
      <c r="AQ860" s="220"/>
      <c r="AR860" s="220"/>
      <c r="AS860" s="220"/>
      <c r="AT860" s="220"/>
      <c r="AU860" s="220"/>
      <c r="AV860" s="220"/>
      <c r="AW860" s="220"/>
      <c r="AX860" s="220"/>
      <c r="AY860" s="220"/>
      <c r="AZ860" s="220"/>
    </row>
    <row r="861" ht="15.75" customHeight="1">
      <c r="A861" s="272"/>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c r="AA861" s="220"/>
      <c r="AB861" s="220"/>
      <c r="AC861" s="220"/>
      <c r="AD861" s="220"/>
      <c r="AE861" s="220"/>
      <c r="AF861" s="220"/>
      <c r="AG861" s="220"/>
      <c r="AH861" s="220"/>
      <c r="AI861" s="220"/>
      <c r="AJ861" s="220"/>
      <c r="AK861" s="220"/>
      <c r="AL861" s="220"/>
      <c r="AM861" s="220"/>
      <c r="AN861" s="220"/>
      <c r="AO861" s="220"/>
      <c r="AP861" s="220"/>
      <c r="AQ861" s="220"/>
      <c r="AR861" s="220"/>
      <c r="AS861" s="220"/>
      <c r="AT861" s="220"/>
      <c r="AU861" s="220"/>
      <c r="AV861" s="220"/>
      <c r="AW861" s="220"/>
      <c r="AX861" s="220"/>
      <c r="AY861" s="220"/>
      <c r="AZ861" s="220"/>
    </row>
    <row r="862" ht="15.75" customHeight="1">
      <c r="A862" s="272"/>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c r="AA862" s="220"/>
      <c r="AB862" s="220"/>
      <c r="AC862" s="220"/>
      <c r="AD862" s="220"/>
      <c r="AE862" s="220"/>
      <c r="AF862" s="220"/>
      <c r="AG862" s="220"/>
      <c r="AH862" s="220"/>
      <c r="AI862" s="220"/>
      <c r="AJ862" s="220"/>
      <c r="AK862" s="220"/>
      <c r="AL862" s="220"/>
      <c r="AM862" s="220"/>
      <c r="AN862" s="220"/>
      <c r="AO862" s="220"/>
      <c r="AP862" s="220"/>
      <c r="AQ862" s="220"/>
      <c r="AR862" s="220"/>
      <c r="AS862" s="220"/>
      <c r="AT862" s="220"/>
      <c r="AU862" s="220"/>
      <c r="AV862" s="220"/>
      <c r="AW862" s="220"/>
      <c r="AX862" s="220"/>
      <c r="AY862" s="220"/>
      <c r="AZ862" s="220"/>
    </row>
    <row r="863" ht="15.75" customHeight="1">
      <c r="A863" s="272"/>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c r="AA863" s="220"/>
      <c r="AB863" s="220"/>
      <c r="AC863" s="220"/>
      <c r="AD863" s="220"/>
      <c r="AE863" s="220"/>
      <c r="AF863" s="220"/>
      <c r="AG863" s="220"/>
      <c r="AH863" s="220"/>
      <c r="AI863" s="220"/>
      <c r="AJ863" s="220"/>
      <c r="AK863" s="220"/>
      <c r="AL863" s="220"/>
      <c r="AM863" s="220"/>
      <c r="AN863" s="220"/>
      <c r="AO863" s="220"/>
      <c r="AP863" s="220"/>
      <c r="AQ863" s="220"/>
      <c r="AR863" s="220"/>
      <c r="AS863" s="220"/>
      <c r="AT863" s="220"/>
      <c r="AU863" s="220"/>
      <c r="AV863" s="220"/>
      <c r="AW863" s="220"/>
      <c r="AX863" s="220"/>
      <c r="AY863" s="220"/>
      <c r="AZ863" s="220"/>
    </row>
    <row r="864" ht="15.75" customHeight="1">
      <c r="A864" s="272"/>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c r="AA864" s="220"/>
      <c r="AB864" s="220"/>
      <c r="AC864" s="220"/>
      <c r="AD864" s="220"/>
      <c r="AE864" s="220"/>
      <c r="AF864" s="220"/>
      <c r="AG864" s="220"/>
      <c r="AH864" s="220"/>
      <c r="AI864" s="220"/>
      <c r="AJ864" s="220"/>
      <c r="AK864" s="220"/>
      <c r="AL864" s="220"/>
      <c r="AM864" s="220"/>
      <c r="AN864" s="220"/>
      <c r="AO864" s="220"/>
      <c r="AP864" s="220"/>
      <c r="AQ864" s="220"/>
      <c r="AR864" s="220"/>
      <c r="AS864" s="220"/>
      <c r="AT864" s="220"/>
      <c r="AU864" s="220"/>
      <c r="AV864" s="220"/>
      <c r="AW864" s="220"/>
      <c r="AX864" s="220"/>
      <c r="AY864" s="220"/>
      <c r="AZ864" s="220"/>
    </row>
    <row r="865" ht="15.75" customHeight="1">
      <c r="A865" s="272"/>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c r="AA865" s="220"/>
      <c r="AB865" s="220"/>
      <c r="AC865" s="220"/>
      <c r="AD865" s="220"/>
      <c r="AE865" s="220"/>
      <c r="AF865" s="220"/>
      <c r="AG865" s="220"/>
      <c r="AH865" s="220"/>
      <c r="AI865" s="220"/>
      <c r="AJ865" s="220"/>
      <c r="AK865" s="220"/>
      <c r="AL865" s="220"/>
      <c r="AM865" s="220"/>
      <c r="AN865" s="220"/>
      <c r="AO865" s="220"/>
      <c r="AP865" s="220"/>
      <c r="AQ865" s="220"/>
      <c r="AR865" s="220"/>
      <c r="AS865" s="220"/>
      <c r="AT865" s="220"/>
      <c r="AU865" s="220"/>
      <c r="AV865" s="220"/>
      <c r="AW865" s="220"/>
      <c r="AX865" s="220"/>
      <c r="AY865" s="220"/>
      <c r="AZ865" s="220"/>
    </row>
    <row r="866" ht="15.75" customHeight="1">
      <c r="A866" s="272"/>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c r="AA866" s="220"/>
      <c r="AB866" s="220"/>
      <c r="AC866" s="220"/>
      <c r="AD866" s="220"/>
      <c r="AE866" s="220"/>
      <c r="AF866" s="220"/>
      <c r="AG866" s="220"/>
      <c r="AH866" s="220"/>
      <c r="AI866" s="220"/>
      <c r="AJ866" s="220"/>
      <c r="AK866" s="220"/>
      <c r="AL866" s="220"/>
      <c r="AM866" s="220"/>
      <c r="AN866" s="220"/>
      <c r="AO866" s="220"/>
      <c r="AP866" s="220"/>
      <c r="AQ866" s="220"/>
      <c r="AR866" s="220"/>
      <c r="AS866" s="220"/>
      <c r="AT866" s="220"/>
      <c r="AU866" s="220"/>
      <c r="AV866" s="220"/>
      <c r="AW866" s="220"/>
      <c r="AX866" s="220"/>
      <c r="AY866" s="220"/>
      <c r="AZ866" s="220"/>
    </row>
    <row r="867" ht="15.75" customHeight="1">
      <c r="A867" s="272"/>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c r="AA867" s="220"/>
      <c r="AB867" s="220"/>
      <c r="AC867" s="220"/>
      <c r="AD867" s="220"/>
      <c r="AE867" s="220"/>
      <c r="AF867" s="220"/>
      <c r="AG867" s="220"/>
      <c r="AH867" s="220"/>
      <c r="AI867" s="220"/>
      <c r="AJ867" s="220"/>
      <c r="AK867" s="220"/>
      <c r="AL867" s="220"/>
      <c r="AM867" s="220"/>
      <c r="AN867" s="220"/>
      <c r="AO867" s="220"/>
      <c r="AP867" s="220"/>
      <c r="AQ867" s="220"/>
      <c r="AR867" s="220"/>
      <c r="AS867" s="220"/>
      <c r="AT867" s="220"/>
      <c r="AU867" s="220"/>
      <c r="AV867" s="220"/>
      <c r="AW867" s="220"/>
      <c r="AX867" s="220"/>
      <c r="AY867" s="220"/>
      <c r="AZ867" s="220"/>
    </row>
    <row r="868" ht="15.75" customHeight="1">
      <c r="A868" s="272"/>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c r="AA868" s="220"/>
      <c r="AB868" s="220"/>
      <c r="AC868" s="220"/>
      <c r="AD868" s="220"/>
      <c r="AE868" s="220"/>
      <c r="AF868" s="220"/>
      <c r="AG868" s="220"/>
      <c r="AH868" s="220"/>
      <c r="AI868" s="220"/>
      <c r="AJ868" s="220"/>
      <c r="AK868" s="220"/>
      <c r="AL868" s="220"/>
      <c r="AM868" s="220"/>
      <c r="AN868" s="220"/>
      <c r="AO868" s="220"/>
      <c r="AP868" s="220"/>
      <c r="AQ868" s="220"/>
      <c r="AR868" s="220"/>
      <c r="AS868" s="220"/>
      <c r="AT868" s="220"/>
      <c r="AU868" s="220"/>
      <c r="AV868" s="220"/>
      <c r="AW868" s="220"/>
      <c r="AX868" s="220"/>
      <c r="AY868" s="220"/>
      <c r="AZ868" s="220"/>
    </row>
    <row r="869" ht="15.75" customHeight="1">
      <c r="A869" s="272"/>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c r="AA869" s="220"/>
      <c r="AB869" s="220"/>
      <c r="AC869" s="220"/>
      <c r="AD869" s="220"/>
      <c r="AE869" s="220"/>
      <c r="AF869" s="220"/>
      <c r="AG869" s="220"/>
      <c r="AH869" s="220"/>
      <c r="AI869" s="220"/>
      <c r="AJ869" s="220"/>
      <c r="AK869" s="220"/>
      <c r="AL869" s="220"/>
      <c r="AM869" s="220"/>
      <c r="AN869" s="220"/>
      <c r="AO869" s="220"/>
      <c r="AP869" s="220"/>
      <c r="AQ869" s="220"/>
      <c r="AR869" s="220"/>
      <c r="AS869" s="220"/>
      <c r="AT869" s="220"/>
      <c r="AU869" s="220"/>
      <c r="AV869" s="220"/>
      <c r="AW869" s="220"/>
      <c r="AX869" s="220"/>
      <c r="AY869" s="220"/>
      <c r="AZ869" s="220"/>
    </row>
    <row r="870" ht="15.75" customHeight="1">
      <c r="A870" s="272"/>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c r="AA870" s="220"/>
      <c r="AB870" s="220"/>
      <c r="AC870" s="220"/>
      <c r="AD870" s="220"/>
      <c r="AE870" s="220"/>
      <c r="AF870" s="220"/>
      <c r="AG870" s="220"/>
      <c r="AH870" s="220"/>
      <c r="AI870" s="220"/>
      <c r="AJ870" s="220"/>
      <c r="AK870" s="220"/>
      <c r="AL870" s="220"/>
      <c r="AM870" s="220"/>
      <c r="AN870" s="220"/>
      <c r="AO870" s="220"/>
      <c r="AP870" s="220"/>
      <c r="AQ870" s="220"/>
      <c r="AR870" s="220"/>
      <c r="AS870" s="220"/>
      <c r="AT870" s="220"/>
      <c r="AU870" s="220"/>
      <c r="AV870" s="220"/>
      <c r="AW870" s="220"/>
      <c r="AX870" s="220"/>
      <c r="AY870" s="220"/>
      <c r="AZ870" s="220"/>
    </row>
    <row r="871" ht="15.75" customHeight="1">
      <c r="A871" s="272"/>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c r="AA871" s="220"/>
      <c r="AB871" s="220"/>
      <c r="AC871" s="220"/>
      <c r="AD871" s="220"/>
      <c r="AE871" s="220"/>
      <c r="AF871" s="220"/>
      <c r="AG871" s="220"/>
      <c r="AH871" s="220"/>
      <c r="AI871" s="220"/>
      <c r="AJ871" s="220"/>
      <c r="AK871" s="220"/>
      <c r="AL871" s="220"/>
      <c r="AM871" s="220"/>
      <c r="AN871" s="220"/>
      <c r="AO871" s="220"/>
      <c r="AP871" s="220"/>
      <c r="AQ871" s="220"/>
      <c r="AR871" s="220"/>
      <c r="AS871" s="220"/>
      <c r="AT871" s="220"/>
      <c r="AU871" s="220"/>
      <c r="AV871" s="220"/>
      <c r="AW871" s="220"/>
      <c r="AX871" s="220"/>
      <c r="AY871" s="220"/>
      <c r="AZ871" s="220"/>
    </row>
    <row r="872" ht="15.75" customHeight="1">
      <c r="A872" s="272"/>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c r="AA872" s="220"/>
      <c r="AB872" s="220"/>
      <c r="AC872" s="220"/>
      <c r="AD872" s="220"/>
      <c r="AE872" s="220"/>
      <c r="AF872" s="220"/>
      <c r="AG872" s="220"/>
      <c r="AH872" s="220"/>
      <c r="AI872" s="220"/>
      <c r="AJ872" s="220"/>
      <c r="AK872" s="220"/>
      <c r="AL872" s="220"/>
      <c r="AM872" s="220"/>
      <c r="AN872" s="220"/>
      <c r="AO872" s="220"/>
      <c r="AP872" s="220"/>
      <c r="AQ872" s="220"/>
      <c r="AR872" s="220"/>
      <c r="AS872" s="220"/>
      <c r="AT872" s="220"/>
      <c r="AU872" s="220"/>
      <c r="AV872" s="220"/>
      <c r="AW872" s="220"/>
      <c r="AX872" s="220"/>
      <c r="AY872" s="220"/>
      <c r="AZ872" s="220"/>
    </row>
    <row r="873" ht="15.75" customHeight="1">
      <c r="A873" s="272"/>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c r="AA873" s="220"/>
      <c r="AB873" s="220"/>
      <c r="AC873" s="220"/>
      <c r="AD873" s="220"/>
      <c r="AE873" s="220"/>
      <c r="AF873" s="220"/>
      <c r="AG873" s="220"/>
      <c r="AH873" s="220"/>
      <c r="AI873" s="220"/>
      <c r="AJ873" s="220"/>
      <c r="AK873" s="220"/>
      <c r="AL873" s="220"/>
      <c r="AM873" s="220"/>
      <c r="AN873" s="220"/>
      <c r="AO873" s="220"/>
      <c r="AP873" s="220"/>
      <c r="AQ873" s="220"/>
      <c r="AR873" s="220"/>
      <c r="AS873" s="220"/>
      <c r="AT873" s="220"/>
      <c r="AU873" s="220"/>
      <c r="AV873" s="220"/>
      <c r="AW873" s="220"/>
      <c r="AX873" s="220"/>
      <c r="AY873" s="220"/>
      <c r="AZ873" s="220"/>
    </row>
    <row r="874" ht="15.75" customHeight="1">
      <c r="A874" s="272"/>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c r="AA874" s="220"/>
      <c r="AB874" s="220"/>
      <c r="AC874" s="220"/>
      <c r="AD874" s="220"/>
      <c r="AE874" s="220"/>
      <c r="AF874" s="220"/>
      <c r="AG874" s="220"/>
      <c r="AH874" s="220"/>
      <c r="AI874" s="220"/>
      <c r="AJ874" s="220"/>
      <c r="AK874" s="220"/>
      <c r="AL874" s="220"/>
      <c r="AM874" s="220"/>
      <c r="AN874" s="220"/>
      <c r="AO874" s="220"/>
      <c r="AP874" s="220"/>
      <c r="AQ874" s="220"/>
      <c r="AR874" s="220"/>
      <c r="AS874" s="220"/>
      <c r="AT874" s="220"/>
      <c r="AU874" s="220"/>
      <c r="AV874" s="220"/>
      <c r="AW874" s="220"/>
      <c r="AX874" s="220"/>
      <c r="AY874" s="220"/>
      <c r="AZ874" s="220"/>
    </row>
    <row r="875" ht="15.75" customHeight="1">
      <c r="A875" s="272"/>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c r="AA875" s="220"/>
      <c r="AB875" s="220"/>
      <c r="AC875" s="220"/>
      <c r="AD875" s="220"/>
      <c r="AE875" s="220"/>
      <c r="AF875" s="220"/>
      <c r="AG875" s="220"/>
      <c r="AH875" s="220"/>
      <c r="AI875" s="220"/>
      <c r="AJ875" s="220"/>
      <c r="AK875" s="220"/>
      <c r="AL875" s="220"/>
      <c r="AM875" s="220"/>
      <c r="AN875" s="220"/>
      <c r="AO875" s="220"/>
      <c r="AP875" s="220"/>
      <c r="AQ875" s="220"/>
      <c r="AR875" s="220"/>
      <c r="AS875" s="220"/>
      <c r="AT875" s="220"/>
      <c r="AU875" s="220"/>
      <c r="AV875" s="220"/>
      <c r="AW875" s="220"/>
      <c r="AX875" s="220"/>
      <c r="AY875" s="220"/>
      <c r="AZ875" s="220"/>
    </row>
    <row r="876" ht="15.75" customHeight="1">
      <c r="A876" s="272"/>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c r="AA876" s="220"/>
      <c r="AB876" s="220"/>
      <c r="AC876" s="220"/>
      <c r="AD876" s="220"/>
      <c r="AE876" s="220"/>
      <c r="AF876" s="220"/>
      <c r="AG876" s="220"/>
      <c r="AH876" s="220"/>
      <c r="AI876" s="220"/>
      <c r="AJ876" s="220"/>
      <c r="AK876" s="220"/>
      <c r="AL876" s="220"/>
      <c r="AM876" s="220"/>
      <c r="AN876" s="220"/>
      <c r="AO876" s="220"/>
      <c r="AP876" s="220"/>
      <c r="AQ876" s="220"/>
      <c r="AR876" s="220"/>
      <c r="AS876" s="220"/>
      <c r="AT876" s="220"/>
      <c r="AU876" s="220"/>
      <c r="AV876" s="220"/>
      <c r="AW876" s="220"/>
      <c r="AX876" s="220"/>
      <c r="AY876" s="220"/>
      <c r="AZ876" s="220"/>
    </row>
    <row r="877" ht="15.75" customHeight="1">
      <c r="A877" s="272"/>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c r="AA877" s="220"/>
      <c r="AB877" s="220"/>
      <c r="AC877" s="220"/>
      <c r="AD877" s="220"/>
      <c r="AE877" s="220"/>
      <c r="AF877" s="220"/>
      <c r="AG877" s="220"/>
      <c r="AH877" s="220"/>
      <c r="AI877" s="220"/>
      <c r="AJ877" s="220"/>
      <c r="AK877" s="220"/>
      <c r="AL877" s="220"/>
      <c r="AM877" s="220"/>
      <c r="AN877" s="220"/>
      <c r="AO877" s="220"/>
      <c r="AP877" s="220"/>
      <c r="AQ877" s="220"/>
      <c r="AR877" s="220"/>
      <c r="AS877" s="220"/>
      <c r="AT877" s="220"/>
      <c r="AU877" s="220"/>
      <c r="AV877" s="220"/>
      <c r="AW877" s="220"/>
      <c r="AX877" s="220"/>
      <c r="AY877" s="220"/>
      <c r="AZ877" s="220"/>
    </row>
    <row r="878" ht="15.75" customHeight="1">
      <c r="A878" s="272"/>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c r="AA878" s="220"/>
      <c r="AB878" s="220"/>
      <c r="AC878" s="220"/>
      <c r="AD878" s="220"/>
      <c r="AE878" s="220"/>
      <c r="AF878" s="220"/>
      <c r="AG878" s="220"/>
      <c r="AH878" s="220"/>
      <c r="AI878" s="220"/>
      <c r="AJ878" s="220"/>
      <c r="AK878" s="220"/>
      <c r="AL878" s="220"/>
      <c r="AM878" s="220"/>
      <c r="AN878" s="220"/>
      <c r="AO878" s="220"/>
      <c r="AP878" s="220"/>
      <c r="AQ878" s="220"/>
      <c r="AR878" s="220"/>
      <c r="AS878" s="220"/>
      <c r="AT878" s="220"/>
      <c r="AU878" s="220"/>
      <c r="AV878" s="220"/>
      <c r="AW878" s="220"/>
      <c r="AX878" s="220"/>
      <c r="AY878" s="220"/>
      <c r="AZ878" s="220"/>
    </row>
    <row r="879" ht="15.75" customHeight="1">
      <c r="A879" s="272"/>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c r="AA879" s="220"/>
      <c r="AB879" s="220"/>
      <c r="AC879" s="220"/>
      <c r="AD879" s="220"/>
      <c r="AE879" s="220"/>
      <c r="AF879" s="220"/>
      <c r="AG879" s="220"/>
      <c r="AH879" s="220"/>
      <c r="AI879" s="220"/>
      <c r="AJ879" s="220"/>
      <c r="AK879" s="220"/>
      <c r="AL879" s="220"/>
      <c r="AM879" s="220"/>
      <c r="AN879" s="220"/>
      <c r="AO879" s="220"/>
      <c r="AP879" s="220"/>
      <c r="AQ879" s="220"/>
      <c r="AR879" s="220"/>
      <c r="AS879" s="220"/>
      <c r="AT879" s="220"/>
      <c r="AU879" s="220"/>
      <c r="AV879" s="220"/>
      <c r="AW879" s="220"/>
      <c r="AX879" s="220"/>
      <c r="AY879" s="220"/>
      <c r="AZ879" s="220"/>
    </row>
    <row r="880" ht="15.75" customHeight="1">
      <c r="A880" s="272"/>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c r="AA880" s="220"/>
      <c r="AB880" s="220"/>
      <c r="AC880" s="220"/>
      <c r="AD880" s="220"/>
      <c r="AE880" s="220"/>
      <c r="AF880" s="220"/>
      <c r="AG880" s="220"/>
      <c r="AH880" s="220"/>
      <c r="AI880" s="220"/>
      <c r="AJ880" s="220"/>
      <c r="AK880" s="220"/>
      <c r="AL880" s="220"/>
      <c r="AM880" s="220"/>
      <c r="AN880" s="220"/>
      <c r="AO880" s="220"/>
      <c r="AP880" s="220"/>
      <c r="AQ880" s="220"/>
      <c r="AR880" s="220"/>
      <c r="AS880" s="220"/>
      <c r="AT880" s="220"/>
      <c r="AU880" s="220"/>
      <c r="AV880" s="220"/>
      <c r="AW880" s="220"/>
      <c r="AX880" s="220"/>
      <c r="AY880" s="220"/>
      <c r="AZ880" s="220"/>
    </row>
    <row r="881" ht="15.75" customHeight="1">
      <c r="A881" s="272"/>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c r="AA881" s="220"/>
      <c r="AB881" s="220"/>
      <c r="AC881" s="220"/>
      <c r="AD881" s="220"/>
      <c r="AE881" s="220"/>
      <c r="AF881" s="220"/>
      <c r="AG881" s="220"/>
      <c r="AH881" s="220"/>
      <c r="AI881" s="220"/>
      <c r="AJ881" s="220"/>
      <c r="AK881" s="220"/>
      <c r="AL881" s="220"/>
      <c r="AM881" s="220"/>
      <c r="AN881" s="220"/>
      <c r="AO881" s="220"/>
      <c r="AP881" s="220"/>
      <c r="AQ881" s="220"/>
      <c r="AR881" s="220"/>
      <c r="AS881" s="220"/>
      <c r="AT881" s="220"/>
      <c r="AU881" s="220"/>
      <c r="AV881" s="220"/>
      <c r="AW881" s="220"/>
      <c r="AX881" s="220"/>
      <c r="AY881" s="220"/>
      <c r="AZ881" s="220"/>
    </row>
    <row r="882" ht="15.75" customHeight="1">
      <c r="A882" s="272"/>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c r="AA882" s="220"/>
      <c r="AB882" s="220"/>
      <c r="AC882" s="220"/>
      <c r="AD882" s="220"/>
      <c r="AE882" s="220"/>
      <c r="AF882" s="220"/>
      <c r="AG882" s="220"/>
      <c r="AH882" s="220"/>
      <c r="AI882" s="220"/>
      <c r="AJ882" s="220"/>
      <c r="AK882" s="220"/>
      <c r="AL882" s="220"/>
      <c r="AM882" s="220"/>
      <c r="AN882" s="220"/>
      <c r="AO882" s="220"/>
      <c r="AP882" s="220"/>
      <c r="AQ882" s="220"/>
      <c r="AR882" s="220"/>
      <c r="AS882" s="220"/>
      <c r="AT882" s="220"/>
      <c r="AU882" s="220"/>
      <c r="AV882" s="220"/>
      <c r="AW882" s="220"/>
      <c r="AX882" s="220"/>
      <c r="AY882" s="220"/>
      <c r="AZ882" s="220"/>
    </row>
    <row r="883" ht="15.75" customHeight="1">
      <c r="A883" s="272"/>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c r="AA883" s="220"/>
      <c r="AB883" s="220"/>
      <c r="AC883" s="220"/>
      <c r="AD883" s="220"/>
      <c r="AE883" s="220"/>
      <c r="AF883" s="220"/>
      <c r="AG883" s="220"/>
      <c r="AH883" s="220"/>
      <c r="AI883" s="220"/>
      <c r="AJ883" s="220"/>
      <c r="AK883" s="220"/>
      <c r="AL883" s="220"/>
      <c r="AM883" s="220"/>
      <c r="AN883" s="220"/>
      <c r="AO883" s="220"/>
      <c r="AP883" s="220"/>
      <c r="AQ883" s="220"/>
      <c r="AR883" s="220"/>
      <c r="AS883" s="220"/>
      <c r="AT883" s="220"/>
      <c r="AU883" s="220"/>
      <c r="AV883" s="220"/>
      <c r="AW883" s="220"/>
      <c r="AX883" s="220"/>
      <c r="AY883" s="220"/>
      <c r="AZ883" s="220"/>
    </row>
    <row r="884" ht="15.75" customHeight="1">
      <c r="A884" s="272"/>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c r="AA884" s="220"/>
      <c r="AB884" s="220"/>
      <c r="AC884" s="220"/>
      <c r="AD884" s="220"/>
      <c r="AE884" s="220"/>
      <c r="AF884" s="220"/>
      <c r="AG884" s="220"/>
      <c r="AH884" s="220"/>
      <c r="AI884" s="220"/>
      <c r="AJ884" s="220"/>
      <c r="AK884" s="220"/>
      <c r="AL884" s="220"/>
      <c r="AM884" s="220"/>
      <c r="AN884" s="220"/>
      <c r="AO884" s="220"/>
      <c r="AP884" s="220"/>
      <c r="AQ884" s="220"/>
      <c r="AR884" s="220"/>
      <c r="AS884" s="220"/>
      <c r="AT884" s="220"/>
      <c r="AU884" s="220"/>
      <c r="AV884" s="220"/>
      <c r="AW884" s="220"/>
      <c r="AX884" s="220"/>
      <c r="AY884" s="220"/>
      <c r="AZ884" s="220"/>
    </row>
    <row r="885" ht="15.75" customHeight="1">
      <c r="A885" s="272"/>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c r="AA885" s="220"/>
      <c r="AB885" s="220"/>
      <c r="AC885" s="220"/>
      <c r="AD885" s="220"/>
      <c r="AE885" s="220"/>
      <c r="AF885" s="220"/>
      <c r="AG885" s="220"/>
      <c r="AH885" s="220"/>
      <c r="AI885" s="220"/>
      <c r="AJ885" s="220"/>
      <c r="AK885" s="220"/>
      <c r="AL885" s="220"/>
      <c r="AM885" s="220"/>
      <c r="AN885" s="220"/>
      <c r="AO885" s="220"/>
      <c r="AP885" s="220"/>
      <c r="AQ885" s="220"/>
      <c r="AR885" s="220"/>
      <c r="AS885" s="220"/>
      <c r="AT885" s="220"/>
      <c r="AU885" s="220"/>
      <c r="AV885" s="220"/>
      <c r="AW885" s="220"/>
      <c r="AX885" s="220"/>
      <c r="AY885" s="220"/>
      <c r="AZ885" s="220"/>
    </row>
    <row r="886" ht="15.75" customHeight="1">
      <c r="A886" s="272"/>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c r="AA886" s="220"/>
      <c r="AB886" s="220"/>
      <c r="AC886" s="220"/>
      <c r="AD886" s="220"/>
      <c r="AE886" s="220"/>
      <c r="AF886" s="220"/>
      <c r="AG886" s="220"/>
      <c r="AH886" s="220"/>
      <c r="AI886" s="220"/>
      <c r="AJ886" s="220"/>
      <c r="AK886" s="220"/>
      <c r="AL886" s="220"/>
      <c r="AM886" s="220"/>
      <c r="AN886" s="220"/>
      <c r="AO886" s="220"/>
      <c r="AP886" s="220"/>
      <c r="AQ886" s="220"/>
      <c r="AR886" s="220"/>
      <c r="AS886" s="220"/>
      <c r="AT886" s="220"/>
      <c r="AU886" s="220"/>
      <c r="AV886" s="220"/>
      <c r="AW886" s="220"/>
      <c r="AX886" s="220"/>
      <c r="AY886" s="220"/>
      <c r="AZ886" s="220"/>
    </row>
    <row r="887" ht="15.75" customHeight="1">
      <c r="A887" s="272"/>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c r="AA887" s="220"/>
      <c r="AB887" s="220"/>
      <c r="AC887" s="220"/>
      <c r="AD887" s="220"/>
      <c r="AE887" s="220"/>
      <c r="AF887" s="220"/>
      <c r="AG887" s="220"/>
      <c r="AH887" s="220"/>
      <c r="AI887" s="220"/>
      <c r="AJ887" s="220"/>
      <c r="AK887" s="220"/>
      <c r="AL887" s="220"/>
      <c r="AM887" s="220"/>
      <c r="AN887" s="220"/>
      <c r="AO887" s="220"/>
      <c r="AP887" s="220"/>
      <c r="AQ887" s="220"/>
      <c r="AR887" s="220"/>
      <c r="AS887" s="220"/>
      <c r="AT887" s="220"/>
      <c r="AU887" s="220"/>
      <c r="AV887" s="220"/>
      <c r="AW887" s="220"/>
      <c r="AX887" s="220"/>
      <c r="AY887" s="220"/>
      <c r="AZ887" s="220"/>
    </row>
    <row r="888" ht="15.75" customHeight="1">
      <c r="A888" s="272"/>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c r="AA888" s="220"/>
      <c r="AB888" s="220"/>
      <c r="AC888" s="220"/>
      <c r="AD888" s="220"/>
      <c r="AE888" s="220"/>
      <c r="AF888" s="220"/>
      <c r="AG888" s="220"/>
      <c r="AH888" s="220"/>
      <c r="AI888" s="220"/>
      <c r="AJ888" s="220"/>
      <c r="AK888" s="220"/>
      <c r="AL888" s="220"/>
      <c r="AM888" s="220"/>
      <c r="AN888" s="220"/>
      <c r="AO888" s="220"/>
      <c r="AP888" s="220"/>
      <c r="AQ888" s="220"/>
      <c r="AR888" s="220"/>
      <c r="AS888" s="220"/>
      <c r="AT888" s="220"/>
      <c r="AU888" s="220"/>
      <c r="AV888" s="220"/>
      <c r="AW888" s="220"/>
      <c r="AX888" s="220"/>
      <c r="AY888" s="220"/>
      <c r="AZ888" s="220"/>
    </row>
    <row r="889" ht="15.75" customHeight="1">
      <c r="A889" s="272"/>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c r="AA889" s="220"/>
      <c r="AB889" s="220"/>
      <c r="AC889" s="220"/>
      <c r="AD889" s="220"/>
      <c r="AE889" s="220"/>
      <c r="AF889" s="220"/>
      <c r="AG889" s="220"/>
      <c r="AH889" s="220"/>
      <c r="AI889" s="220"/>
      <c r="AJ889" s="220"/>
      <c r="AK889" s="220"/>
      <c r="AL889" s="220"/>
      <c r="AM889" s="220"/>
      <c r="AN889" s="220"/>
      <c r="AO889" s="220"/>
      <c r="AP889" s="220"/>
      <c r="AQ889" s="220"/>
      <c r="AR889" s="220"/>
      <c r="AS889" s="220"/>
      <c r="AT889" s="220"/>
      <c r="AU889" s="220"/>
      <c r="AV889" s="220"/>
      <c r="AW889" s="220"/>
      <c r="AX889" s="220"/>
      <c r="AY889" s="220"/>
      <c r="AZ889" s="220"/>
    </row>
    <row r="890" ht="15.75" customHeight="1">
      <c r="A890" s="272"/>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c r="AA890" s="220"/>
      <c r="AB890" s="220"/>
      <c r="AC890" s="220"/>
      <c r="AD890" s="220"/>
      <c r="AE890" s="220"/>
      <c r="AF890" s="220"/>
      <c r="AG890" s="220"/>
      <c r="AH890" s="220"/>
      <c r="AI890" s="220"/>
      <c r="AJ890" s="220"/>
      <c r="AK890" s="220"/>
      <c r="AL890" s="220"/>
      <c r="AM890" s="220"/>
      <c r="AN890" s="220"/>
      <c r="AO890" s="220"/>
      <c r="AP890" s="220"/>
      <c r="AQ890" s="220"/>
      <c r="AR890" s="220"/>
      <c r="AS890" s="220"/>
      <c r="AT890" s="220"/>
      <c r="AU890" s="220"/>
      <c r="AV890" s="220"/>
      <c r="AW890" s="220"/>
      <c r="AX890" s="220"/>
      <c r="AY890" s="220"/>
      <c r="AZ890" s="220"/>
    </row>
    <row r="891" ht="15.75" customHeight="1">
      <c r="A891" s="272"/>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c r="AA891" s="220"/>
      <c r="AB891" s="220"/>
      <c r="AC891" s="220"/>
      <c r="AD891" s="220"/>
      <c r="AE891" s="220"/>
      <c r="AF891" s="220"/>
      <c r="AG891" s="220"/>
      <c r="AH891" s="220"/>
      <c r="AI891" s="220"/>
      <c r="AJ891" s="220"/>
      <c r="AK891" s="220"/>
      <c r="AL891" s="220"/>
      <c r="AM891" s="220"/>
      <c r="AN891" s="220"/>
      <c r="AO891" s="220"/>
      <c r="AP891" s="220"/>
      <c r="AQ891" s="220"/>
      <c r="AR891" s="220"/>
      <c r="AS891" s="220"/>
      <c r="AT891" s="220"/>
      <c r="AU891" s="220"/>
      <c r="AV891" s="220"/>
      <c r="AW891" s="220"/>
      <c r="AX891" s="220"/>
      <c r="AY891" s="220"/>
      <c r="AZ891" s="220"/>
    </row>
    <row r="892" ht="15.75" customHeight="1">
      <c r="A892" s="272"/>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c r="AA892" s="220"/>
      <c r="AB892" s="220"/>
      <c r="AC892" s="220"/>
      <c r="AD892" s="220"/>
      <c r="AE892" s="220"/>
      <c r="AF892" s="220"/>
      <c r="AG892" s="220"/>
      <c r="AH892" s="220"/>
      <c r="AI892" s="220"/>
      <c r="AJ892" s="220"/>
      <c r="AK892" s="220"/>
      <c r="AL892" s="220"/>
      <c r="AM892" s="220"/>
      <c r="AN892" s="220"/>
      <c r="AO892" s="220"/>
      <c r="AP892" s="220"/>
      <c r="AQ892" s="220"/>
      <c r="AR892" s="220"/>
      <c r="AS892" s="220"/>
      <c r="AT892" s="220"/>
      <c r="AU892" s="220"/>
      <c r="AV892" s="220"/>
      <c r="AW892" s="220"/>
      <c r="AX892" s="220"/>
      <c r="AY892" s="220"/>
      <c r="AZ892" s="220"/>
    </row>
    <row r="893" ht="15.75" customHeight="1">
      <c r="A893" s="272"/>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c r="AA893" s="220"/>
      <c r="AB893" s="220"/>
      <c r="AC893" s="220"/>
      <c r="AD893" s="220"/>
      <c r="AE893" s="220"/>
      <c r="AF893" s="220"/>
      <c r="AG893" s="220"/>
      <c r="AH893" s="220"/>
      <c r="AI893" s="220"/>
      <c r="AJ893" s="220"/>
      <c r="AK893" s="220"/>
      <c r="AL893" s="220"/>
      <c r="AM893" s="220"/>
      <c r="AN893" s="220"/>
      <c r="AO893" s="220"/>
      <c r="AP893" s="220"/>
      <c r="AQ893" s="220"/>
      <c r="AR893" s="220"/>
      <c r="AS893" s="220"/>
      <c r="AT893" s="220"/>
      <c r="AU893" s="220"/>
      <c r="AV893" s="220"/>
      <c r="AW893" s="220"/>
      <c r="AX893" s="220"/>
      <c r="AY893" s="220"/>
      <c r="AZ893" s="220"/>
    </row>
    <row r="894" ht="15.75" customHeight="1">
      <c r="A894" s="272"/>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c r="AA894" s="220"/>
      <c r="AB894" s="220"/>
      <c r="AC894" s="220"/>
      <c r="AD894" s="220"/>
      <c r="AE894" s="220"/>
      <c r="AF894" s="220"/>
      <c r="AG894" s="220"/>
      <c r="AH894" s="220"/>
      <c r="AI894" s="220"/>
      <c r="AJ894" s="220"/>
      <c r="AK894" s="220"/>
      <c r="AL894" s="220"/>
      <c r="AM894" s="220"/>
      <c r="AN894" s="220"/>
      <c r="AO894" s="220"/>
      <c r="AP894" s="220"/>
      <c r="AQ894" s="220"/>
      <c r="AR894" s="220"/>
      <c r="AS894" s="220"/>
      <c r="AT894" s="220"/>
      <c r="AU894" s="220"/>
      <c r="AV894" s="220"/>
      <c r="AW894" s="220"/>
      <c r="AX894" s="220"/>
      <c r="AY894" s="220"/>
      <c r="AZ894" s="220"/>
    </row>
    <row r="895" ht="15.75" customHeight="1">
      <c r="A895" s="272"/>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c r="AA895" s="220"/>
      <c r="AB895" s="220"/>
      <c r="AC895" s="220"/>
      <c r="AD895" s="220"/>
      <c r="AE895" s="220"/>
      <c r="AF895" s="220"/>
      <c r="AG895" s="220"/>
      <c r="AH895" s="220"/>
      <c r="AI895" s="220"/>
      <c r="AJ895" s="220"/>
      <c r="AK895" s="220"/>
      <c r="AL895" s="220"/>
      <c r="AM895" s="220"/>
      <c r="AN895" s="220"/>
      <c r="AO895" s="220"/>
      <c r="AP895" s="220"/>
      <c r="AQ895" s="220"/>
      <c r="AR895" s="220"/>
      <c r="AS895" s="220"/>
      <c r="AT895" s="220"/>
      <c r="AU895" s="220"/>
      <c r="AV895" s="220"/>
      <c r="AW895" s="220"/>
      <c r="AX895" s="220"/>
      <c r="AY895" s="220"/>
      <c r="AZ895" s="220"/>
    </row>
    <row r="896" ht="15.75" customHeight="1">
      <c r="A896" s="272"/>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c r="AA896" s="220"/>
      <c r="AB896" s="220"/>
      <c r="AC896" s="220"/>
      <c r="AD896" s="220"/>
      <c r="AE896" s="220"/>
      <c r="AF896" s="220"/>
      <c r="AG896" s="220"/>
      <c r="AH896" s="220"/>
      <c r="AI896" s="220"/>
      <c r="AJ896" s="220"/>
      <c r="AK896" s="220"/>
      <c r="AL896" s="220"/>
      <c r="AM896" s="220"/>
      <c r="AN896" s="220"/>
      <c r="AO896" s="220"/>
      <c r="AP896" s="220"/>
      <c r="AQ896" s="220"/>
      <c r="AR896" s="220"/>
      <c r="AS896" s="220"/>
      <c r="AT896" s="220"/>
      <c r="AU896" s="220"/>
      <c r="AV896" s="220"/>
      <c r="AW896" s="220"/>
      <c r="AX896" s="220"/>
      <c r="AY896" s="220"/>
      <c r="AZ896" s="220"/>
    </row>
    <row r="897" ht="15.75" customHeight="1">
      <c r="A897" s="272"/>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c r="AA897" s="220"/>
      <c r="AB897" s="220"/>
      <c r="AC897" s="220"/>
      <c r="AD897" s="220"/>
      <c r="AE897" s="220"/>
      <c r="AF897" s="220"/>
      <c r="AG897" s="220"/>
      <c r="AH897" s="220"/>
      <c r="AI897" s="220"/>
      <c r="AJ897" s="220"/>
      <c r="AK897" s="220"/>
      <c r="AL897" s="220"/>
      <c r="AM897" s="220"/>
      <c r="AN897" s="220"/>
      <c r="AO897" s="220"/>
      <c r="AP897" s="220"/>
      <c r="AQ897" s="220"/>
      <c r="AR897" s="220"/>
      <c r="AS897" s="220"/>
      <c r="AT897" s="220"/>
      <c r="AU897" s="220"/>
      <c r="AV897" s="220"/>
      <c r="AW897" s="220"/>
      <c r="AX897" s="220"/>
      <c r="AY897" s="220"/>
      <c r="AZ897" s="220"/>
    </row>
    <row r="898" ht="15.75" customHeight="1">
      <c r="A898" s="272"/>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c r="AA898" s="220"/>
      <c r="AB898" s="220"/>
      <c r="AC898" s="220"/>
      <c r="AD898" s="220"/>
      <c r="AE898" s="220"/>
      <c r="AF898" s="220"/>
      <c r="AG898" s="220"/>
      <c r="AH898" s="220"/>
      <c r="AI898" s="220"/>
      <c r="AJ898" s="220"/>
      <c r="AK898" s="220"/>
      <c r="AL898" s="220"/>
      <c r="AM898" s="220"/>
      <c r="AN898" s="220"/>
      <c r="AO898" s="220"/>
      <c r="AP898" s="220"/>
      <c r="AQ898" s="220"/>
      <c r="AR898" s="220"/>
      <c r="AS898" s="220"/>
      <c r="AT898" s="220"/>
      <c r="AU898" s="220"/>
      <c r="AV898" s="220"/>
      <c r="AW898" s="220"/>
      <c r="AX898" s="220"/>
      <c r="AY898" s="220"/>
      <c r="AZ898" s="220"/>
    </row>
    <row r="899" ht="15.75" customHeight="1">
      <c r="A899" s="272"/>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c r="AA899" s="220"/>
      <c r="AB899" s="220"/>
      <c r="AC899" s="220"/>
      <c r="AD899" s="220"/>
      <c r="AE899" s="220"/>
      <c r="AF899" s="220"/>
      <c r="AG899" s="220"/>
      <c r="AH899" s="220"/>
      <c r="AI899" s="220"/>
      <c r="AJ899" s="220"/>
      <c r="AK899" s="220"/>
      <c r="AL899" s="220"/>
      <c r="AM899" s="220"/>
      <c r="AN899" s="220"/>
      <c r="AO899" s="220"/>
      <c r="AP899" s="220"/>
      <c r="AQ899" s="220"/>
      <c r="AR899" s="220"/>
      <c r="AS899" s="220"/>
      <c r="AT899" s="220"/>
      <c r="AU899" s="220"/>
      <c r="AV899" s="220"/>
      <c r="AW899" s="220"/>
      <c r="AX899" s="220"/>
      <c r="AY899" s="220"/>
      <c r="AZ899" s="220"/>
    </row>
    <row r="900" ht="15.75" customHeight="1">
      <c r="A900" s="272"/>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c r="AA900" s="220"/>
      <c r="AB900" s="220"/>
      <c r="AC900" s="220"/>
      <c r="AD900" s="220"/>
      <c r="AE900" s="220"/>
      <c r="AF900" s="220"/>
      <c r="AG900" s="220"/>
      <c r="AH900" s="220"/>
      <c r="AI900" s="220"/>
      <c r="AJ900" s="220"/>
      <c r="AK900" s="220"/>
      <c r="AL900" s="220"/>
      <c r="AM900" s="220"/>
      <c r="AN900" s="220"/>
      <c r="AO900" s="220"/>
      <c r="AP900" s="220"/>
      <c r="AQ900" s="220"/>
      <c r="AR900" s="220"/>
      <c r="AS900" s="220"/>
      <c r="AT900" s="220"/>
      <c r="AU900" s="220"/>
      <c r="AV900" s="220"/>
      <c r="AW900" s="220"/>
      <c r="AX900" s="220"/>
      <c r="AY900" s="220"/>
      <c r="AZ900" s="220"/>
    </row>
    <row r="901" ht="15.75" customHeight="1">
      <c r="A901" s="272"/>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c r="AA901" s="220"/>
      <c r="AB901" s="220"/>
      <c r="AC901" s="220"/>
      <c r="AD901" s="220"/>
      <c r="AE901" s="220"/>
      <c r="AF901" s="220"/>
      <c r="AG901" s="220"/>
      <c r="AH901" s="220"/>
      <c r="AI901" s="220"/>
      <c r="AJ901" s="220"/>
      <c r="AK901" s="220"/>
      <c r="AL901" s="220"/>
      <c r="AM901" s="220"/>
      <c r="AN901" s="220"/>
      <c r="AO901" s="220"/>
      <c r="AP901" s="220"/>
      <c r="AQ901" s="220"/>
      <c r="AR901" s="220"/>
      <c r="AS901" s="220"/>
      <c r="AT901" s="220"/>
      <c r="AU901" s="220"/>
      <c r="AV901" s="220"/>
      <c r="AW901" s="220"/>
      <c r="AX901" s="220"/>
      <c r="AY901" s="220"/>
      <c r="AZ901" s="220"/>
    </row>
    <row r="902" ht="15.75" customHeight="1">
      <c r="A902" s="272"/>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c r="AA902" s="220"/>
      <c r="AB902" s="220"/>
      <c r="AC902" s="220"/>
      <c r="AD902" s="220"/>
      <c r="AE902" s="220"/>
      <c r="AF902" s="220"/>
      <c r="AG902" s="220"/>
      <c r="AH902" s="220"/>
      <c r="AI902" s="220"/>
      <c r="AJ902" s="220"/>
      <c r="AK902" s="220"/>
      <c r="AL902" s="220"/>
      <c r="AM902" s="220"/>
      <c r="AN902" s="220"/>
      <c r="AO902" s="220"/>
      <c r="AP902" s="220"/>
      <c r="AQ902" s="220"/>
      <c r="AR902" s="220"/>
      <c r="AS902" s="220"/>
      <c r="AT902" s="220"/>
      <c r="AU902" s="220"/>
      <c r="AV902" s="220"/>
      <c r="AW902" s="220"/>
      <c r="AX902" s="220"/>
      <c r="AY902" s="220"/>
      <c r="AZ902" s="220"/>
    </row>
    <row r="903" ht="15.75" customHeight="1">
      <c r="A903" s="272"/>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c r="AA903" s="220"/>
      <c r="AB903" s="220"/>
      <c r="AC903" s="220"/>
      <c r="AD903" s="220"/>
      <c r="AE903" s="220"/>
      <c r="AF903" s="220"/>
      <c r="AG903" s="220"/>
      <c r="AH903" s="220"/>
      <c r="AI903" s="220"/>
      <c r="AJ903" s="220"/>
      <c r="AK903" s="220"/>
      <c r="AL903" s="220"/>
      <c r="AM903" s="220"/>
      <c r="AN903" s="220"/>
      <c r="AO903" s="220"/>
      <c r="AP903" s="220"/>
      <c r="AQ903" s="220"/>
      <c r="AR903" s="220"/>
      <c r="AS903" s="220"/>
      <c r="AT903" s="220"/>
      <c r="AU903" s="220"/>
      <c r="AV903" s="220"/>
      <c r="AW903" s="220"/>
      <c r="AX903" s="220"/>
      <c r="AY903" s="220"/>
      <c r="AZ903" s="220"/>
    </row>
    <row r="904" ht="15.75" customHeight="1">
      <c r="A904" s="272"/>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c r="AA904" s="220"/>
      <c r="AB904" s="220"/>
      <c r="AC904" s="220"/>
      <c r="AD904" s="220"/>
      <c r="AE904" s="220"/>
      <c r="AF904" s="220"/>
      <c r="AG904" s="220"/>
      <c r="AH904" s="220"/>
      <c r="AI904" s="220"/>
      <c r="AJ904" s="220"/>
      <c r="AK904" s="220"/>
      <c r="AL904" s="220"/>
      <c r="AM904" s="220"/>
      <c r="AN904" s="220"/>
      <c r="AO904" s="220"/>
      <c r="AP904" s="220"/>
      <c r="AQ904" s="220"/>
      <c r="AR904" s="220"/>
      <c r="AS904" s="220"/>
      <c r="AT904" s="220"/>
      <c r="AU904" s="220"/>
      <c r="AV904" s="220"/>
      <c r="AW904" s="220"/>
      <c r="AX904" s="220"/>
      <c r="AY904" s="220"/>
      <c r="AZ904" s="220"/>
    </row>
    <row r="905" ht="15.75" customHeight="1">
      <c r="A905" s="272"/>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c r="AA905" s="220"/>
      <c r="AB905" s="220"/>
      <c r="AC905" s="220"/>
      <c r="AD905" s="220"/>
      <c r="AE905" s="220"/>
      <c r="AF905" s="220"/>
      <c r="AG905" s="220"/>
      <c r="AH905" s="220"/>
      <c r="AI905" s="220"/>
      <c r="AJ905" s="220"/>
      <c r="AK905" s="220"/>
      <c r="AL905" s="220"/>
      <c r="AM905" s="220"/>
      <c r="AN905" s="220"/>
      <c r="AO905" s="220"/>
      <c r="AP905" s="220"/>
      <c r="AQ905" s="220"/>
      <c r="AR905" s="220"/>
      <c r="AS905" s="220"/>
      <c r="AT905" s="220"/>
      <c r="AU905" s="220"/>
      <c r="AV905" s="220"/>
      <c r="AW905" s="220"/>
      <c r="AX905" s="220"/>
      <c r="AY905" s="220"/>
      <c r="AZ905" s="220"/>
    </row>
    <row r="906" ht="15.75" customHeight="1">
      <c r="A906" s="272"/>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c r="AA906" s="220"/>
      <c r="AB906" s="220"/>
      <c r="AC906" s="220"/>
      <c r="AD906" s="220"/>
      <c r="AE906" s="220"/>
      <c r="AF906" s="220"/>
      <c r="AG906" s="220"/>
      <c r="AH906" s="220"/>
      <c r="AI906" s="220"/>
      <c r="AJ906" s="220"/>
      <c r="AK906" s="220"/>
      <c r="AL906" s="220"/>
      <c r="AM906" s="220"/>
      <c r="AN906" s="220"/>
      <c r="AO906" s="220"/>
      <c r="AP906" s="220"/>
      <c r="AQ906" s="220"/>
      <c r="AR906" s="220"/>
      <c r="AS906" s="220"/>
      <c r="AT906" s="220"/>
      <c r="AU906" s="220"/>
      <c r="AV906" s="220"/>
      <c r="AW906" s="220"/>
      <c r="AX906" s="220"/>
      <c r="AY906" s="220"/>
      <c r="AZ906" s="220"/>
    </row>
    <row r="907" ht="15.75" customHeight="1">
      <c r="A907" s="272"/>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c r="AA907" s="220"/>
      <c r="AB907" s="220"/>
      <c r="AC907" s="220"/>
      <c r="AD907" s="220"/>
      <c r="AE907" s="220"/>
      <c r="AF907" s="220"/>
      <c r="AG907" s="220"/>
      <c r="AH907" s="220"/>
      <c r="AI907" s="220"/>
      <c r="AJ907" s="220"/>
      <c r="AK907" s="220"/>
      <c r="AL907" s="220"/>
      <c r="AM907" s="220"/>
      <c r="AN907" s="220"/>
      <c r="AO907" s="220"/>
      <c r="AP907" s="220"/>
      <c r="AQ907" s="220"/>
      <c r="AR907" s="220"/>
      <c r="AS907" s="220"/>
      <c r="AT907" s="220"/>
      <c r="AU907" s="220"/>
      <c r="AV907" s="220"/>
      <c r="AW907" s="220"/>
      <c r="AX907" s="220"/>
      <c r="AY907" s="220"/>
      <c r="AZ907" s="220"/>
    </row>
    <row r="908" ht="15.75" customHeight="1">
      <c r="A908" s="272"/>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c r="AA908" s="220"/>
      <c r="AB908" s="220"/>
      <c r="AC908" s="220"/>
      <c r="AD908" s="220"/>
      <c r="AE908" s="220"/>
      <c r="AF908" s="220"/>
      <c r="AG908" s="220"/>
      <c r="AH908" s="220"/>
      <c r="AI908" s="220"/>
      <c r="AJ908" s="220"/>
      <c r="AK908" s="220"/>
      <c r="AL908" s="220"/>
      <c r="AM908" s="220"/>
      <c r="AN908" s="220"/>
      <c r="AO908" s="220"/>
      <c r="AP908" s="220"/>
      <c r="AQ908" s="220"/>
      <c r="AR908" s="220"/>
      <c r="AS908" s="220"/>
      <c r="AT908" s="220"/>
      <c r="AU908" s="220"/>
      <c r="AV908" s="220"/>
      <c r="AW908" s="220"/>
      <c r="AX908" s="220"/>
      <c r="AY908" s="220"/>
      <c r="AZ908" s="220"/>
    </row>
    <row r="909" ht="15.75" customHeight="1">
      <c r="A909" s="272"/>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c r="AA909" s="220"/>
      <c r="AB909" s="220"/>
      <c r="AC909" s="220"/>
      <c r="AD909" s="220"/>
      <c r="AE909" s="220"/>
      <c r="AF909" s="220"/>
      <c r="AG909" s="220"/>
      <c r="AH909" s="220"/>
      <c r="AI909" s="220"/>
      <c r="AJ909" s="220"/>
      <c r="AK909" s="220"/>
      <c r="AL909" s="220"/>
      <c r="AM909" s="220"/>
      <c r="AN909" s="220"/>
      <c r="AO909" s="220"/>
      <c r="AP909" s="220"/>
      <c r="AQ909" s="220"/>
      <c r="AR909" s="220"/>
      <c r="AS909" s="220"/>
      <c r="AT909" s="220"/>
      <c r="AU909" s="220"/>
      <c r="AV909" s="220"/>
      <c r="AW909" s="220"/>
      <c r="AX909" s="220"/>
      <c r="AY909" s="220"/>
      <c r="AZ909" s="220"/>
    </row>
    <row r="910" ht="15.75" customHeight="1">
      <c r="A910" s="272"/>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c r="AA910" s="220"/>
      <c r="AB910" s="220"/>
      <c r="AC910" s="220"/>
      <c r="AD910" s="220"/>
      <c r="AE910" s="220"/>
      <c r="AF910" s="220"/>
      <c r="AG910" s="220"/>
      <c r="AH910" s="220"/>
      <c r="AI910" s="220"/>
      <c r="AJ910" s="220"/>
      <c r="AK910" s="220"/>
      <c r="AL910" s="220"/>
      <c r="AM910" s="220"/>
      <c r="AN910" s="220"/>
      <c r="AO910" s="220"/>
      <c r="AP910" s="220"/>
      <c r="AQ910" s="220"/>
      <c r="AR910" s="220"/>
      <c r="AS910" s="220"/>
      <c r="AT910" s="220"/>
      <c r="AU910" s="220"/>
      <c r="AV910" s="220"/>
      <c r="AW910" s="220"/>
      <c r="AX910" s="220"/>
      <c r="AY910" s="220"/>
      <c r="AZ910" s="220"/>
    </row>
    <row r="911" ht="15.75" customHeight="1">
      <c r="A911" s="272"/>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c r="AA911" s="220"/>
      <c r="AB911" s="220"/>
      <c r="AC911" s="220"/>
      <c r="AD911" s="220"/>
      <c r="AE911" s="220"/>
      <c r="AF911" s="220"/>
      <c r="AG911" s="220"/>
      <c r="AH911" s="220"/>
      <c r="AI911" s="220"/>
      <c r="AJ911" s="220"/>
      <c r="AK911" s="220"/>
      <c r="AL911" s="220"/>
      <c r="AM911" s="220"/>
      <c r="AN911" s="220"/>
      <c r="AO911" s="220"/>
      <c r="AP911" s="220"/>
      <c r="AQ911" s="220"/>
      <c r="AR911" s="220"/>
      <c r="AS911" s="220"/>
      <c r="AT911" s="220"/>
      <c r="AU911" s="220"/>
      <c r="AV911" s="220"/>
      <c r="AW911" s="220"/>
      <c r="AX911" s="220"/>
      <c r="AY911" s="220"/>
      <c r="AZ911" s="220"/>
    </row>
    <row r="912" ht="15.75" customHeight="1">
      <c r="A912" s="272"/>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c r="AA912" s="220"/>
      <c r="AB912" s="220"/>
      <c r="AC912" s="220"/>
      <c r="AD912" s="220"/>
      <c r="AE912" s="220"/>
      <c r="AF912" s="220"/>
      <c r="AG912" s="220"/>
      <c r="AH912" s="220"/>
      <c r="AI912" s="220"/>
      <c r="AJ912" s="220"/>
      <c r="AK912" s="220"/>
      <c r="AL912" s="220"/>
      <c r="AM912" s="220"/>
      <c r="AN912" s="220"/>
      <c r="AO912" s="220"/>
      <c r="AP912" s="220"/>
      <c r="AQ912" s="220"/>
      <c r="AR912" s="220"/>
      <c r="AS912" s="220"/>
      <c r="AT912" s="220"/>
      <c r="AU912" s="220"/>
      <c r="AV912" s="220"/>
      <c r="AW912" s="220"/>
      <c r="AX912" s="220"/>
      <c r="AY912" s="220"/>
      <c r="AZ912" s="220"/>
    </row>
    <row r="913" ht="15.75" customHeight="1">
      <c r="A913" s="272"/>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c r="AA913" s="220"/>
      <c r="AB913" s="220"/>
      <c r="AC913" s="220"/>
      <c r="AD913" s="220"/>
      <c r="AE913" s="220"/>
      <c r="AF913" s="220"/>
      <c r="AG913" s="220"/>
      <c r="AH913" s="220"/>
      <c r="AI913" s="220"/>
      <c r="AJ913" s="220"/>
      <c r="AK913" s="220"/>
      <c r="AL913" s="220"/>
      <c r="AM913" s="220"/>
      <c r="AN913" s="220"/>
      <c r="AO913" s="220"/>
      <c r="AP913" s="220"/>
      <c r="AQ913" s="220"/>
      <c r="AR913" s="220"/>
      <c r="AS913" s="220"/>
      <c r="AT913" s="220"/>
      <c r="AU913" s="220"/>
      <c r="AV913" s="220"/>
      <c r="AW913" s="220"/>
      <c r="AX913" s="220"/>
      <c r="AY913" s="220"/>
      <c r="AZ913" s="220"/>
    </row>
    <row r="914" ht="15.75" customHeight="1">
      <c r="A914" s="272"/>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c r="AA914" s="220"/>
      <c r="AB914" s="220"/>
      <c r="AC914" s="220"/>
      <c r="AD914" s="220"/>
      <c r="AE914" s="220"/>
      <c r="AF914" s="220"/>
      <c r="AG914" s="220"/>
      <c r="AH914" s="220"/>
      <c r="AI914" s="220"/>
      <c r="AJ914" s="220"/>
      <c r="AK914" s="220"/>
      <c r="AL914" s="220"/>
      <c r="AM914" s="220"/>
      <c r="AN914" s="220"/>
      <c r="AO914" s="220"/>
      <c r="AP914" s="220"/>
      <c r="AQ914" s="220"/>
      <c r="AR914" s="220"/>
      <c r="AS914" s="220"/>
      <c r="AT914" s="220"/>
      <c r="AU914" s="220"/>
      <c r="AV914" s="220"/>
      <c r="AW914" s="220"/>
      <c r="AX914" s="220"/>
      <c r="AY914" s="220"/>
      <c r="AZ914" s="220"/>
    </row>
    <row r="915" ht="15.75" customHeight="1">
      <c r="A915" s="272"/>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c r="AA915" s="220"/>
      <c r="AB915" s="220"/>
      <c r="AC915" s="220"/>
      <c r="AD915" s="220"/>
      <c r="AE915" s="220"/>
      <c r="AF915" s="220"/>
      <c r="AG915" s="220"/>
      <c r="AH915" s="220"/>
      <c r="AI915" s="220"/>
      <c r="AJ915" s="220"/>
      <c r="AK915" s="220"/>
      <c r="AL915" s="220"/>
      <c r="AM915" s="220"/>
      <c r="AN915" s="220"/>
      <c r="AO915" s="220"/>
      <c r="AP915" s="220"/>
      <c r="AQ915" s="220"/>
      <c r="AR915" s="220"/>
      <c r="AS915" s="220"/>
      <c r="AT915" s="220"/>
      <c r="AU915" s="220"/>
      <c r="AV915" s="220"/>
      <c r="AW915" s="220"/>
      <c r="AX915" s="220"/>
      <c r="AY915" s="220"/>
      <c r="AZ915" s="220"/>
    </row>
    <row r="916" ht="15.75" customHeight="1">
      <c r="A916" s="272"/>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c r="AA916" s="220"/>
      <c r="AB916" s="220"/>
      <c r="AC916" s="220"/>
      <c r="AD916" s="220"/>
      <c r="AE916" s="220"/>
      <c r="AF916" s="220"/>
      <c r="AG916" s="220"/>
      <c r="AH916" s="220"/>
      <c r="AI916" s="220"/>
      <c r="AJ916" s="220"/>
      <c r="AK916" s="220"/>
      <c r="AL916" s="220"/>
      <c r="AM916" s="220"/>
      <c r="AN916" s="220"/>
      <c r="AO916" s="220"/>
      <c r="AP916" s="220"/>
      <c r="AQ916" s="220"/>
      <c r="AR916" s="220"/>
      <c r="AS916" s="220"/>
      <c r="AT916" s="220"/>
      <c r="AU916" s="220"/>
      <c r="AV916" s="220"/>
      <c r="AW916" s="220"/>
      <c r="AX916" s="220"/>
      <c r="AY916" s="220"/>
      <c r="AZ916" s="220"/>
    </row>
    <row r="917" ht="15.75" customHeight="1">
      <c r="A917" s="272"/>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c r="AA917" s="220"/>
      <c r="AB917" s="220"/>
      <c r="AC917" s="220"/>
      <c r="AD917" s="220"/>
      <c r="AE917" s="220"/>
      <c r="AF917" s="220"/>
      <c r="AG917" s="220"/>
      <c r="AH917" s="220"/>
      <c r="AI917" s="220"/>
      <c r="AJ917" s="220"/>
      <c r="AK917" s="220"/>
      <c r="AL917" s="220"/>
      <c r="AM917" s="220"/>
      <c r="AN917" s="220"/>
      <c r="AO917" s="220"/>
      <c r="AP917" s="220"/>
      <c r="AQ917" s="220"/>
      <c r="AR917" s="220"/>
      <c r="AS917" s="220"/>
      <c r="AT917" s="220"/>
      <c r="AU917" s="220"/>
      <c r="AV917" s="220"/>
      <c r="AW917" s="220"/>
      <c r="AX917" s="220"/>
      <c r="AY917" s="220"/>
      <c r="AZ917" s="220"/>
    </row>
    <row r="918" ht="15.75" customHeight="1">
      <c r="A918" s="272"/>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c r="AA918" s="220"/>
      <c r="AB918" s="220"/>
      <c r="AC918" s="220"/>
      <c r="AD918" s="220"/>
      <c r="AE918" s="220"/>
      <c r="AF918" s="220"/>
      <c r="AG918" s="220"/>
      <c r="AH918" s="220"/>
      <c r="AI918" s="220"/>
      <c r="AJ918" s="220"/>
      <c r="AK918" s="220"/>
      <c r="AL918" s="220"/>
      <c r="AM918" s="220"/>
      <c r="AN918" s="220"/>
      <c r="AO918" s="220"/>
      <c r="AP918" s="220"/>
      <c r="AQ918" s="220"/>
      <c r="AR918" s="220"/>
      <c r="AS918" s="220"/>
      <c r="AT918" s="220"/>
      <c r="AU918" s="220"/>
      <c r="AV918" s="220"/>
      <c r="AW918" s="220"/>
      <c r="AX918" s="220"/>
      <c r="AY918" s="220"/>
      <c r="AZ918" s="220"/>
    </row>
    <row r="919" ht="15.75" customHeight="1">
      <c r="A919" s="272"/>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c r="AA919" s="220"/>
      <c r="AB919" s="220"/>
      <c r="AC919" s="220"/>
      <c r="AD919" s="220"/>
      <c r="AE919" s="220"/>
      <c r="AF919" s="220"/>
      <c r="AG919" s="220"/>
      <c r="AH919" s="220"/>
      <c r="AI919" s="220"/>
      <c r="AJ919" s="220"/>
      <c r="AK919" s="220"/>
      <c r="AL919" s="220"/>
      <c r="AM919" s="220"/>
      <c r="AN919" s="220"/>
      <c r="AO919" s="220"/>
      <c r="AP919" s="220"/>
      <c r="AQ919" s="220"/>
      <c r="AR919" s="220"/>
      <c r="AS919" s="220"/>
      <c r="AT919" s="220"/>
      <c r="AU919" s="220"/>
      <c r="AV919" s="220"/>
      <c r="AW919" s="220"/>
      <c r="AX919" s="220"/>
      <c r="AY919" s="220"/>
      <c r="AZ919" s="220"/>
    </row>
    <row r="920" ht="15.75" customHeight="1">
      <c r="A920" s="272"/>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c r="AA920" s="220"/>
      <c r="AB920" s="220"/>
      <c r="AC920" s="220"/>
      <c r="AD920" s="220"/>
      <c r="AE920" s="220"/>
      <c r="AF920" s="220"/>
      <c r="AG920" s="220"/>
      <c r="AH920" s="220"/>
      <c r="AI920" s="220"/>
      <c r="AJ920" s="220"/>
      <c r="AK920" s="220"/>
      <c r="AL920" s="220"/>
      <c r="AM920" s="220"/>
      <c r="AN920" s="220"/>
      <c r="AO920" s="220"/>
      <c r="AP920" s="220"/>
      <c r="AQ920" s="220"/>
      <c r="AR920" s="220"/>
      <c r="AS920" s="220"/>
      <c r="AT920" s="220"/>
      <c r="AU920" s="220"/>
      <c r="AV920" s="220"/>
      <c r="AW920" s="220"/>
      <c r="AX920" s="220"/>
      <c r="AY920" s="220"/>
      <c r="AZ920" s="220"/>
    </row>
    <row r="921" ht="15.75" customHeight="1">
      <c r="A921" s="272"/>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c r="AA921" s="220"/>
      <c r="AB921" s="220"/>
      <c r="AC921" s="220"/>
      <c r="AD921" s="220"/>
      <c r="AE921" s="220"/>
      <c r="AF921" s="220"/>
      <c r="AG921" s="220"/>
      <c r="AH921" s="220"/>
      <c r="AI921" s="220"/>
      <c r="AJ921" s="220"/>
      <c r="AK921" s="220"/>
      <c r="AL921" s="220"/>
      <c r="AM921" s="220"/>
      <c r="AN921" s="220"/>
      <c r="AO921" s="220"/>
      <c r="AP921" s="220"/>
      <c r="AQ921" s="220"/>
      <c r="AR921" s="220"/>
      <c r="AS921" s="220"/>
      <c r="AT921" s="220"/>
      <c r="AU921" s="220"/>
      <c r="AV921" s="220"/>
      <c r="AW921" s="220"/>
      <c r="AX921" s="220"/>
      <c r="AY921" s="220"/>
      <c r="AZ921" s="220"/>
    </row>
    <row r="922" ht="15.75" customHeight="1">
      <c r="A922" s="272"/>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c r="AA922" s="220"/>
      <c r="AB922" s="220"/>
      <c r="AC922" s="220"/>
      <c r="AD922" s="220"/>
      <c r="AE922" s="220"/>
      <c r="AF922" s="220"/>
      <c r="AG922" s="220"/>
      <c r="AH922" s="220"/>
      <c r="AI922" s="220"/>
      <c r="AJ922" s="220"/>
      <c r="AK922" s="220"/>
      <c r="AL922" s="220"/>
      <c r="AM922" s="220"/>
      <c r="AN922" s="220"/>
      <c r="AO922" s="220"/>
      <c r="AP922" s="220"/>
      <c r="AQ922" s="220"/>
      <c r="AR922" s="220"/>
      <c r="AS922" s="220"/>
      <c r="AT922" s="220"/>
      <c r="AU922" s="220"/>
      <c r="AV922" s="220"/>
      <c r="AW922" s="220"/>
      <c r="AX922" s="220"/>
      <c r="AY922" s="220"/>
      <c r="AZ922" s="220"/>
    </row>
    <row r="923" ht="15.75" customHeight="1">
      <c r="A923" s="272"/>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c r="AA923" s="220"/>
      <c r="AB923" s="220"/>
      <c r="AC923" s="220"/>
      <c r="AD923" s="220"/>
      <c r="AE923" s="220"/>
      <c r="AF923" s="220"/>
      <c r="AG923" s="220"/>
      <c r="AH923" s="220"/>
      <c r="AI923" s="220"/>
      <c r="AJ923" s="220"/>
      <c r="AK923" s="220"/>
      <c r="AL923" s="220"/>
      <c r="AM923" s="220"/>
      <c r="AN923" s="220"/>
      <c r="AO923" s="220"/>
      <c r="AP923" s="220"/>
      <c r="AQ923" s="220"/>
      <c r="AR923" s="220"/>
      <c r="AS923" s="220"/>
      <c r="AT923" s="220"/>
      <c r="AU923" s="220"/>
      <c r="AV923" s="220"/>
      <c r="AW923" s="220"/>
      <c r="AX923" s="220"/>
      <c r="AY923" s="220"/>
      <c r="AZ923" s="220"/>
    </row>
    <row r="924" ht="15.75" customHeight="1">
      <c r="A924" s="272"/>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c r="AA924" s="220"/>
      <c r="AB924" s="220"/>
      <c r="AC924" s="220"/>
      <c r="AD924" s="220"/>
      <c r="AE924" s="220"/>
      <c r="AF924" s="220"/>
      <c r="AG924" s="220"/>
      <c r="AH924" s="220"/>
      <c r="AI924" s="220"/>
      <c r="AJ924" s="220"/>
      <c r="AK924" s="220"/>
      <c r="AL924" s="220"/>
      <c r="AM924" s="220"/>
      <c r="AN924" s="220"/>
      <c r="AO924" s="220"/>
      <c r="AP924" s="220"/>
      <c r="AQ924" s="220"/>
      <c r="AR924" s="220"/>
      <c r="AS924" s="220"/>
      <c r="AT924" s="220"/>
      <c r="AU924" s="220"/>
      <c r="AV924" s="220"/>
      <c r="AW924" s="220"/>
      <c r="AX924" s="220"/>
      <c r="AY924" s="220"/>
      <c r="AZ924" s="220"/>
    </row>
    <row r="925" ht="15.75" customHeight="1">
      <c r="A925" s="272"/>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c r="AA925" s="220"/>
      <c r="AB925" s="220"/>
      <c r="AC925" s="220"/>
      <c r="AD925" s="220"/>
      <c r="AE925" s="220"/>
      <c r="AF925" s="220"/>
      <c r="AG925" s="220"/>
      <c r="AH925" s="220"/>
      <c r="AI925" s="220"/>
      <c r="AJ925" s="220"/>
      <c r="AK925" s="220"/>
      <c r="AL925" s="220"/>
      <c r="AM925" s="220"/>
      <c r="AN925" s="220"/>
      <c r="AO925" s="220"/>
      <c r="AP925" s="220"/>
      <c r="AQ925" s="220"/>
      <c r="AR925" s="220"/>
      <c r="AS925" s="220"/>
      <c r="AT925" s="220"/>
      <c r="AU925" s="220"/>
      <c r="AV925" s="220"/>
      <c r="AW925" s="220"/>
      <c r="AX925" s="220"/>
      <c r="AY925" s="220"/>
      <c r="AZ925" s="220"/>
    </row>
    <row r="926" ht="15.75" customHeight="1">
      <c r="A926" s="272"/>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c r="AA926" s="220"/>
      <c r="AB926" s="220"/>
      <c r="AC926" s="220"/>
      <c r="AD926" s="220"/>
      <c r="AE926" s="220"/>
      <c r="AF926" s="220"/>
      <c r="AG926" s="220"/>
      <c r="AH926" s="220"/>
      <c r="AI926" s="220"/>
      <c r="AJ926" s="220"/>
      <c r="AK926" s="220"/>
      <c r="AL926" s="220"/>
      <c r="AM926" s="220"/>
      <c r="AN926" s="220"/>
      <c r="AO926" s="220"/>
      <c r="AP926" s="220"/>
      <c r="AQ926" s="220"/>
      <c r="AR926" s="220"/>
      <c r="AS926" s="220"/>
      <c r="AT926" s="220"/>
      <c r="AU926" s="220"/>
      <c r="AV926" s="220"/>
      <c r="AW926" s="220"/>
      <c r="AX926" s="220"/>
      <c r="AY926" s="220"/>
      <c r="AZ926" s="220"/>
    </row>
    <row r="927" ht="15.75" customHeight="1">
      <c r="A927" s="272"/>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c r="AA927" s="220"/>
      <c r="AB927" s="220"/>
      <c r="AC927" s="220"/>
      <c r="AD927" s="220"/>
      <c r="AE927" s="220"/>
      <c r="AF927" s="220"/>
      <c r="AG927" s="220"/>
      <c r="AH927" s="220"/>
      <c r="AI927" s="220"/>
      <c r="AJ927" s="220"/>
      <c r="AK927" s="220"/>
      <c r="AL927" s="220"/>
      <c r="AM927" s="220"/>
      <c r="AN927" s="220"/>
      <c r="AO927" s="220"/>
      <c r="AP927" s="220"/>
      <c r="AQ927" s="220"/>
      <c r="AR927" s="220"/>
      <c r="AS927" s="220"/>
      <c r="AT927" s="220"/>
      <c r="AU927" s="220"/>
      <c r="AV927" s="220"/>
      <c r="AW927" s="220"/>
      <c r="AX927" s="220"/>
      <c r="AY927" s="220"/>
      <c r="AZ927" s="220"/>
    </row>
    <row r="928" ht="15.75" customHeight="1">
      <c r="A928" s="272"/>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c r="AA928" s="220"/>
      <c r="AB928" s="220"/>
      <c r="AC928" s="220"/>
      <c r="AD928" s="220"/>
      <c r="AE928" s="220"/>
      <c r="AF928" s="220"/>
      <c r="AG928" s="220"/>
      <c r="AH928" s="220"/>
      <c r="AI928" s="220"/>
      <c r="AJ928" s="220"/>
      <c r="AK928" s="220"/>
      <c r="AL928" s="220"/>
      <c r="AM928" s="220"/>
      <c r="AN928" s="220"/>
      <c r="AO928" s="220"/>
      <c r="AP928" s="220"/>
      <c r="AQ928" s="220"/>
      <c r="AR928" s="220"/>
      <c r="AS928" s="220"/>
      <c r="AT928" s="220"/>
      <c r="AU928" s="220"/>
      <c r="AV928" s="220"/>
      <c r="AW928" s="220"/>
      <c r="AX928" s="220"/>
      <c r="AY928" s="220"/>
      <c r="AZ928" s="220"/>
    </row>
    <row r="929" ht="15.75" customHeight="1">
      <c r="A929" s="272"/>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c r="AA929" s="220"/>
      <c r="AB929" s="220"/>
      <c r="AC929" s="220"/>
      <c r="AD929" s="220"/>
      <c r="AE929" s="220"/>
      <c r="AF929" s="220"/>
      <c r="AG929" s="220"/>
      <c r="AH929" s="220"/>
      <c r="AI929" s="220"/>
      <c r="AJ929" s="220"/>
      <c r="AK929" s="220"/>
      <c r="AL929" s="220"/>
      <c r="AM929" s="220"/>
      <c r="AN929" s="220"/>
      <c r="AO929" s="220"/>
      <c r="AP929" s="220"/>
      <c r="AQ929" s="220"/>
      <c r="AR929" s="220"/>
      <c r="AS929" s="220"/>
      <c r="AT929" s="220"/>
      <c r="AU929" s="220"/>
      <c r="AV929" s="220"/>
      <c r="AW929" s="220"/>
      <c r="AX929" s="220"/>
      <c r="AY929" s="220"/>
      <c r="AZ929" s="220"/>
    </row>
    <row r="930" ht="15.75" customHeight="1">
      <c r="A930" s="272"/>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c r="AA930" s="220"/>
      <c r="AB930" s="220"/>
      <c r="AC930" s="220"/>
      <c r="AD930" s="220"/>
      <c r="AE930" s="220"/>
      <c r="AF930" s="220"/>
      <c r="AG930" s="220"/>
      <c r="AH930" s="220"/>
      <c r="AI930" s="220"/>
      <c r="AJ930" s="220"/>
      <c r="AK930" s="220"/>
      <c r="AL930" s="220"/>
      <c r="AM930" s="220"/>
      <c r="AN930" s="220"/>
      <c r="AO930" s="220"/>
      <c r="AP930" s="220"/>
      <c r="AQ930" s="220"/>
      <c r="AR930" s="220"/>
      <c r="AS930" s="220"/>
      <c r="AT930" s="220"/>
      <c r="AU930" s="220"/>
      <c r="AV930" s="220"/>
      <c r="AW930" s="220"/>
      <c r="AX930" s="220"/>
      <c r="AY930" s="220"/>
      <c r="AZ930" s="220"/>
    </row>
    <row r="931" ht="15.75" customHeight="1">
      <c r="A931" s="272"/>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c r="AA931" s="220"/>
      <c r="AB931" s="220"/>
      <c r="AC931" s="220"/>
      <c r="AD931" s="220"/>
      <c r="AE931" s="220"/>
      <c r="AF931" s="220"/>
      <c r="AG931" s="220"/>
      <c r="AH931" s="220"/>
      <c r="AI931" s="220"/>
      <c r="AJ931" s="220"/>
      <c r="AK931" s="220"/>
      <c r="AL931" s="220"/>
      <c r="AM931" s="220"/>
      <c r="AN931" s="220"/>
      <c r="AO931" s="220"/>
      <c r="AP931" s="220"/>
      <c r="AQ931" s="220"/>
      <c r="AR931" s="220"/>
      <c r="AS931" s="220"/>
      <c r="AT931" s="220"/>
      <c r="AU931" s="220"/>
      <c r="AV931" s="220"/>
      <c r="AW931" s="220"/>
      <c r="AX931" s="220"/>
      <c r="AY931" s="220"/>
      <c r="AZ931" s="220"/>
    </row>
    <row r="932" ht="15.75" customHeight="1">
      <c r="A932" s="272"/>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c r="AA932" s="220"/>
      <c r="AB932" s="220"/>
      <c r="AC932" s="220"/>
      <c r="AD932" s="220"/>
      <c r="AE932" s="220"/>
      <c r="AF932" s="220"/>
      <c r="AG932" s="220"/>
      <c r="AH932" s="220"/>
      <c r="AI932" s="220"/>
      <c r="AJ932" s="220"/>
      <c r="AK932" s="220"/>
      <c r="AL932" s="220"/>
      <c r="AM932" s="220"/>
      <c r="AN932" s="220"/>
      <c r="AO932" s="220"/>
      <c r="AP932" s="220"/>
      <c r="AQ932" s="220"/>
      <c r="AR932" s="220"/>
      <c r="AS932" s="220"/>
      <c r="AT932" s="220"/>
      <c r="AU932" s="220"/>
      <c r="AV932" s="220"/>
      <c r="AW932" s="220"/>
      <c r="AX932" s="220"/>
      <c r="AY932" s="220"/>
      <c r="AZ932" s="220"/>
    </row>
    <row r="933" ht="15.75" customHeight="1">
      <c r="A933" s="272"/>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c r="AA933" s="220"/>
      <c r="AB933" s="220"/>
      <c r="AC933" s="220"/>
      <c r="AD933" s="220"/>
      <c r="AE933" s="220"/>
      <c r="AF933" s="220"/>
      <c r="AG933" s="220"/>
      <c r="AH933" s="220"/>
      <c r="AI933" s="220"/>
      <c r="AJ933" s="220"/>
      <c r="AK933" s="220"/>
      <c r="AL933" s="220"/>
      <c r="AM933" s="220"/>
      <c r="AN933" s="220"/>
      <c r="AO933" s="220"/>
      <c r="AP933" s="220"/>
      <c r="AQ933" s="220"/>
      <c r="AR933" s="220"/>
      <c r="AS933" s="220"/>
      <c r="AT933" s="220"/>
      <c r="AU933" s="220"/>
      <c r="AV933" s="220"/>
      <c r="AW933" s="220"/>
      <c r="AX933" s="220"/>
      <c r="AY933" s="220"/>
      <c r="AZ933" s="220"/>
    </row>
    <row r="934" ht="15.75" customHeight="1">
      <c r="A934" s="272"/>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c r="AA934" s="220"/>
      <c r="AB934" s="220"/>
      <c r="AC934" s="220"/>
      <c r="AD934" s="220"/>
      <c r="AE934" s="220"/>
      <c r="AF934" s="220"/>
      <c r="AG934" s="220"/>
      <c r="AH934" s="220"/>
      <c r="AI934" s="220"/>
      <c r="AJ934" s="220"/>
      <c r="AK934" s="220"/>
      <c r="AL934" s="220"/>
      <c r="AM934" s="220"/>
      <c r="AN934" s="220"/>
      <c r="AO934" s="220"/>
      <c r="AP934" s="220"/>
      <c r="AQ934" s="220"/>
      <c r="AR934" s="220"/>
      <c r="AS934" s="220"/>
      <c r="AT934" s="220"/>
      <c r="AU934" s="220"/>
      <c r="AV934" s="220"/>
      <c r="AW934" s="220"/>
      <c r="AX934" s="220"/>
      <c r="AY934" s="220"/>
      <c r="AZ934" s="220"/>
    </row>
    <row r="935" ht="15.75" customHeight="1">
      <c r="A935" s="272"/>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c r="AA935" s="220"/>
      <c r="AB935" s="220"/>
      <c r="AC935" s="220"/>
      <c r="AD935" s="220"/>
      <c r="AE935" s="220"/>
      <c r="AF935" s="220"/>
      <c r="AG935" s="220"/>
      <c r="AH935" s="220"/>
      <c r="AI935" s="220"/>
      <c r="AJ935" s="220"/>
      <c r="AK935" s="220"/>
      <c r="AL935" s="220"/>
      <c r="AM935" s="220"/>
      <c r="AN935" s="220"/>
      <c r="AO935" s="220"/>
      <c r="AP935" s="220"/>
      <c r="AQ935" s="220"/>
      <c r="AR935" s="220"/>
      <c r="AS935" s="220"/>
      <c r="AT935" s="220"/>
      <c r="AU935" s="220"/>
      <c r="AV935" s="220"/>
      <c r="AW935" s="220"/>
      <c r="AX935" s="220"/>
      <c r="AY935" s="220"/>
      <c r="AZ935" s="220"/>
    </row>
    <row r="936" ht="15.75" customHeight="1">
      <c r="A936" s="272"/>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c r="AA936" s="220"/>
      <c r="AB936" s="220"/>
      <c r="AC936" s="220"/>
      <c r="AD936" s="220"/>
      <c r="AE936" s="220"/>
      <c r="AF936" s="220"/>
      <c r="AG936" s="220"/>
      <c r="AH936" s="220"/>
      <c r="AI936" s="220"/>
      <c r="AJ936" s="220"/>
      <c r="AK936" s="220"/>
      <c r="AL936" s="220"/>
      <c r="AM936" s="220"/>
      <c r="AN936" s="220"/>
      <c r="AO936" s="220"/>
      <c r="AP936" s="220"/>
      <c r="AQ936" s="220"/>
      <c r="AR936" s="220"/>
      <c r="AS936" s="220"/>
      <c r="AT936" s="220"/>
      <c r="AU936" s="220"/>
      <c r="AV936" s="220"/>
      <c r="AW936" s="220"/>
      <c r="AX936" s="220"/>
      <c r="AY936" s="220"/>
      <c r="AZ936" s="220"/>
    </row>
    <row r="937" ht="15.75" customHeight="1">
      <c r="A937" s="272"/>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c r="AA937" s="220"/>
      <c r="AB937" s="220"/>
      <c r="AC937" s="220"/>
      <c r="AD937" s="220"/>
      <c r="AE937" s="220"/>
      <c r="AF937" s="220"/>
      <c r="AG937" s="220"/>
      <c r="AH937" s="220"/>
      <c r="AI937" s="220"/>
      <c r="AJ937" s="220"/>
      <c r="AK937" s="220"/>
      <c r="AL937" s="220"/>
      <c r="AM937" s="220"/>
      <c r="AN937" s="220"/>
      <c r="AO937" s="220"/>
      <c r="AP937" s="220"/>
      <c r="AQ937" s="220"/>
      <c r="AR937" s="220"/>
      <c r="AS937" s="220"/>
      <c r="AT937" s="220"/>
      <c r="AU937" s="220"/>
      <c r="AV937" s="220"/>
      <c r="AW937" s="220"/>
      <c r="AX937" s="220"/>
      <c r="AY937" s="220"/>
      <c r="AZ937" s="220"/>
    </row>
    <row r="938" ht="15.75" customHeight="1">
      <c r="A938" s="272"/>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c r="AA938" s="220"/>
      <c r="AB938" s="220"/>
      <c r="AC938" s="220"/>
      <c r="AD938" s="220"/>
      <c r="AE938" s="220"/>
      <c r="AF938" s="220"/>
      <c r="AG938" s="220"/>
      <c r="AH938" s="220"/>
      <c r="AI938" s="220"/>
      <c r="AJ938" s="220"/>
      <c r="AK938" s="220"/>
      <c r="AL938" s="220"/>
      <c r="AM938" s="220"/>
      <c r="AN938" s="220"/>
      <c r="AO938" s="220"/>
      <c r="AP938" s="220"/>
      <c r="AQ938" s="220"/>
      <c r="AR938" s="220"/>
      <c r="AS938" s="220"/>
      <c r="AT938" s="220"/>
      <c r="AU938" s="220"/>
      <c r="AV938" s="220"/>
      <c r="AW938" s="220"/>
      <c r="AX938" s="220"/>
      <c r="AY938" s="220"/>
      <c r="AZ938" s="220"/>
    </row>
    <row r="939" ht="15.75" customHeight="1">
      <c r="A939" s="272"/>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c r="AA939" s="220"/>
      <c r="AB939" s="220"/>
      <c r="AC939" s="220"/>
      <c r="AD939" s="220"/>
      <c r="AE939" s="220"/>
      <c r="AF939" s="220"/>
      <c r="AG939" s="220"/>
      <c r="AH939" s="220"/>
      <c r="AI939" s="220"/>
      <c r="AJ939" s="220"/>
      <c r="AK939" s="220"/>
      <c r="AL939" s="220"/>
      <c r="AM939" s="220"/>
      <c r="AN939" s="220"/>
      <c r="AO939" s="220"/>
      <c r="AP939" s="220"/>
      <c r="AQ939" s="220"/>
      <c r="AR939" s="220"/>
      <c r="AS939" s="220"/>
      <c r="AT939" s="220"/>
      <c r="AU939" s="220"/>
      <c r="AV939" s="220"/>
      <c r="AW939" s="220"/>
      <c r="AX939" s="220"/>
      <c r="AY939" s="220"/>
      <c r="AZ939" s="220"/>
    </row>
    <row r="940" ht="15.75" customHeight="1">
      <c r="A940" s="272"/>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c r="AA940" s="220"/>
      <c r="AB940" s="220"/>
      <c r="AC940" s="220"/>
      <c r="AD940" s="220"/>
      <c r="AE940" s="220"/>
      <c r="AF940" s="220"/>
      <c r="AG940" s="220"/>
      <c r="AH940" s="220"/>
      <c r="AI940" s="220"/>
      <c r="AJ940" s="220"/>
      <c r="AK940" s="220"/>
      <c r="AL940" s="220"/>
      <c r="AM940" s="220"/>
      <c r="AN940" s="220"/>
      <c r="AO940" s="220"/>
      <c r="AP940" s="220"/>
      <c r="AQ940" s="220"/>
      <c r="AR940" s="220"/>
      <c r="AS940" s="220"/>
      <c r="AT940" s="220"/>
      <c r="AU940" s="220"/>
      <c r="AV940" s="220"/>
      <c r="AW940" s="220"/>
      <c r="AX940" s="220"/>
      <c r="AY940" s="220"/>
      <c r="AZ940" s="220"/>
    </row>
    <row r="941" ht="15.75" customHeight="1">
      <c r="A941" s="272"/>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c r="AA941" s="220"/>
      <c r="AB941" s="220"/>
      <c r="AC941" s="220"/>
      <c r="AD941" s="220"/>
      <c r="AE941" s="220"/>
      <c r="AF941" s="220"/>
      <c r="AG941" s="220"/>
      <c r="AH941" s="220"/>
      <c r="AI941" s="220"/>
      <c r="AJ941" s="220"/>
      <c r="AK941" s="220"/>
      <c r="AL941" s="220"/>
      <c r="AM941" s="220"/>
      <c r="AN941" s="220"/>
      <c r="AO941" s="220"/>
      <c r="AP941" s="220"/>
      <c r="AQ941" s="220"/>
      <c r="AR941" s="220"/>
      <c r="AS941" s="220"/>
      <c r="AT941" s="220"/>
      <c r="AU941" s="220"/>
      <c r="AV941" s="220"/>
      <c r="AW941" s="220"/>
      <c r="AX941" s="220"/>
      <c r="AY941" s="220"/>
      <c r="AZ941" s="220"/>
    </row>
    <row r="942" ht="15.75" customHeight="1">
      <c r="A942" s="272"/>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c r="AA942" s="220"/>
      <c r="AB942" s="220"/>
      <c r="AC942" s="220"/>
      <c r="AD942" s="220"/>
      <c r="AE942" s="220"/>
      <c r="AF942" s="220"/>
      <c r="AG942" s="220"/>
      <c r="AH942" s="220"/>
      <c r="AI942" s="220"/>
      <c r="AJ942" s="220"/>
      <c r="AK942" s="220"/>
      <c r="AL942" s="220"/>
      <c r="AM942" s="220"/>
      <c r="AN942" s="220"/>
      <c r="AO942" s="220"/>
      <c r="AP942" s="220"/>
      <c r="AQ942" s="220"/>
      <c r="AR942" s="220"/>
      <c r="AS942" s="220"/>
      <c r="AT942" s="220"/>
      <c r="AU942" s="220"/>
      <c r="AV942" s="220"/>
      <c r="AW942" s="220"/>
      <c r="AX942" s="220"/>
      <c r="AY942" s="220"/>
      <c r="AZ942" s="220"/>
    </row>
    <row r="943" ht="15.75" customHeight="1">
      <c r="A943" s="272"/>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c r="AA943" s="220"/>
      <c r="AB943" s="220"/>
      <c r="AC943" s="220"/>
      <c r="AD943" s="220"/>
      <c r="AE943" s="220"/>
      <c r="AF943" s="220"/>
      <c r="AG943" s="220"/>
      <c r="AH943" s="220"/>
      <c r="AI943" s="220"/>
      <c r="AJ943" s="220"/>
      <c r="AK943" s="220"/>
      <c r="AL943" s="220"/>
      <c r="AM943" s="220"/>
      <c r="AN943" s="220"/>
      <c r="AO943" s="220"/>
      <c r="AP943" s="220"/>
      <c r="AQ943" s="220"/>
      <c r="AR943" s="220"/>
      <c r="AS943" s="220"/>
      <c r="AT943" s="220"/>
      <c r="AU943" s="220"/>
      <c r="AV943" s="220"/>
      <c r="AW943" s="220"/>
      <c r="AX943" s="220"/>
      <c r="AY943" s="220"/>
      <c r="AZ943" s="220"/>
    </row>
    <row r="944" ht="15.75" customHeight="1">
      <c r="A944" s="272"/>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c r="AA944" s="220"/>
      <c r="AB944" s="220"/>
      <c r="AC944" s="220"/>
      <c r="AD944" s="220"/>
      <c r="AE944" s="220"/>
      <c r="AF944" s="220"/>
      <c r="AG944" s="220"/>
      <c r="AH944" s="220"/>
      <c r="AI944" s="220"/>
      <c r="AJ944" s="220"/>
      <c r="AK944" s="220"/>
      <c r="AL944" s="220"/>
      <c r="AM944" s="220"/>
      <c r="AN944" s="220"/>
      <c r="AO944" s="220"/>
      <c r="AP944" s="220"/>
      <c r="AQ944" s="220"/>
      <c r="AR944" s="220"/>
      <c r="AS944" s="220"/>
      <c r="AT944" s="220"/>
      <c r="AU944" s="220"/>
      <c r="AV944" s="220"/>
      <c r="AW944" s="220"/>
      <c r="AX944" s="220"/>
      <c r="AY944" s="220"/>
      <c r="AZ944" s="220"/>
    </row>
    <row r="945" ht="15.75" customHeight="1">
      <c r="A945" s="272"/>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c r="AA945" s="220"/>
      <c r="AB945" s="220"/>
      <c r="AC945" s="220"/>
      <c r="AD945" s="220"/>
      <c r="AE945" s="220"/>
      <c r="AF945" s="220"/>
      <c r="AG945" s="220"/>
      <c r="AH945" s="220"/>
      <c r="AI945" s="220"/>
      <c r="AJ945" s="220"/>
      <c r="AK945" s="220"/>
      <c r="AL945" s="220"/>
      <c r="AM945" s="220"/>
      <c r="AN945" s="220"/>
      <c r="AO945" s="220"/>
      <c r="AP945" s="220"/>
      <c r="AQ945" s="220"/>
      <c r="AR945" s="220"/>
      <c r="AS945" s="220"/>
      <c r="AT945" s="220"/>
      <c r="AU945" s="220"/>
      <c r="AV945" s="220"/>
      <c r="AW945" s="220"/>
      <c r="AX945" s="220"/>
      <c r="AY945" s="220"/>
      <c r="AZ945" s="220"/>
    </row>
    <row r="946" ht="15.75" customHeight="1">
      <c r="A946" s="272"/>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c r="AA946" s="220"/>
      <c r="AB946" s="220"/>
      <c r="AC946" s="220"/>
      <c r="AD946" s="220"/>
      <c r="AE946" s="220"/>
      <c r="AF946" s="220"/>
      <c r="AG946" s="220"/>
      <c r="AH946" s="220"/>
      <c r="AI946" s="220"/>
      <c r="AJ946" s="220"/>
      <c r="AK946" s="220"/>
      <c r="AL946" s="220"/>
      <c r="AM946" s="220"/>
      <c r="AN946" s="220"/>
      <c r="AO946" s="220"/>
      <c r="AP946" s="220"/>
      <c r="AQ946" s="220"/>
      <c r="AR946" s="220"/>
      <c r="AS946" s="220"/>
      <c r="AT946" s="220"/>
      <c r="AU946" s="220"/>
      <c r="AV946" s="220"/>
      <c r="AW946" s="220"/>
      <c r="AX946" s="220"/>
      <c r="AY946" s="220"/>
      <c r="AZ946" s="220"/>
    </row>
    <row r="947" ht="15.75" customHeight="1">
      <c r="A947" s="272"/>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c r="AA947" s="220"/>
      <c r="AB947" s="220"/>
      <c r="AC947" s="220"/>
      <c r="AD947" s="220"/>
      <c r="AE947" s="220"/>
      <c r="AF947" s="220"/>
      <c r="AG947" s="220"/>
      <c r="AH947" s="220"/>
      <c r="AI947" s="220"/>
      <c r="AJ947" s="220"/>
      <c r="AK947" s="220"/>
      <c r="AL947" s="220"/>
      <c r="AM947" s="220"/>
      <c r="AN947" s="220"/>
      <c r="AO947" s="220"/>
      <c r="AP947" s="220"/>
      <c r="AQ947" s="220"/>
      <c r="AR947" s="220"/>
      <c r="AS947" s="220"/>
      <c r="AT947" s="220"/>
      <c r="AU947" s="220"/>
      <c r="AV947" s="220"/>
      <c r="AW947" s="220"/>
      <c r="AX947" s="220"/>
      <c r="AY947" s="220"/>
      <c r="AZ947" s="220"/>
    </row>
    <row r="948" ht="15.75" customHeight="1">
      <c r="A948" s="272"/>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c r="AA948" s="220"/>
      <c r="AB948" s="220"/>
      <c r="AC948" s="220"/>
      <c r="AD948" s="220"/>
      <c r="AE948" s="220"/>
      <c r="AF948" s="220"/>
      <c r="AG948" s="220"/>
      <c r="AH948" s="220"/>
      <c r="AI948" s="220"/>
      <c r="AJ948" s="220"/>
      <c r="AK948" s="220"/>
      <c r="AL948" s="220"/>
      <c r="AM948" s="220"/>
      <c r="AN948" s="220"/>
      <c r="AO948" s="220"/>
      <c r="AP948" s="220"/>
      <c r="AQ948" s="220"/>
      <c r="AR948" s="220"/>
      <c r="AS948" s="220"/>
      <c r="AT948" s="220"/>
      <c r="AU948" s="220"/>
      <c r="AV948" s="220"/>
      <c r="AW948" s="220"/>
      <c r="AX948" s="220"/>
      <c r="AY948" s="220"/>
      <c r="AZ948" s="220"/>
    </row>
    <row r="949" ht="15.75" customHeight="1">
      <c r="A949" s="272"/>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c r="AA949" s="220"/>
      <c r="AB949" s="220"/>
      <c r="AC949" s="220"/>
      <c r="AD949" s="220"/>
      <c r="AE949" s="220"/>
      <c r="AF949" s="220"/>
      <c r="AG949" s="220"/>
      <c r="AH949" s="220"/>
      <c r="AI949" s="220"/>
      <c r="AJ949" s="220"/>
      <c r="AK949" s="220"/>
      <c r="AL949" s="220"/>
      <c r="AM949" s="220"/>
      <c r="AN949" s="220"/>
      <c r="AO949" s="220"/>
      <c r="AP949" s="220"/>
      <c r="AQ949" s="220"/>
      <c r="AR949" s="220"/>
      <c r="AS949" s="220"/>
      <c r="AT949" s="220"/>
      <c r="AU949" s="220"/>
      <c r="AV949" s="220"/>
      <c r="AW949" s="220"/>
      <c r="AX949" s="220"/>
      <c r="AY949" s="220"/>
      <c r="AZ949" s="220"/>
    </row>
    <row r="950" ht="15.75" customHeight="1">
      <c r="A950" s="272"/>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c r="AA950" s="220"/>
      <c r="AB950" s="220"/>
      <c r="AC950" s="220"/>
      <c r="AD950" s="220"/>
      <c r="AE950" s="220"/>
      <c r="AF950" s="220"/>
      <c r="AG950" s="220"/>
      <c r="AH950" s="220"/>
      <c r="AI950" s="220"/>
      <c r="AJ950" s="220"/>
      <c r="AK950" s="220"/>
      <c r="AL950" s="220"/>
      <c r="AM950" s="220"/>
      <c r="AN950" s="220"/>
      <c r="AO950" s="220"/>
      <c r="AP950" s="220"/>
      <c r="AQ950" s="220"/>
      <c r="AR950" s="220"/>
      <c r="AS950" s="220"/>
      <c r="AT950" s="220"/>
      <c r="AU950" s="220"/>
      <c r="AV950" s="220"/>
      <c r="AW950" s="220"/>
      <c r="AX950" s="220"/>
      <c r="AY950" s="220"/>
      <c r="AZ950" s="220"/>
    </row>
    <row r="951" ht="15.75" customHeight="1">
      <c r="A951" s="272"/>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c r="AA951" s="220"/>
      <c r="AB951" s="220"/>
      <c r="AC951" s="220"/>
      <c r="AD951" s="220"/>
      <c r="AE951" s="220"/>
      <c r="AF951" s="220"/>
      <c r="AG951" s="220"/>
      <c r="AH951" s="220"/>
      <c r="AI951" s="220"/>
      <c r="AJ951" s="220"/>
      <c r="AK951" s="220"/>
      <c r="AL951" s="220"/>
      <c r="AM951" s="220"/>
      <c r="AN951" s="220"/>
      <c r="AO951" s="220"/>
      <c r="AP951" s="220"/>
      <c r="AQ951" s="220"/>
      <c r="AR951" s="220"/>
      <c r="AS951" s="220"/>
      <c r="AT951" s="220"/>
      <c r="AU951" s="220"/>
      <c r="AV951" s="220"/>
      <c r="AW951" s="220"/>
      <c r="AX951" s="220"/>
      <c r="AY951" s="220"/>
      <c r="AZ951" s="220"/>
    </row>
    <row r="952" ht="15.75" customHeight="1">
      <c r="A952" s="272"/>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c r="AA952" s="220"/>
      <c r="AB952" s="220"/>
      <c r="AC952" s="220"/>
      <c r="AD952" s="220"/>
      <c r="AE952" s="220"/>
      <c r="AF952" s="220"/>
      <c r="AG952" s="220"/>
      <c r="AH952" s="220"/>
      <c r="AI952" s="220"/>
      <c r="AJ952" s="220"/>
      <c r="AK952" s="220"/>
      <c r="AL952" s="220"/>
      <c r="AM952" s="220"/>
      <c r="AN952" s="220"/>
      <c r="AO952" s="220"/>
      <c r="AP952" s="220"/>
      <c r="AQ952" s="220"/>
      <c r="AR952" s="220"/>
      <c r="AS952" s="220"/>
      <c r="AT952" s="220"/>
      <c r="AU952" s="220"/>
      <c r="AV952" s="220"/>
      <c r="AW952" s="220"/>
      <c r="AX952" s="220"/>
      <c r="AY952" s="220"/>
      <c r="AZ952" s="220"/>
    </row>
    <row r="953" ht="15.75" customHeight="1">
      <c r="A953" s="272"/>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c r="AA953" s="220"/>
      <c r="AB953" s="220"/>
      <c r="AC953" s="220"/>
      <c r="AD953" s="220"/>
      <c r="AE953" s="220"/>
      <c r="AF953" s="220"/>
      <c r="AG953" s="220"/>
      <c r="AH953" s="220"/>
      <c r="AI953" s="220"/>
      <c r="AJ953" s="220"/>
      <c r="AK953" s="220"/>
      <c r="AL953" s="220"/>
      <c r="AM953" s="220"/>
      <c r="AN953" s="220"/>
      <c r="AO953" s="220"/>
      <c r="AP953" s="220"/>
      <c r="AQ953" s="220"/>
      <c r="AR953" s="220"/>
      <c r="AS953" s="220"/>
      <c r="AT953" s="220"/>
      <c r="AU953" s="220"/>
      <c r="AV953" s="220"/>
      <c r="AW953" s="220"/>
      <c r="AX953" s="220"/>
      <c r="AY953" s="220"/>
      <c r="AZ953" s="220"/>
    </row>
    <row r="954" ht="15.75" customHeight="1">
      <c r="A954" s="272"/>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c r="AA954" s="220"/>
      <c r="AB954" s="220"/>
      <c r="AC954" s="220"/>
      <c r="AD954" s="220"/>
      <c r="AE954" s="220"/>
      <c r="AF954" s="220"/>
      <c r="AG954" s="220"/>
      <c r="AH954" s="220"/>
      <c r="AI954" s="220"/>
      <c r="AJ954" s="220"/>
      <c r="AK954" s="220"/>
      <c r="AL954" s="220"/>
      <c r="AM954" s="220"/>
      <c r="AN954" s="220"/>
      <c r="AO954" s="220"/>
      <c r="AP954" s="220"/>
      <c r="AQ954" s="220"/>
      <c r="AR954" s="220"/>
      <c r="AS954" s="220"/>
      <c r="AT954" s="220"/>
      <c r="AU954" s="220"/>
      <c r="AV954" s="220"/>
      <c r="AW954" s="220"/>
      <c r="AX954" s="220"/>
      <c r="AY954" s="220"/>
      <c r="AZ954" s="220"/>
    </row>
    <row r="955" ht="15.75" customHeight="1">
      <c r="A955" s="272"/>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c r="AA955" s="220"/>
      <c r="AB955" s="220"/>
      <c r="AC955" s="220"/>
      <c r="AD955" s="220"/>
      <c r="AE955" s="220"/>
      <c r="AF955" s="220"/>
      <c r="AG955" s="220"/>
      <c r="AH955" s="220"/>
      <c r="AI955" s="220"/>
      <c r="AJ955" s="220"/>
      <c r="AK955" s="220"/>
      <c r="AL955" s="220"/>
      <c r="AM955" s="220"/>
      <c r="AN955" s="220"/>
      <c r="AO955" s="220"/>
      <c r="AP955" s="220"/>
      <c r="AQ955" s="220"/>
      <c r="AR955" s="220"/>
      <c r="AS955" s="220"/>
      <c r="AT955" s="220"/>
      <c r="AU955" s="220"/>
      <c r="AV955" s="220"/>
      <c r="AW955" s="220"/>
      <c r="AX955" s="220"/>
      <c r="AY955" s="220"/>
      <c r="AZ955" s="220"/>
    </row>
    <row r="956" ht="15.75" customHeight="1">
      <c r="A956" s="272"/>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c r="AA956" s="220"/>
      <c r="AB956" s="220"/>
      <c r="AC956" s="220"/>
      <c r="AD956" s="220"/>
      <c r="AE956" s="220"/>
      <c r="AF956" s="220"/>
      <c r="AG956" s="220"/>
      <c r="AH956" s="220"/>
      <c r="AI956" s="220"/>
      <c r="AJ956" s="220"/>
      <c r="AK956" s="220"/>
      <c r="AL956" s="220"/>
      <c r="AM956" s="220"/>
      <c r="AN956" s="220"/>
      <c r="AO956" s="220"/>
      <c r="AP956" s="220"/>
      <c r="AQ956" s="220"/>
      <c r="AR956" s="220"/>
      <c r="AS956" s="220"/>
      <c r="AT956" s="220"/>
      <c r="AU956" s="220"/>
      <c r="AV956" s="220"/>
      <c r="AW956" s="220"/>
      <c r="AX956" s="220"/>
      <c r="AY956" s="220"/>
      <c r="AZ956" s="220"/>
    </row>
    <row r="957" ht="15.75" customHeight="1">
      <c r="A957" s="272"/>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c r="AA957" s="220"/>
      <c r="AB957" s="220"/>
      <c r="AC957" s="220"/>
      <c r="AD957" s="220"/>
      <c r="AE957" s="220"/>
      <c r="AF957" s="220"/>
      <c r="AG957" s="220"/>
      <c r="AH957" s="220"/>
      <c r="AI957" s="220"/>
      <c r="AJ957" s="220"/>
      <c r="AK957" s="220"/>
      <c r="AL957" s="220"/>
      <c r="AM957" s="220"/>
      <c r="AN957" s="220"/>
      <c r="AO957" s="220"/>
      <c r="AP957" s="220"/>
      <c r="AQ957" s="220"/>
      <c r="AR957" s="220"/>
      <c r="AS957" s="220"/>
      <c r="AT957" s="220"/>
      <c r="AU957" s="220"/>
      <c r="AV957" s="220"/>
      <c r="AW957" s="220"/>
      <c r="AX957" s="220"/>
      <c r="AY957" s="220"/>
      <c r="AZ957" s="220"/>
    </row>
    <row r="958" ht="15.75" customHeight="1">
      <c r="A958" s="272"/>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c r="AA958" s="220"/>
      <c r="AB958" s="220"/>
      <c r="AC958" s="220"/>
      <c r="AD958" s="220"/>
      <c r="AE958" s="220"/>
      <c r="AF958" s="220"/>
      <c r="AG958" s="220"/>
      <c r="AH958" s="220"/>
      <c r="AI958" s="220"/>
      <c r="AJ958" s="220"/>
      <c r="AK958" s="220"/>
      <c r="AL958" s="220"/>
      <c r="AM958" s="220"/>
      <c r="AN958" s="220"/>
      <c r="AO958" s="220"/>
      <c r="AP958" s="220"/>
      <c r="AQ958" s="220"/>
      <c r="AR958" s="220"/>
      <c r="AS958" s="220"/>
      <c r="AT958" s="220"/>
      <c r="AU958" s="220"/>
      <c r="AV958" s="220"/>
      <c r="AW958" s="220"/>
      <c r="AX958" s="220"/>
      <c r="AY958" s="220"/>
      <c r="AZ958" s="220"/>
    </row>
    <row r="959" ht="15.75" customHeight="1">
      <c r="A959" s="272"/>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c r="AA959" s="220"/>
      <c r="AB959" s="220"/>
      <c r="AC959" s="220"/>
      <c r="AD959" s="220"/>
      <c r="AE959" s="220"/>
      <c r="AF959" s="220"/>
      <c r="AG959" s="220"/>
      <c r="AH959" s="220"/>
      <c r="AI959" s="220"/>
      <c r="AJ959" s="220"/>
      <c r="AK959" s="220"/>
      <c r="AL959" s="220"/>
      <c r="AM959" s="220"/>
      <c r="AN959" s="220"/>
      <c r="AO959" s="220"/>
      <c r="AP959" s="220"/>
      <c r="AQ959" s="220"/>
      <c r="AR959" s="220"/>
      <c r="AS959" s="220"/>
      <c r="AT959" s="220"/>
      <c r="AU959" s="220"/>
      <c r="AV959" s="220"/>
      <c r="AW959" s="220"/>
      <c r="AX959" s="220"/>
      <c r="AY959" s="220"/>
      <c r="AZ959" s="220"/>
    </row>
    <row r="960" ht="15.75" customHeight="1">
      <c r="A960" s="272"/>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c r="AA960" s="220"/>
      <c r="AB960" s="220"/>
      <c r="AC960" s="220"/>
      <c r="AD960" s="220"/>
      <c r="AE960" s="220"/>
      <c r="AF960" s="220"/>
      <c r="AG960" s="220"/>
      <c r="AH960" s="220"/>
      <c r="AI960" s="220"/>
      <c r="AJ960" s="220"/>
      <c r="AK960" s="220"/>
      <c r="AL960" s="220"/>
      <c r="AM960" s="220"/>
      <c r="AN960" s="220"/>
      <c r="AO960" s="220"/>
      <c r="AP960" s="220"/>
      <c r="AQ960" s="220"/>
      <c r="AR960" s="220"/>
      <c r="AS960" s="220"/>
      <c r="AT960" s="220"/>
      <c r="AU960" s="220"/>
      <c r="AV960" s="220"/>
      <c r="AW960" s="220"/>
      <c r="AX960" s="220"/>
      <c r="AY960" s="220"/>
      <c r="AZ960" s="220"/>
    </row>
    <row r="961" ht="15.75" customHeight="1">
      <c r="A961" s="272"/>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c r="AA961" s="220"/>
      <c r="AB961" s="220"/>
      <c r="AC961" s="220"/>
      <c r="AD961" s="220"/>
      <c r="AE961" s="220"/>
      <c r="AF961" s="220"/>
      <c r="AG961" s="220"/>
      <c r="AH961" s="220"/>
      <c r="AI961" s="220"/>
      <c r="AJ961" s="220"/>
      <c r="AK961" s="220"/>
      <c r="AL961" s="220"/>
      <c r="AM961" s="220"/>
      <c r="AN961" s="220"/>
      <c r="AO961" s="220"/>
      <c r="AP961" s="220"/>
      <c r="AQ961" s="220"/>
      <c r="AR961" s="220"/>
      <c r="AS961" s="220"/>
      <c r="AT961" s="220"/>
      <c r="AU961" s="220"/>
      <c r="AV961" s="220"/>
      <c r="AW961" s="220"/>
      <c r="AX961" s="220"/>
      <c r="AY961" s="220"/>
      <c r="AZ961" s="220"/>
    </row>
    <row r="962" ht="15.75" customHeight="1">
      <c r="A962" s="272"/>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c r="AA962" s="220"/>
      <c r="AB962" s="220"/>
      <c r="AC962" s="220"/>
      <c r="AD962" s="220"/>
      <c r="AE962" s="220"/>
      <c r="AF962" s="220"/>
      <c r="AG962" s="220"/>
      <c r="AH962" s="220"/>
      <c r="AI962" s="220"/>
      <c r="AJ962" s="220"/>
      <c r="AK962" s="220"/>
      <c r="AL962" s="220"/>
      <c r="AM962" s="220"/>
      <c r="AN962" s="220"/>
      <c r="AO962" s="220"/>
      <c r="AP962" s="220"/>
      <c r="AQ962" s="220"/>
      <c r="AR962" s="220"/>
      <c r="AS962" s="220"/>
      <c r="AT962" s="220"/>
      <c r="AU962" s="220"/>
      <c r="AV962" s="220"/>
      <c r="AW962" s="220"/>
      <c r="AX962" s="220"/>
      <c r="AY962" s="220"/>
      <c r="AZ962" s="220"/>
    </row>
    <row r="963" ht="15.75" customHeight="1">
      <c r="A963" s="272"/>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c r="AA963" s="220"/>
      <c r="AB963" s="220"/>
      <c r="AC963" s="220"/>
      <c r="AD963" s="220"/>
      <c r="AE963" s="220"/>
      <c r="AF963" s="220"/>
      <c r="AG963" s="220"/>
      <c r="AH963" s="220"/>
      <c r="AI963" s="220"/>
      <c r="AJ963" s="220"/>
      <c r="AK963" s="220"/>
      <c r="AL963" s="220"/>
      <c r="AM963" s="220"/>
      <c r="AN963" s="220"/>
      <c r="AO963" s="220"/>
      <c r="AP963" s="220"/>
      <c r="AQ963" s="220"/>
      <c r="AR963" s="220"/>
      <c r="AS963" s="220"/>
      <c r="AT963" s="220"/>
      <c r="AU963" s="220"/>
      <c r="AV963" s="220"/>
      <c r="AW963" s="220"/>
      <c r="AX963" s="220"/>
      <c r="AY963" s="220"/>
      <c r="AZ963" s="220"/>
    </row>
    <row r="964" ht="15.75" customHeight="1">
      <c r="A964" s="272"/>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c r="AA964" s="220"/>
      <c r="AB964" s="220"/>
      <c r="AC964" s="220"/>
      <c r="AD964" s="220"/>
      <c r="AE964" s="220"/>
      <c r="AF964" s="220"/>
      <c r="AG964" s="220"/>
      <c r="AH964" s="220"/>
      <c r="AI964" s="220"/>
      <c r="AJ964" s="220"/>
      <c r="AK964" s="220"/>
      <c r="AL964" s="220"/>
      <c r="AM964" s="220"/>
      <c r="AN964" s="220"/>
      <c r="AO964" s="220"/>
      <c r="AP964" s="220"/>
      <c r="AQ964" s="220"/>
      <c r="AR964" s="220"/>
      <c r="AS964" s="220"/>
      <c r="AT964" s="220"/>
      <c r="AU964" s="220"/>
      <c r="AV964" s="220"/>
      <c r="AW964" s="220"/>
      <c r="AX964" s="220"/>
      <c r="AY964" s="220"/>
      <c r="AZ964" s="220"/>
    </row>
    <row r="965" ht="15.75" customHeight="1">
      <c r="A965" s="272"/>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c r="AA965" s="220"/>
      <c r="AB965" s="220"/>
      <c r="AC965" s="220"/>
      <c r="AD965" s="220"/>
      <c r="AE965" s="220"/>
      <c r="AF965" s="220"/>
      <c r="AG965" s="220"/>
      <c r="AH965" s="220"/>
      <c r="AI965" s="220"/>
      <c r="AJ965" s="220"/>
      <c r="AK965" s="220"/>
      <c r="AL965" s="220"/>
      <c r="AM965" s="220"/>
      <c r="AN965" s="220"/>
      <c r="AO965" s="220"/>
      <c r="AP965" s="220"/>
      <c r="AQ965" s="220"/>
      <c r="AR965" s="220"/>
      <c r="AS965" s="220"/>
      <c r="AT965" s="220"/>
      <c r="AU965" s="220"/>
      <c r="AV965" s="220"/>
      <c r="AW965" s="220"/>
      <c r="AX965" s="220"/>
      <c r="AY965" s="220"/>
      <c r="AZ965" s="220"/>
    </row>
    <row r="966" ht="15.75" customHeight="1">
      <c r="A966" s="272"/>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c r="AA966" s="220"/>
      <c r="AB966" s="220"/>
      <c r="AC966" s="220"/>
      <c r="AD966" s="220"/>
      <c r="AE966" s="220"/>
      <c r="AF966" s="220"/>
      <c r="AG966" s="220"/>
      <c r="AH966" s="220"/>
      <c r="AI966" s="220"/>
      <c r="AJ966" s="220"/>
      <c r="AK966" s="220"/>
      <c r="AL966" s="220"/>
      <c r="AM966" s="220"/>
      <c r="AN966" s="220"/>
      <c r="AO966" s="220"/>
      <c r="AP966" s="220"/>
      <c r="AQ966" s="220"/>
      <c r="AR966" s="220"/>
      <c r="AS966" s="220"/>
      <c r="AT966" s="220"/>
      <c r="AU966" s="220"/>
      <c r="AV966" s="220"/>
      <c r="AW966" s="220"/>
      <c r="AX966" s="220"/>
      <c r="AY966" s="220"/>
      <c r="AZ966" s="220"/>
    </row>
    <row r="967" ht="15.75" customHeight="1">
      <c r="A967" s="272"/>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c r="AA967" s="220"/>
      <c r="AB967" s="220"/>
      <c r="AC967" s="220"/>
      <c r="AD967" s="220"/>
      <c r="AE967" s="220"/>
      <c r="AF967" s="220"/>
      <c r="AG967" s="220"/>
      <c r="AH967" s="220"/>
      <c r="AI967" s="220"/>
      <c r="AJ967" s="220"/>
      <c r="AK967" s="220"/>
      <c r="AL967" s="220"/>
      <c r="AM967" s="220"/>
      <c r="AN967" s="220"/>
      <c r="AO967" s="220"/>
      <c r="AP967" s="220"/>
      <c r="AQ967" s="220"/>
      <c r="AR967" s="220"/>
      <c r="AS967" s="220"/>
      <c r="AT967" s="220"/>
      <c r="AU967" s="220"/>
      <c r="AV967" s="220"/>
      <c r="AW967" s="220"/>
      <c r="AX967" s="220"/>
      <c r="AY967" s="220"/>
      <c r="AZ967" s="220"/>
    </row>
    <row r="968" ht="15.75" customHeight="1">
      <c r="A968" s="272"/>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c r="AA968" s="220"/>
      <c r="AB968" s="220"/>
      <c r="AC968" s="220"/>
      <c r="AD968" s="220"/>
      <c r="AE968" s="220"/>
      <c r="AF968" s="220"/>
      <c r="AG968" s="220"/>
      <c r="AH968" s="220"/>
      <c r="AI968" s="220"/>
      <c r="AJ968" s="220"/>
      <c r="AK968" s="220"/>
      <c r="AL968" s="220"/>
      <c r="AM968" s="220"/>
      <c r="AN968" s="220"/>
      <c r="AO968" s="220"/>
      <c r="AP968" s="220"/>
      <c r="AQ968" s="220"/>
      <c r="AR968" s="220"/>
      <c r="AS968" s="220"/>
      <c r="AT968" s="220"/>
      <c r="AU968" s="220"/>
      <c r="AV968" s="220"/>
      <c r="AW968" s="220"/>
      <c r="AX968" s="220"/>
      <c r="AY968" s="220"/>
      <c r="AZ968" s="220"/>
    </row>
    <row r="969" ht="15.75" customHeight="1">
      <c r="A969" s="272"/>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c r="AA969" s="220"/>
      <c r="AB969" s="220"/>
      <c r="AC969" s="220"/>
      <c r="AD969" s="220"/>
      <c r="AE969" s="220"/>
      <c r="AF969" s="220"/>
      <c r="AG969" s="220"/>
      <c r="AH969" s="220"/>
      <c r="AI969" s="220"/>
      <c r="AJ969" s="220"/>
      <c r="AK969" s="220"/>
      <c r="AL969" s="220"/>
      <c r="AM969" s="220"/>
      <c r="AN969" s="220"/>
      <c r="AO969" s="220"/>
      <c r="AP969" s="220"/>
      <c r="AQ969" s="220"/>
      <c r="AR969" s="220"/>
      <c r="AS969" s="220"/>
      <c r="AT969" s="220"/>
      <c r="AU969" s="220"/>
      <c r="AV969" s="220"/>
      <c r="AW969" s="220"/>
      <c r="AX969" s="220"/>
      <c r="AY969" s="220"/>
      <c r="AZ969" s="220"/>
    </row>
    <row r="970" ht="15.75" customHeight="1">
      <c r="A970" s="272"/>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c r="AA970" s="220"/>
      <c r="AB970" s="220"/>
      <c r="AC970" s="220"/>
      <c r="AD970" s="220"/>
      <c r="AE970" s="220"/>
      <c r="AF970" s="220"/>
      <c r="AG970" s="220"/>
      <c r="AH970" s="220"/>
      <c r="AI970" s="220"/>
      <c r="AJ970" s="220"/>
      <c r="AK970" s="220"/>
      <c r="AL970" s="220"/>
      <c r="AM970" s="220"/>
      <c r="AN970" s="220"/>
      <c r="AO970" s="220"/>
      <c r="AP970" s="220"/>
      <c r="AQ970" s="220"/>
      <c r="AR970" s="220"/>
      <c r="AS970" s="220"/>
      <c r="AT970" s="220"/>
      <c r="AU970" s="220"/>
      <c r="AV970" s="220"/>
      <c r="AW970" s="220"/>
      <c r="AX970" s="220"/>
      <c r="AY970" s="220"/>
      <c r="AZ970" s="220"/>
    </row>
    <row r="971" ht="15.75" customHeight="1">
      <c r="A971" s="272"/>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c r="AA971" s="220"/>
      <c r="AB971" s="220"/>
      <c r="AC971" s="220"/>
      <c r="AD971" s="220"/>
      <c r="AE971" s="220"/>
      <c r="AF971" s="220"/>
      <c r="AG971" s="220"/>
      <c r="AH971" s="220"/>
      <c r="AI971" s="220"/>
      <c r="AJ971" s="220"/>
      <c r="AK971" s="220"/>
      <c r="AL971" s="220"/>
      <c r="AM971" s="220"/>
      <c r="AN971" s="220"/>
      <c r="AO971" s="220"/>
      <c r="AP971" s="220"/>
      <c r="AQ971" s="220"/>
      <c r="AR971" s="220"/>
      <c r="AS971" s="220"/>
      <c r="AT971" s="220"/>
      <c r="AU971" s="220"/>
      <c r="AV971" s="220"/>
      <c r="AW971" s="220"/>
      <c r="AX971" s="220"/>
      <c r="AY971" s="220"/>
      <c r="AZ971" s="220"/>
    </row>
    <row r="972" ht="15.75" customHeight="1">
      <c r="A972" s="272"/>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c r="AA972" s="220"/>
      <c r="AB972" s="220"/>
      <c r="AC972" s="220"/>
      <c r="AD972" s="220"/>
      <c r="AE972" s="220"/>
      <c r="AF972" s="220"/>
      <c r="AG972" s="220"/>
      <c r="AH972" s="220"/>
      <c r="AI972" s="220"/>
      <c r="AJ972" s="220"/>
      <c r="AK972" s="220"/>
      <c r="AL972" s="220"/>
      <c r="AM972" s="220"/>
      <c r="AN972" s="220"/>
      <c r="AO972" s="220"/>
      <c r="AP972" s="220"/>
      <c r="AQ972" s="220"/>
      <c r="AR972" s="220"/>
      <c r="AS972" s="220"/>
      <c r="AT972" s="220"/>
      <c r="AU972" s="220"/>
      <c r="AV972" s="220"/>
      <c r="AW972" s="220"/>
      <c r="AX972" s="220"/>
      <c r="AY972" s="220"/>
      <c r="AZ972" s="220"/>
    </row>
    <row r="973" ht="15.75" customHeight="1">
      <c r="A973" s="272"/>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c r="AA973" s="220"/>
      <c r="AB973" s="220"/>
      <c r="AC973" s="220"/>
      <c r="AD973" s="220"/>
      <c r="AE973" s="220"/>
      <c r="AF973" s="220"/>
      <c r="AG973" s="220"/>
      <c r="AH973" s="220"/>
      <c r="AI973" s="220"/>
      <c r="AJ973" s="220"/>
      <c r="AK973" s="220"/>
      <c r="AL973" s="220"/>
      <c r="AM973" s="220"/>
      <c r="AN973" s="220"/>
      <c r="AO973" s="220"/>
      <c r="AP973" s="220"/>
      <c r="AQ973" s="220"/>
      <c r="AR973" s="220"/>
      <c r="AS973" s="220"/>
      <c r="AT973" s="220"/>
      <c r="AU973" s="220"/>
      <c r="AV973" s="220"/>
      <c r="AW973" s="220"/>
      <c r="AX973" s="220"/>
      <c r="AY973" s="220"/>
      <c r="AZ973" s="220"/>
    </row>
    <row r="974" ht="15.75" customHeight="1">
      <c r="A974" s="272"/>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c r="AA974" s="220"/>
      <c r="AB974" s="220"/>
      <c r="AC974" s="220"/>
      <c r="AD974" s="220"/>
      <c r="AE974" s="220"/>
      <c r="AF974" s="220"/>
      <c r="AG974" s="220"/>
      <c r="AH974" s="220"/>
      <c r="AI974" s="220"/>
      <c r="AJ974" s="220"/>
      <c r="AK974" s="220"/>
      <c r="AL974" s="220"/>
      <c r="AM974" s="220"/>
      <c r="AN974" s="220"/>
      <c r="AO974" s="220"/>
      <c r="AP974" s="220"/>
      <c r="AQ974" s="220"/>
      <c r="AR974" s="220"/>
      <c r="AS974" s="220"/>
      <c r="AT974" s="220"/>
      <c r="AU974" s="220"/>
      <c r="AV974" s="220"/>
      <c r="AW974" s="220"/>
      <c r="AX974" s="220"/>
      <c r="AY974" s="220"/>
      <c r="AZ974" s="220"/>
    </row>
    <row r="975" ht="15.75" customHeight="1">
      <c r="A975" s="272"/>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c r="AA975" s="220"/>
      <c r="AB975" s="220"/>
      <c r="AC975" s="220"/>
      <c r="AD975" s="220"/>
      <c r="AE975" s="220"/>
      <c r="AF975" s="220"/>
      <c r="AG975" s="220"/>
      <c r="AH975" s="220"/>
      <c r="AI975" s="220"/>
      <c r="AJ975" s="220"/>
      <c r="AK975" s="220"/>
      <c r="AL975" s="220"/>
      <c r="AM975" s="220"/>
      <c r="AN975" s="220"/>
      <c r="AO975" s="220"/>
      <c r="AP975" s="220"/>
      <c r="AQ975" s="220"/>
      <c r="AR975" s="220"/>
      <c r="AS975" s="220"/>
      <c r="AT975" s="220"/>
      <c r="AU975" s="220"/>
      <c r="AV975" s="220"/>
      <c r="AW975" s="220"/>
      <c r="AX975" s="220"/>
      <c r="AY975" s="220"/>
      <c r="AZ975" s="220"/>
    </row>
    <row r="976" ht="15.75" customHeight="1">
      <c r="A976" s="272"/>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c r="AA976" s="220"/>
      <c r="AB976" s="220"/>
      <c r="AC976" s="220"/>
      <c r="AD976" s="220"/>
      <c r="AE976" s="220"/>
      <c r="AF976" s="220"/>
      <c r="AG976" s="220"/>
      <c r="AH976" s="220"/>
      <c r="AI976" s="220"/>
      <c r="AJ976" s="220"/>
      <c r="AK976" s="220"/>
      <c r="AL976" s="220"/>
      <c r="AM976" s="220"/>
      <c r="AN976" s="220"/>
      <c r="AO976" s="220"/>
      <c r="AP976" s="220"/>
      <c r="AQ976" s="220"/>
      <c r="AR976" s="220"/>
      <c r="AS976" s="220"/>
      <c r="AT976" s="220"/>
      <c r="AU976" s="220"/>
      <c r="AV976" s="220"/>
      <c r="AW976" s="220"/>
      <c r="AX976" s="220"/>
      <c r="AY976" s="220"/>
      <c r="AZ976" s="220"/>
    </row>
    <row r="977" ht="15.75" customHeight="1">
      <c r="A977" s="272"/>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c r="AA977" s="220"/>
      <c r="AB977" s="220"/>
      <c r="AC977" s="220"/>
      <c r="AD977" s="220"/>
      <c r="AE977" s="220"/>
      <c r="AF977" s="220"/>
      <c r="AG977" s="220"/>
      <c r="AH977" s="220"/>
      <c r="AI977" s="220"/>
      <c r="AJ977" s="220"/>
      <c r="AK977" s="220"/>
      <c r="AL977" s="220"/>
      <c r="AM977" s="220"/>
      <c r="AN977" s="220"/>
      <c r="AO977" s="220"/>
      <c r="AP977" s="220"/>
      <c r="AQ977" s="220"/>
      <c r="AR977" s="220"/>
      <c r="AS977" s="220"/>
      <c r="AT977" s="220"/>
      <c r="AU977" s="220"/>
      <c r="AV977" s="220"/>
      <c r="AW977" s="220"/>
      <c r="AX977" s="220"/>
      <c r="AY977" s="220"/>
      <c r="AZ977" s="220"/>
    </row>
    <row r="978" ht="15.75" customHeight="1">
      <c r="A978" s="272"/>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c r="AA978" s="220"/>
      <c r="AB978" s="220"/>
      <c r="AC978" s="220"/>
      <c r="AD978" s="220"/>
      <c r="AE978" s="220"/>
      <c r="AF978" s="220"/>
      <c r="AG978" s="220"/>
      <c r="AH978" s="220"/>
      <c r="AI978" s="220"/>
      <c r="AJ978" s="220"/>
      <c r="AK978" s="220"/>
      <c r="AL978" s="220"/>
      <c r="AM978" s="220"/>
      <c r="AN978" s="220"/>
      <c r="AO978" s="220"/>
      <c r="AP978" s="220"/>
      <c r="AQ978" s="220"/>
      <c r="AR978" s="220"/>
      <c r="AS978" s="220"/>
      <c r="AT978" s="220"/>
      <c r="AU978" s="220"/>
      <c r="AV978" s="220"/>
      <c r="AW978" s="220"/>
      <c r="AX978" s="220"/>
      <c r="AY978" s="220"/>
      <c r="AZ978" s="220"/>
    </row>
    <row r="979" ht="15.75" customHeight="1">
      <c r="A979" s="272"/>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c r="AA979" s="220"/>
      <c r="AB979" s="220"/>
      <c r="AC979" s="220"/>
      <c r="AD979" s="220"/>
      <c r="AE979" s="220"/>
      <c r="AF979" s="220"/>
      <c r="AG979" s="220"/>
      <c r="AH979" s="220"/>
      <c r="AI979" s="220"/>
      <c r="AJ979" s="220"/>
      <c r="AK979" s="220"/>
      <c r="AL979" s="220"/>
      <c r="AM979" s="220"/>
      <c r="AN979" s="220"/>
      <c r="AO979" s="220"/>
      <c r="AP979" s="220"/>
      <c r="AQ979" s="220"/>
      <c r="AR979" s="220"/>
      <c r="AS979" s="220"/>
      <c r="AT979" s="220"/>
      <c r="AU979" s="220"/>
      <c r="AV979" s="220"/>
      <c r="AW979" s="220"/>
      <c r="AX979" s="220"/>
      <c r="AY979" s="220"/>
      <c r="AZ979" s="220"/>
    </row>
    <row r="980" ht="15.75" customHeight="1">
      <c r="A980" s="272"/>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c r="AA980" s="220"/>
      <c r="AB980" s="220"/>
      <c r="AC980" s="220"/>
      <c r="AD980" s="220"/>
      <c r="AE980" s="220"/>
      <c r="AF980" s="220"/>
      <c r="AG980" s="220"/>
      <c r="AH980" s="220"/>
      <c r="AI980" s="220"/>
      <c r="AJ980" s="220"/>
      <c r="AK980" s="220"/>
      <c r="AL980" s="220"/>
      <c r="AM980" s="220"/>
      <c r="AN980" s="220"/>
      <c r="AO980" s="220"/>
      <c r="AP980" s="220"/>
      <c r="AQ980" s="220"/>
      <c r="AR980" s="220"/>
      <c r="AS980" s="220"/>
      <c r="AT980" s="220"/>
      <c r="AU980" s="220"/>
      <c r="AV980" s="220"/>
      <c r="AW980" s="220"/>
      <c r="AX980" s="220"/>
      <c r="AY980" s="220"/>
      <c r="AZ980" s="220"/>
    </row>
    <row r="981" ht="15.75" customHeight="1">
      <c r="A981" s="272"/>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c r="AA981" s="220"/>
      <c r="AB981" s="220"/>
      <c r="AC981" s="220"/>
      <c r="AD981" s="220"/>
      <c r="AE981" s="220"/>
      <c r="AF981" s="220"/>
      <c r="AG981" s="220"/>
      <c r="AH981" s="220"/>
      <c r="AI981" s="220"/>
      <c r="AJ981" s="220"/>
      <c r="AK981" s="220"/>
      <c r="AL981" s="220"/>
      <c r="AM981" s="220"/>
      <c r="AN981" s="220"/>
      <c r="AO981" s="220"/>
      <c r="AP981" s="220"/>
      <c r="AQ981" s="220"/>
      <c r="AR981" s="220"/>
      <c r="AS981" s="220"/>
      <c r="AT981" s="220"/>
      <c r="AU981" s="220"/>
      <c r="AV981" s="220"/>
      <c r="AW981" s="220"/>
      <c r="AX981" s="220"/>
      <c r="AY981" s="220"/>
      <c r="AZ981" s="220"/>
    </row>
    <row r="982" ht="15.75" customHeight="1">
      <c r="A982" s="272"/>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c r="AA982" s="220"/>
      <c r="AB982" s="220"/>
      <c r="AC982" s="220"/>
      <c r="AD982" s="220"/>
      <c r="AE982" s="220"/>
      <c r="AF982" s="220"/>
      <c r="AG982" s="220"/>
      <c r="AH982" s="220"/>
      <c r="AI982" s="220"/>
      <c r="AJ982" s="220"/>
      <c r="AK982" s="220"/>
      <c r="AL982" s="220"/>
      <c r="AM982" s="220"/>
      <c r="AN982" s="220"/>
      <c r="AO982" s="220"/>
      <c r="AP982" s="220"/>
      <c r="AQ982" s="220"/>
      <c r="AR982" s="220"/>
      <c r="AS982" s="220"/>
      <c r="AT982" s="220"/>
      <c r="AU982" s="220"/>
      <c r="AV982" s="220"/>
      <c r="AW982" s="220"/>
      <c r="AX982" s="220"/>
      <c r="AY982" s="220"/>
      <c r="AZ982" s="220"/>
    </row>
    <row r="983" ht="15.75" customHeight="1">
      <c r="A983" s="272"/>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c r="AA983" s="220"/>
      <c r="AB983" s="220"/>
      <c r="AC983" s="220"/>
      <c r="AD983" s="220"/>
      <c r="AE983" s="220"/>
      <c r="AF983" s="220"/>
      <c r="AG983" s="220"/>
      <c r="AH983" s="220"/>
      <c r="AI983" s="220"/>
      <c r="AJ983" s="220"/>
      <c r="AK983" s="220"/>
      <c r="AL983" s="220"/>
      <c r="AM983" s="220"/>
      <c r="AN983" s="220"/>
      <c r="AO983" s="220"/>
      <c r="AP983" s="220"/>
      <c r="AQ983" s="220"/>
      <c r="AR983" s="220"/>
      <c r="AS983" s="220"/>
      <c r="AT983" s="220"/>
      <c r="AU983" s="220"/>
      <c r="AV983" s="220"/>
      <c r="AW983" s="220"/>
      <c r="AX983" s="220"/>
      <c r="AY983" s="220"/>
      <c r="AZ983" s="220"/>
    </row>
    <row r="984" ht="15.75" customHeight="1">
      <c r="A984" s="272"/>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c r="AA984" s="220"/>
      <c r="AB984" s="220"/>
      <c r="AC984" s="220"/>
      <c r="AD984" s="220"/>
      <c r="AE984" s="220"/>
      <c r="AF984" s="220"/>
      <c r="AG984" s="220"/>
      <c r="AH984" s="220"/>
      <c r="AI984" s="220"/>
      <c r="AJ984" s="220"/>
      <c r="AK984" s="220"/>
      <c r="AL984" s="220"/>
      <c r="AM984" s="220"/>
      <c r="AN984" s="220"/>
      <c r="AO984" s="220"/>
      <c r="AP984" s="220"/>
      <c r="AQ984" s="220"/>
      <c r="AR984" s="220"/>
      <c r="AS984" s="220"/>
      <c r="AT984" s="220"/>
      <c r="AU984" s="220"/>
      <c r="AV984" s="220"/>
      <c r="AW984" s="220"/>
      <c r="AX984" s="220"/>
      <c r="AY984" s="220"/>
      <c r="AZ984" s="220"/>
    </row>
    <row r="985" ht="15.75" customHeight="1">
      <c r="A985" s="272"/>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c r="AA985" s="220"/>
      <c r="AB985" s="220"/>
      <c r="AC985" s="220"/>
      <c r="AD985" s="220"/>
      <c r="AE985" s="220"/>
      <c r="AF985" s="220"/>
      <c r="AG985" s="220"/>
      <c r="AH985" s="220"/>
      <c r="AI985" s="220"/>
      <c r="AJ985" s="220"/>
      <c r="AK985" s="220"/>
      <c r="AL985" s="220"/>
      <c r="AM985" s="220"/>
      <c r="AN985" s="220"/>
      <c r="AO985" s="220"/>
      <c r="AP985" s="220"/>
      <c r="AQ985" s="220"/>
      <c r="AR985" s="220"/>
      <c r="AS985" s="220"/>
      <c r="AT985" s="220"/>
      <c r="AU985" s="220"/>
      <c r="AV985" s="220"/>
      <c r="AW985" s="220"/>
      <c r="AX985" s="220"/>
      <c r="AY985" s="220"/>
      <c r="AZ985" s="220"/>
    </row>
    <row r="986" ht="15.75" customHeight="1">
      <c r="A986" s="272"/>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c r="AA986" s="220"/>
      <c r="AB986" s="220"/>
      <c r="AC986" s="220"/>
      <c r="AD986" s="220"/>
      <c r="AE986" s="220"/>
      <c r="AF986" s="220"/>
      <c r="AG986" s="220"/>
      <c r="AH986" s="220"/>
      <c r="AI986" s="220"/>
      <c r="AJ986" s="220"/>
      <c r="AK986" s="220"/>
      <c r="AL986" s="220"/>
      <c r="AM986" s="220"/>
      <c r="AN986" s="220"/>
      <c r="AO986" s="220"/>
      <c r="AP986" s="220"/>
      <c r="AQ986" s="220"/>
      <c r="AR986" s="220"/>
      <c r="AS986" s="220"/>
      <c r="AT986" s="220"/>
      <c r="AU986" s="220"/>
      <c r="AV986" s="220"/>
      <c r="AW986" s="220"/>
      <c r="AX986" s="220"/>
      <c r="AY986" s="220"/>
      <c r="AZ986" s="220"/>
    </row>
    <row r="987" ht="15.75" customHeight="1">
      <c r="A987" s="272"/>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c r="AA987" s="220"/>
      <c r="AB987" s="220"/>
      <c r="AC987" s="220"/>
      <c r="AD987" s="220"/>
      <c r="AE987" s="220"/>
      <c r="AF987" s="220"/>
      <c r="AG987" s="220"/>
      <c r="AH987" s="220"/>
      <c r="AI987" s="220"/>
      <c r="AJ987" s="220"/>
      <c r="AK987" s="220"/>
      <c r="AL987" s="220"/>
      <c r="AM987" s="220"/>
      <c r="AN987" s="220"/>
      <c r="AO987" s="220"/>
      <c r="AP987" s="220"/>
      <c r="AQ987" s="220"/>
      <c r="AR987" s="220"/>
      <c r="AS987" s="220"/>
      <c r="AT987" s="220"/>
      <c r="AU987" s="220"/>
      <c r="AV987" s="220"/>
      <c r="AW987" s="220"/>
      <c r="AX987" s="220"/>
      <c r="AY987" s="220"/>
      <c r="AZ987" s="220"/>
    </row>
    <row r="988" ht="15.75" customHeight="1">
      <c r="A988" s="272"/>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c r="AA988" s="220"/>
      <c r="AB988" s="220"/>
      <c r="AC988" s="220"/>
      <c r="AD988" s="220"/>
      <c r="AE988" s="220"/>
      <c r="AF988" s="220"/>
      <c r="AG988" s="220"/>
      <c r="AH988" s="220"/>
      <c r="AI988" s="220"/>
      <c r="AJ988" s="220"/>
      <c r="AK988" s="220"/>
      <c r="AL988" s="220"/>
      <c r="AM988" s="220"/>
      <c r="AN988" s="220"/>
      <c r="AO988" s="220"/>
      <c r="AP988" s="220"/>
      <c r="AQ988" s="220"/>
      <c r="AR988" s="220"/>
      <c r="AS988" s="220"/>
      <c r="AT988" s="220"/>
      <c r="AU988" s="220"/>
      <c r="AV988" s="220"/>
      <c r="AW988" s="220"/>
      <c r="AX988" s="220"/>
      <c r="AY988" s="220"/>
      <c r="AZ988" s="220"/>
    </row>
    <row r="989" ht="15.75" customHeight="1">
      <c r="A989" s="272"/>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c r="AA989" s="220"/>
      <c r="AB989" s="220"/>
      <c r="AC989" s="220"/>
      <c r="AD989" s="220"/>
      <c r="AE989" s="220"/>
      <c r="AF989" s="220"/>
      <c r="AG989" s="220"/>
      <c r="AH989" s="220"/>
      <c r="AI989" s="220"/>
      <c r="AJ989" s="220"/>
      <c r="AK989" s="220"/>
      <c r="AL989" s="220"/>
      <c r="AM989" s="220"/>
      <c r="AN989" s="220"/>
      <c r="AO989" s="220"/>
      <c r="AP989" s="220"/>
      <c r="AQ989" s="220"/>
      <c r="AR989" s="220"/>
      <c r="AS989" s="220"/>
      <c r="AT989" s="220"/>
      <c r="AU989" s="220"/>
      <c r="AV989" s="220"/>
      <c r="AW989" s="220"/>
      <c r="AX989" s="220"/>
      <c r="AY989" s="220"/>
      <c r="AZ989" s="220"/>
    </row>
    <row r="990" ht="15.75" customHeight="1">
      <c r="A990" s="272"/>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c r="AA990" s="220"/>
      <c r="AB990" s="220"/>
      <c r="AC990" s="220"/>
      <c r="AD990" s="220"/>
      <c r="AE990" s="220"/>
      <c r="AF990" s="220"/>
      <c r="AG990" s="220"/>
      <c r="AH990" s="220"/>
      <c r="AI990" s="220"/>
      <c r="AJ990" s="220"/>
      <c r="AK990" s="220"/>
      <c r="AL990" s="220"/>
      <c r="AM990" s="220"/>
      <c r="AN990" s="220"/>
      <c r="AO990" s="220"/>
      <c r="AP990" s="220"/>
      <c r="AQ990" s="220"/>
      <c r="AR990" s="220"/>
      <c r="AS990" s="220"/>
      <c r="AT990" s="220"/>
      <c r="AU990" s="220"/>
      <c r="AV990" s="220"/>
      <c r="AW990" s="220"/>
      <c r="AX990" s="220"/>
      <c r="AY990" s="220"/>
      <c r="AZ990" s="220"/>
    </row>
    <row r="991" ht="15.75" customHeight="1">
      <c r="A991" s="272"/>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c r="AA991" s="220"/>
      <c r="AB991" s="220"/>
      <c r="AC991" s="220"/>
      <c r="AD991" s="220"/>
      <c r="AE991" s="220"/>
      <c r="AF991" s="220"/>
      <c r="AG991" s="220"/>
      <c r="AH991" s="220"/>
      <c r="AI991" s="220"/>
      <c r="AJ991" s="220"/>
      <c r="AK991" s="220"/>
      <c r="AL991" s="220"/>
      <c r="AM991" s="220"/>
      <c r="AN991" s="220"/>
      <c r="AO991" s="220"/>
      <c r="AP991" s="220"/>
      <c r="AQ991" s="220"/>
      <c r="AR991" s="220"/>
      <c r="AS991" s="220"/>
      <c r="AT991" s="220"/>
      <c r="AU991" s="220"/>
      <c r="AV991" s="220"/>
      <c r="AW991" s="220"/>
      <c r="AX991" s="220"/>
      <c r="AY991" s="220"/>
      <c r="AZ991" s="220"/>
    </row>
    <row r="992" ht="15.75" customHeight="1">
      <c r="A992" s="272"/>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c r="AA992" s="220"/>
      <c r="AB992" s="220"/>
      <c r="AC992" s="220"/>
      <c r="AD992" s="220"/>
      <c r="AE992" s="220"/>
      <c r="AF992" s="220"/>
      <c r="AG992" s="220"/>
      <c r="AH992" s="220"/>
      <c r="AI992" s="220"/>
      <c r="AJ992" s="220"/>
      <c r="AK992" s="220"/>
      <c r="AL992" s="220"/>
      <c r="AM992" s="220"/>
      <c r="AN992" s="220"/>
      <c r="AO992" s="220"/>
      <c r="AP992" s="220"/>
      <c r="AQ992" s="220"/>
      <c r="AR992" s="220"/>
      <c r="AS992" s="220"/>
      <c r="AT992" s="220"/>
      <c r="AU992" s="220"/>
      <c r="AV992" s="220"/>
      <c r="AW992" s="220"/>
      <c r="AX992" s="220"/>
      <c r="AY992" s="220"/>
      <c r="AZ992" s="220"/>
    </row>
    <row r="993" ht="15.75" customHeight="1">
      <c r="A993" s="272"/>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c r="AA993" s="220"/>
      <c r="AB993" s="220"/>
      <c r="AC993" s="220"/>
      <c r="AD993" s="220"/>
      <c r="AE993" s="220"/>
      <c r="AF993" s="220"/>
      <c r="AG993" s="220"/>
      <c r="AH993" s="220"/>
      <c r="AI993" s="220"/>
      <c r="AJ993" s="220"/>
      <c r="AK993" s="220"/>
      <c r="AL993" s="220"/>
      <c r="AM993" s="220"/>
      <c r="AN993" s="220"/>
      <c r="AO993" s="220"/>
      <c r="AP993" s="220"/>
      <c r="AQ993" s="220"/>
      <c r="AR993" s="220"/>
      <c r="AS993" s="220"/>
      <c r="AT993" s="220"/>
      <c r="AU993" s="220"/>
      <c r="AV993" s="220"/>
      <c r="AW993" s="220"/>
      <c r="AX993" s="220"/>
      <c r="AY993" s="220"/>
      <c r="AZ993" s="220"/>
    </row>
    <row r="994" ht="15.75" customHeight="1">
      <c r="A994" s="272"/>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c r="AA994" s="220"/>
      <c r="AB994" s="220"/>
      <c r="AC994" s="220"/>
      <c r="AD994" s="220"/>
      <c r="AE994" s="220"/>
      <c r="AF994" s="220"/>
      <c r="AG994" s="220"/>
      <c r="AH994" s="220"/>
      <c r="AI994" s="220"/>
      <c r="AJ994" s="220"/>
      <c r="AK994" s="220"/>
      <c r="AL994" s="220"/>
      <c r="AM994" s="220"/>
      <c r="AN994" s="220"/>
      <c r="AO994" s="220"/>
      <c r="AP994" s="220"/>
      <c r="AQ994" s="220"/>
      <c r="AR994" s="220"/>
      <c r="AS994" s="220"/>
      <c r="AT994" s="220"/>
      <c r="AU994" s="220"/>
      <c r="AV994" s="220"/>
      <c r="AW994" s="220"/>
      <c r="AX994" s="220"/>
      <c r="AY994" s="220"/>
      <c r="AZ994" s="220"/>
    </row>
    <row r="995" ht="15.75" customHeight="1">
      <c r="A995" s="272"/>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c r="AA995" s="220"/>
      <c r="AB995" s="220"/>
      <c r="AC995" s="220"/>
      <c r="AD995" s="220"/>
      <c r="AE995" s="220"/>
      <c r="AF995" s="220"/>
      <c r="AG995" s="220"/>
      <c r="AH995" s="220"/>
      <c r="AI995" s="220"/>
      <c r="AJ995" s="220"/>
      <c r="AK995" s="220"/>
      <c r="AL995" s="220"/>
      <c r="AM995" s="220"/>
      <c r="AN995" s="220"/>
      <c r="AO995" s="220"/>
      <c r="AP995" s="220"/>
      <c r="AQ995" s="220"/>
      <c r="AR995" s="220"/>
      <c r="AS995" s="220"/>
      <c r="AT995" s="220"/>
      <c r="AU995" s="220"/>
      <c r="AV995" s="220"/>
      <c r="AW995" s="220"/>
      <c r="AX995" s="220"/>
      <c r="AY995" s="220"/>
      <c r="AZ995" s="220"/>
    </row>
    <row r="996" ht="15.75" customHeight="1">
      <c r="A996" s="272"/>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c r="AA996" s="220"/>
      <c r="AB996" s="220"/>
      <c r="AC996" s="220"/>
      <c r="AD996" s="220"/>
      <c r="AE996" s="220"/>
      <c r="AF996" s="220"/>
      <c r="AG996" s="220"/>
      <c r="AH996" s="220"/>
      <c r="AI996" s="220"/>
      <c r="AJ996" s="220"/>
      <c r="AK996" s="220"/>
      <c r="AL996" s="220"/>
      <c r="AM996" s="220"/>
      <c r="AN996" s="220"/>
      <c r="AO996" s="220"/>
      <c r="AP996" s="220"/>
      <c r="AQ996" s="220"/>
      <c r="AR996" s="220"/>
      <c r="AS996" s="220"/>
      <c r="AT996" s="220"/>
      <c r="AU996" s="220"/>
      <c r="AV996" s="220"/>
      <c r="AW996" s="220"/>
      <c r="AX996" s="220"/>
      <c r="AY996" s="220"/>
      <c r="AZ996" s="220"/>
    </row>
    <row r="997" ht="15.75" customHeight="1">
      <c r="A997" s="272"/>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c r="AA997" s="220"/>
      <c r="AB997" s="220"/>
      <c r="AC997" s="220"/>
      <c r="AD997" s="220"/>
      <c r="AE997" s="220"/>
      <c r="AF997" s="220"/>
      <c r="AG997" s="220"/>
      <c r="AH997" s="220"/>
      <c r="AI997" s="220"/>
      <c r="AJ997" s="220"/>
      <c r="AK997" s="220"/>
      <c r="AL997" s="220"/>
      <c r="AM997" s="220"/>
      <c r="AN997" s="220"/>
      <c r="AO997" s="220"/>
      <c r="AP997" s="220"/>
      <c r="AQ997" s="220"/>
      <c r="AR997" s="220"/>
      <c r="AS997" s="220"/>
      <c r="AT997" s="220"/>
      <c r="AU997" s="220"/>
      <c r="AV997" s="220"/>
      <c r="AW997" s="220"/>
      <c r="AX997" s="220"/>
      <c r="AY997" s="220"/>
      <c r="AZ997" s="220"/>
    </row>
    <row r="998" ht="15.75" customHeight="1">
      <c r="A998" s="272"/>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c r="AA998" s="220"/>
      <c r="AB998" s="220"/>
      <c r="AC998" s="220"/>
      <c r="AD998" s="220"/>
      <c r="AE998" s="220"/>
      <c r="AF998" s="220"/>
      <c r="AG998" s="220"/>
      <c r="AH998" s="220"/>
      <c r="AI998" s="220"/>
      <c r="AJ998" s="220"/>
      <c r="AK998" s="220"/>
      <c r="AL998" s="220"/>
      <c r="AM998" s="220"/>
      <c r="AN998" s="220"/>
      <c r="AO998" s="220"/>
      <c r="AP998" s="220"/>
      <c r="AQ998" s="220"/>
      <c r="AR998" s="220"/>
      <c r="AS998" s="220"/>
      <c r="AT998" s="220"/>
      <c r="AU998" s="220"/>
      <c r="AV998" s="220"/>
      <c r="AW998" s="220"/>
      <c r="AX998" s="220"/>
      <c r="AY998" s="220"/>
      <c r="AZ998" s="220"/>
    </row>
    <row r="999" ht="15.75" customHeight="1">
      <c r="A999" s="272"/>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c r="AA999" s="220"/>
      <c r="AB999" s="220"/>
      <c r="AC999" s="220"/>
      <c r="AD999" s="220"/>
      <c r="AE999" s="220"/>
      <c r="AF999" s="220"/>
      <c r="AG999" s="220"/>
      <c r="AH999" s="220"/>
      <c r="AI999" s="220"/>
      <c r="AJ999" s="220"/>
      <c r="AK999" s="220"/>
      <c r="AL999" s="220"/>
      <c r="AM999" s="220"/>
      <c r="AN999" s="220"/>
      <c r="AO999" s="220"/>
      <c r="AP999" s="220"/>
      <c r="AQ999" s="220"/>
      <c r="AR999" s="220"/>
      <c r="AS999" s="220"/>
      <c r="AT999" s="220"/>
      <c r="AU999" s="220"/>
      <c r="AV999" s="220"/>
      <c r="AW999" s="220"/>
      <c r="AX999" s="220"/>
      <c r="AY999" s="220"/>
      <c r="AZ999" s="220"/>
    </row>
    <row r="1000" ht="15.75" customHeight="1">
      <c r="A1000" s="272"/>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c r="AA1000" s="220"/>
      <c r="AB1000" s="220"/>
      <c r="AC1000" s="220"/>
      <c r="AD1000" s="220"/>
      <c r="AE1000" s="220"/>
      <c r="AF1000" s="220"/>
      <c r="AG1000" s="220"/>
      <c r="AH1000" s="220"/>
      <c r="AI1000" s="220"/>
      <c r="AJ1000" s="220"/>
      <c r="AK1000" s="220"/>
      <c r="AL1000" s="220"/>
      <c r="AM1000" s="220"/>
      <c r="AN1000" s="220"/>
      <c r="AO1000" s="220"/>
      <c r="AP1000" s="220"/>
      <c r="AQ1000" s="220"/>
      <c r="AR1000" s="220"/>
      <c r="AS1000" s="220"/>
      <c r="AT1000" s="220"/>
      <c r="AU1000" s="220"/>
      <c r="AV1000" s="220"/>
      <c r="AW1000" s="220"/>
      <c r="AX1000" s="220"/>
      <c r="AY1000" s="220"/>
      <c r="AZ1000" s="220"/>
    </row>
    <row r="1001" ht="15.75" customHeight="1">
      <c r="A1001" s="272"/>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c r="AA1001" s="220"/>
      <c r="AB1001" s="220"/>
      <c r="AC1001" s="220"/>
      <c r="AD1001" s="220"/>
      <c r="AE1001" s="220"/>
      <c r="AF1001" s="220"/>
      <c r="AG1001" s="220"/>
      <c r="AH1001" s="220"/>
      <c r="AI1001" s="220"/>
      <c r="AJ1001" s="220"/>
      <c r="AK1001" s="220"/>
      <c r="AL1001" s="220"/>
      <c r="AM1001" s="220"/>
      <c r="AN1001" s="220"/>
      <c r="AO1001" s="220"/>
      <c r="AP1001" s="220"/>
      <c r="AQ1001" s="220"/>
      <c r="AR1001" s="220"/>
      <c r="AS1001" s="220"/>
      <c r="AT1001" s="220"/>
      <c r="AU1001" s="220"/>
      <c r="AV1001" s="220"/>
      <c r="AW1001" s="220"/>
      <c r="AX1001" s="220"/>
      <c r="AY1001" s="220"/>
      <c r="AZ1001" s="220"/>
    </row>
    <row r="1002" ht="15.75" customHeight="1">
      <c r="A1002" s="272"/>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c r="AA1002" s="220"/>
      <c r="AB1002" s="220"/>
      <c r="AC1002" s="220"/>
      <c r="AD1002" s="220"/>
      <c r="AE1002" s="220"/>
      <c r="AF1002" s="220"/>
      <c r="AG1002" s="220"/>
      <c r="AH1002" s="220"/>
      <c r="AI1002" s="220"/>
      <c r="AJ1002" s="220"/>
      <c r="AK1002" s="220"/>
      <c r="AL1002" s="220"/>
      <c r="AM1002" s="220"/>
      <c r="AN1002" s="220"/>
      <c r="AO1002" s="220"/>
      <c r="AP1002" s="220"/>
      <c r="AQ1002" s="220"/>
      <c r="AR1002" s="220"/>
      <c r="AS1002" s="220"/>
      <c r="AT1002" s="220"/>
      <c r="AU1002" s="220"/>
      <c r="AV1002" s="220"/>
      <c r="AW1002" s="220"/>
      <c r="AX1002" s="220"/>
      <c r="AY1002" s="220"/>
      <c r="AZ1002" s="220"/>
    </row>
    <row r="1003" ht="15.75" customHeight="1">
      <c r="A1003" s="272"/>
      <c r="B1003" s="220"/>
      <c r="C1003" s="220"/>
      <c r="D1003" s="220"/>
      <c r="E1003" s="220"/>
      <c r="F1003" s="220"/>
      <c r="G1003" s="220"/>
      <c r="H1003" s="220"/>
      <c r="I1003" s="220"/>
      <c r="J1003" s="220"/>
      <c r="K1003" s="220"/>
      <c r="L1003" s="220"/>
      <c r="M1003" s="220"/>
      <c r="N1003" s="220"/>
      <c r="O1003" s="220"/>
      <c r="P1003" s="220"/>
      <c r="Q1003" s="220"/>
      <c r="R1003" s="220"/>
      <c r="S1003" s="220"/>
      <c r="T1003" s="220"/>
      <c r="U1003" s="220"/>
      <c r="V1003" s="220"/>
      <c r="W1003" s="220"/>
      <c r="X1003" s="220"/>
      <c r="Y1003" s="220"/>
      <c r="Z1003" s="220"/>
      <c r="AA1003" s="220"/>
      <c r="AB1003" s="220"/>
      <c r="AC1003" s="220"/>
      <c r="AD1003" s="220"/>
      <c r="AE1003" s="220"/>
      <c r="AF1003" s="220"/>
      <c r="AG1003" s="220"/>
      <c r="AH1003" s="220"/>
      <c r="AI1003" s="220"/>
      <c r="AJ1003" s="220"/>
      <c r="AK1003" s="220"/>
      <c r="AL1003" s="220"/>
      <c r="AM1003" s="220"/>
      <c r="AN1003" s="220"/>
      <c r="AO1003" s="220"/>
      <c r="AP1003" s="220"/>
      <c r="AQ1003" s="220"/>
      <c r="AR1003" s="220"/>
      <c r="AS1003" s="220"/>
      <c r="AT1003" s="220"/>
      <c r="AU1003" s="220"/>
      <c r="AV1003" s="220"/>
      <c r="AW1003" s="220"/>
      <c r="AX1003" s="220"/>
      <c r="AY1003" s="220"/>
      <c r="AZ1003" s="220"/>
    </row>
    <row r="1004" ht="15.75" customHeight="1">
      <c r="A1004" s="272"/>
      <c r="B1004" s="220"/>
      <c r="C1004" s="220"/>
      <c r="D1004" s="220"/>
      <c r="E1004" s="220"/>
      <c r="F1004" s="220"/>
      <c r="G1004" s="220"/>
      <c r="H1004" s="220"/>
      <c r="I1004" s="220"/>
      <c r="J1004" s="220"/>
      <c r="K1004" s="220"/>
      <c r="L1004" s="220"/>
      <c r="M1004" s="220"/>
      <c r="N1004" s="220"/>
      <c r="O1004" s="220"/>
      <c r="P1004" s="220"/>
      <c r="Q1004" s="220"/>
      <c r="R1004" s="220"/>
      <c r="S1004" s="220"/>
      <c r="T1004" s="220"/>
      <c r="U1004" s="220"/>
      <c r="V1004" s="220"/>
      <c r="W1004" s="220"/>
      <c r="X1004" s="220"/>
      <c r="Y1004" s="220"/>
      <c r="Z1004" s="220"/>
      <c r="AA1004" s="220"/>
      <c r="AB1004" s="220"/>
      <c r="AC1004" s="220"/>
      <c r="AD1004" s="220"/>
      <c r="AE1004" s="220"/>
      <c r="AF1004" s="220"/>
      <c r="AG1004" s="220"/>
      <c r="AH1004" s="220"/>
      <c r="AI1004" s="220"/>
      <c r="AJ1004" s="220"/>
      <c r="AK1004" s="220"/>
      <c r="AL1004" s="220"/>
      <c r="AM1004" s="220"/>
      <c r="AN1004" s="220"/>
      <c r="AO1004" s="220"/>
      <c r="AP1004" s="220"/>
      <c r="AQ1004" s="220"/>
      <c r="AR1004" s="220"/>
      <c r="AS1004" s="220"/>
      <c r="AT1004" s="220"/>
      <c r="AU1004" s="220"/>
      <c r="AV1004" s="220"/>
      <c r="AW1004" s="220"/>
      <c r="AX1004" s="220"/>
      <c r="AY1004" s="220"/>
      <c r="AZ1004" s="220"/>
    </row>
    <row r="1005" ht="15.75" customHeight="1">
      <c r="A1005" s="272"/>
      <c r="B1005" s="220"/>
      <c r="C1005" s="220"/>
      <c r="D1005" s="220"/>
      <c r="E1005" s="220"/>
      <c r="F1005" s="220"/>
      <c r="G1005" s="220"/>
      <c r="H1005" s="220"/>
      <c r="I1005" s="220"/>
      <c r="J1005" s="220"/>
      <c r="K1005" s="220"/>
      <c r="L1005" s="220"/>
      <c r="M1005" s="220"/>
      <c r="N1005" s="220"/>
      <c r="O1005" s="220"/>
      <c r="P1005" s="220"/>
      <c r="Q1005" s="220"/>
      <c r="R1005" s="220"/>
      <c r="S1005" s="220"/>
      <c r="T1005" s="220"/>
      <c r="U1005" s="220"/>
      <c r="V1005" s="220"/>
      <c r="W1005" s="220"/>
      <c r="X1005" s="220"/>
      <c r="Y1005" s="220"/>
      <c r="Z1005" s="220"/>
      <c r="AA1005" s="220"/>
      <c r="AB1005" s="220"/>
      <c r="AC1005" s="220"/>
      <c r="AD1005" s="220"/>
      <c r="AE1005" s="220"/>
      <c r="AF1005" s="220"/>
      <c r="AG1005" s="220"/>
      <c r="AH1005" s="220"/>
      <c r="AI1005" s="220"/>
      <c r="AJ1005" s="220"/>
      <c r="AK1005" s="220"/>
      <c r="AL1005" s="220"/>
      <c r="AM1005" s="220"/>
      <c r="AN1005" s="220"/>
      <c r="AO1005" s="220"/>
      <c r="AP1005" s="220"/>
      <c r="AQ1005" s="220"/>
      <c r="AR1005" s="220"/>
      <c r="AS1005" s="220"/>
      <c r="AT1005" s="220"/>
      <c r="AU1005" s="220"/>
      <c r="AV1005" s="220"/>
      <c r="AW1005" s="220"/>
      <c r="AX1005" s="220"/>
      <c r="AY1005" s="220"/>
      <c r="AZ1005" s="220"/>
    </row>
    <row r="1006" ht="15.75" customHeight="1">
      <c r="A1006" s="272"/>
      <c r="B1006" s="220"/>
      <c r="C1006" s="220"/>
      <c r="D1006" s="220"/>
      <c r="E1006" s="220"/>
      <c r="F1006" s="220"/>
      <c r="G1006" s="220"/>
      <c r="H1006" s="220"/>
      <c r="I1006" s="220"/>
      <c r="J1006" s="220"/>
      <c r="K1006" s="220"/>
      <c r="L1006" s="220"/>
      <c r="M1006" s="220"/>
      <c r="N1006" s="220"/>
      <c r="O1006" s="220"/>
      <c r="P1006" s="220"/>
      <c r="Q1006" s="220"/>
      <c r="R1006" s="220"/>
      <c r="S1006" s="220"/>
      <c r="T1006" s="220"/>
      <c r="U1006" s="220"/>
      <c r="V1006" s="220"/>
      <c r="W1006" s="220"/>
      <c r="X1006" s="220"/>
      <c r="Y1006" s="220"/>
      <c r="Z1006" s="220"/>
      <c r="AA1006" s="220"/>
      <c r="AB1006" s="220"/>
      <c r="AC1006" s="220"/>
      <c r="AD1006" s="220"/>
      <c r="AE1006" s="220"/>
      <c r="AF1006" s="220"/>
      <c r="AG1006" s="220"/>
      <c r="AH1006" s="220"/>
      <c r="AI1006" s="220"/>
      <c r="AJ1006" s="220"/>
      <c r="AK1006" s="220"/>
      <c r="AL1006" s="220"/>
      <c r="AM1006" s="220"/>
      <c r="AN1006" s="220"/>
      <c r="AO1006" s="220"/>
      <c r="AP1006" s="220"/>
      <c r="AQ1006" s="220"/>
      <c r="AR1006" s="220"/>
      <c r="AS1006" s="220"/>
      <c r="AT1006" s="220"/>
      <c r="AU1006" s="220"/>
      <c r="AV1006" s="220"/>
      <c r="AW1006" s="220"/>
      <c r="AX1006" s="220"/>
      <c r="AY1006" s="220"/>
      <c r="AZ1006" s="220"/>
    </row>
    <row r="1007" ht="15.75" customHeight="1">
      <c r="A1007" s="272"/>
      <c r="B1007" s="220"/>
      <c r="C1007" s="220"/>
      <c r="D1007" s="220"/>
      <c r="E1007" s="220"/>
      <c r="F1007" s="220"/>
      <c r="G1007" s="220"/>
      <c r="H1007" s="220"/>
      <c r="I1007" s="220"/>
      <c r="J1007" s="220"/>
      <c r="K1007" s="220"/>
      <c r="L1007" s="220"/>
      <c r="M1007" s="220"/>
      <c r="N1007" s="220"/>
      <c r="O1007" s="220"/>
      <c r="P1007" s="220"/>
      <c r="Q1007" s="220"/>
      <c r="R1007" s="220"/>
      <c r="S1007" s="220"/>
      <c r="T1007" s="220"/>
      <c r="U1007" s="220"/>
      <c r="V1007" s="220"/>
      <c r="W1007" s="220"/>
      <c r="X1007" s="220"/>
      <c r="Y1007" s="220"/>
      <c r="Z1007" s="220"/>
      <c r="AA1007" s="220"/>
      <c r="AB1007" s="220"/>
      <c r="AC1007" s="220"/>
      <c r="AD1007" s="220"/>
      <c r="AE1007" s="220"/>
      <c r="AF1007" s="220"/>
      <c r="AG1007" s="220"/>
      <c r="AH1007" s="220"/>
      <c r="AI1007" s="220"/>
      <c r="AJ1007" s="220"/>
      <c r="AK1007" s="220"/>
      <c r="AL1007" s="220"/>
      <c r="AM1007" s="220"/>
      <c r="AN1007" s="220"/>
      <c r="AO1007" s="220"/>
      <c r="AP1007" s="220"/>
      <c r="AQ1007" s="220"/>
      <c r="AR1007" s="220"/>
      <c r="AS1007" s="220"/>
      <c r="AT1007" s="220"/>
      <c r="AU1007" s="220"/>
      <c r="AV1007" s="220"/>
      <c r="AW1007" s="220"/>
      <c r="AX1007" s="220"/>
      <c r="AY1007" s="220"/>
      <c r="AZ1007" s="220"/>
    </row>
  </sheetData>
  <mergeCells count="41">
    <mergeCell ref="B2:I2"/>
    <mergeCell ref="B3:I3"/>
    <mergeCell ref="B18:B19"/>
    <mergeCell ref="C18:E18"/>
    <mergeCell ref="B22:I22"/>
    <mergeCell ref="C37:E37"/>
    <mergeCell ref="B41:I41"/>
    <mergeCell ref="B37:B38"/>
    <mergeCell ref="B56:B57"/>
    <mergeCell ref="C56:E56"/>
    <mergeCell ref="B65:M65"/>
    <mergeCell ref="B80:B81"/>
    <mergeCell ref="C80:E80"/>
    <mergeCell ref="B86:M86"/>
    <mergeCell ref="B101:B102"/>
    <mergeCell ref="C101:E101"/>
    <mergeCell ref="B107:M107"/>
    <mergeCell ref="B122:B123"/>
    <mergeCell ref="C122:E122"/>
    <mergeCell ref="B128:Q128"/>
    <mergeCell ref="B129:Q129"/>
    <mergeCell ref="B144:B145"/>
    <mergeCell ref="C144:E144"/>
    <mergeCell ref="B152:Q152"/>
    <mergeCell ref="B153:Q153"/>
    <mergeCell ref="C168:E168"/>
    <mergeCell ref="B176:Q176"/>
    <mergeCell ref="B177:Q177"/>
    <mergeCell ref="B283:F283"/>
    <mergeCell ref="B299:L299"/>
    <mergeCell ref="B314:F314"/>
    <mergeCell ref="B330:L330"/>
    <mergeCell ref="B345:F345"/>
    <mergeCell ref="B422:I422"/>
    <mergeCell ref="B168:B169"/>
    <mergeCell ref="B192:B193"/>
    <mergeCell ref="C192:E192"/>
    <mergeCell ref="B200:H200"/>
    <mergeCell ref="B219:H219"/>
    <mergeCell ref="B238:H238"/>
    <mergeCell ref="B268:L268"/>
  </mergeCells>
  <hyperlinks>
    <hyperlink r:id="rId2" ref="B61"/>
    <hyperlink r:id="rId3" ref="B62"/>
    <hyperlink r:id="rId4" ref="B63"/>
  </hyperlinks>
  <printOptions/>
  <pageMargins bottom="0.75" footer="0.0" header="0.0" left="0.7" right="0.7" top="0.75"/>
  <pageSetup paperSize="9" orientation="portrait"/>
  <drawing r:id="rId5"/>
  <legacyDrawing r:id="rId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77E3E"/>
    <outlinePr summaryBelow="0" summaryRight="0"/>
    <pageSetUpPr/>
  </sheetPr>
  <sheetViews>
    <sheetView workbookViewId="0"/>
  </sheetViews>
  <sheetFormatPr customHeight="1" defaultColWidth="12.63" defaultRowHeight="15.0"/>
  <cols>
    <col customWidth="1" min="1" max="1" width="6.75"/>
    <col customWidth="1" min="2" max="4" width="25.25"/>
    <col customWidth="1" min="5" max="5" width="8.38"/>
    <col customWidth="1" min="6" max="6" width="189.13"/>
    <col customWidth="1" min="7" max="8" width="25.25"/>
    <col customWidth="1" min="9" max="9" width="7.0"/>
    <col customWidth="1" min="10" max="12" width="25.25"/>
    <col customWidth="1" min="13" max="18" width="13.75"/>
  </cols>
  <sheetData>
    <row r="1" ht="32.25" customHeight="1">
      <c r="A1" s="1"/>
      <c r="B1" s="296" t="s">
        <v>648</v>
      </c>
      <c r="C1" s="47"/>
      <c r="D1" s="12"/>
      <c r="E1" s="297" t="s">
        <v>649</v>
      </c>
      <c r="F1" s="12"/>
      <c r="G1" s="1"/>
      <c r="H1" s="1"/>
      <c r="I1" s="1"/>
      <c r="J1" s="1"/>
      <c r="K1" s="1"/>
      <c r="L1" s="1"/>
      <c r="M1" s="1"/>
      <c r="N1" s="1"/>
      <c r="O1" s="1"/>
      <c r="P1" s="1"/>
      <c r="Q1" s="1"/>
      <c r="R1" s="1"/>
    </row>
    <row r="2" ht="32.25" customHeight="1">
      <c r="A2" s="1"/>
      <c r="B2" s="296" t="s">
        <v>650</v>
      </c>
      <c r="C2" s="47"/>
      <c r="D2" s="12"/>
      <c r="E2" s="298" t="s">
        <v>651</v>
      </c>
      <c r="F2" s="12"/>
      <c r="G2" s="1"/>
      <c r="H2" s="1"/>
      <c r="I2" s="1"/>
      <c r="J2" s="1"/>
      <c r="K2" s="1"/>
      <c r="L2" s="1"/>
      <c r="M2" s="1"/>
      <c r="N2" s="1"/>
      <c r="O2" s="1"/>
      <c r="P2" s="1"/>
      <c r="Q2" s="1"/>
      <c r="R2" s="1"/>
    </row>
    <row r="3" ht="68.25" customHeight="1">
      <c r="A3" s="1"/>
      <c r="B3" s="299" t="s">
        <v>652</v>
      </c>
      <c r="C3" s="12"/>
      <c r="D3" s="300" t="s">
        <v>653</v>
      </c>
      <c r="E3" s="1"/>
      <c r="F3" s="1"/>
      <c r="G3" s="1"/>
      <c r="H3" s="1"/>
      <c r="I3" s="1"/>
      <c r="J3" s="1"/>
      <c r="K3" s="1"/>
      <c r="L3" s="1"/>
      <c r="M3" s="1"/>
      <c r="N3" s="1"/>
      <c r="O3" s="1"/>
      <c r="P3" s="1"/>
      <c r="Q3" s="1"/>
      <c r="R3" s="1"/>
    </row>
    <row r="4" ht="56.25" customHeight="1">
      <c r="A4" s="1"/>
      <c r="B4" s="265" t="s">
        <v>654</v>
      </c>
      <c r="C4" s="301" t="s">
        <v>655</v>
      </c>
      <c r="D4" s="1"/>
      <c r="E4" s="1"/>
      <c r="F4" s="1"/>
      <c r="G4" s="1"/>
      <c r="H4" s="1"/>
      <c r="I4" s="1"/>
      <c r="J4" s="1"/>
      <c r="K4" s="1"/>
      <c r="L4" s="1"/>
      <c r="M4" s="1"/>
      <c r="N4" s="1"/>
      <c r="O4" s="1"/>
      <c r="P4" s="1"/>
      <c r="Q4" s="1"/>
      <c r="R4" s="1"/>
    </row>
    <row r="5" ht="25.5" customHeight="1">
      <c r="A5" s="1"/>
      <c r="B5" s="236" t="s">
        <v>656</v>
      </c>
      <c r="C5" s="302">
        <v>3000000.0</v>
      </c>
      <c r="D5" s="303" t="s">
        <v>657</v>
      </c>
      <c r="E5" s="1"/>
      <c r="F5" s="1"/>
      <c r="G5" s="1"/>
      <c r="H5" s="1"/>
      <c r="I5" s="1"/>
      <c r="J5" s="1"/>
      <c r="K5" s="1"/>
      <c r="L5" s="1"/>
      <c r="M5" s="1"/>
      <c r="N5" s="1"/>
      <c r="O5" s="1"/>
      <c r="P5" s="1"/>
      <c r="Q5" s="1"/>
      <c r="R5" s="1"/>
    </row>
    <row r="6" ht="25.5" customHeight="1">
      <c r="A6" s="1"/>
      <c r="B6" s="236" t="s">
        <v>658</v>
      </c>
      <c r="C6" s="302">
        <v>2200000.0</v>
      </c>
      <c r="D6" s="18"/>
      <c r="E6" s="1"/>
      <c r="F6" s="1"/>
      <c r="G6" s="1"/>
      <c r="H6" s="1"/>
      <c r="I6" s="1"/>
      <c r="J6" s="1"/>
      <c r="K6" s="1"/>
      <c r="L6" s="1"/>
      <c r="M6" s="1"/>
      <c r="N6" s="1"/>
      <c r="O6" s="1"/>
      <c r="P6" s="1"/>
      <c r="Q6" s="1"/>
      <c r="R6" s="1"/>
    </row>
    <row r="7" ht="32.25" customHeight="1">
      <c r="A7" s="1"/>
      <c r="B7" s="236" t="s">
        <v>659</v>
      </c>
      <c r="C7" s="302">
        <v>2200000.0</v>
      </c>
      <c r="D7" s="18"/>
      <c r="E7" s="1"/>
      <c r="F7" s="1"/>
      <c r="G7" s="1"/>
      <c r="H7" s="1"/>
      <c r="I7" s="1"/>
      <c r="J7" s="1"/>
      <c r="K7" s="1"/>
      <c r="L7" s="1"/>
      <c r="M7" s="1"/>
      <c r="N7" s="1"/>
      <c r="O7" s="1"/>
      <c r="P7" s="1"/>
      <c r="Q7" s="1"/>
      <c r="R7" s="1"/>
    </row>
    <row r="8" ht="25.5" customHeight="1">
      <c r="A8" s="1"/>
      <c r="B8" s="236" t="s">
        <v>660</v>
      </c>
      <c r="C8" s="302">
        <v>1827789.0</v>
      </c>
      <c r="D8" s="18"/>
      <c r="E8" s="1"/>
      <c r="F8" s="9" t="s">
        <v>661</v>
      </c>
      <c r="G8" s="1"/>
      <c r="H8" s="1"/>
      <c r="I8" s="1"/>
      <c r="J8" s="1"/>
      <c r="K8" s="1"/>
      <c r="L8" s="1"/>
      <c r="M8" s="1"/>
      <c r="N8" s="1"/>
      <c r="O8" s="1"/>
      <c r="P8" s="1"/>
      <c r="Q8" s="1"/>
      <c r="R8" s="1"/>
    </row>
    <row r="9" ht="25.5" customHeight="1">
      <c r="A9" s="1"/>
      <c r="B9" s="236" t="s">
        <v>662</v>
      </c>
      <c r="C9" s="302">
        <v>1827789.0</v>
      </c>
      <c r="D9" s="18"/>
      <c r="E9" s="1"/>
      <c r="F9" s="1"/>
      <c r="G9" s="1"/>
      <c r="H9" s="1"/>
      <c r="I9" s="1"/>
      <c r="J9" s="1"/>
      <c r="K9" s="1"/>
      <c r="L9" s="1"/>
      <c r="M9" s="1"/>
      <c r="N9" s="1"/>
      <c r="O9" s="1"/>
      <c r="P9" s="1"/>
      <c r="Q9" s="1"/>
      <c r="R9" s="1"/>
    </row>
    <row r="10" ht="25.5" customHeight="1">
      <c r="A10" s="1"/>
      <c r="B10" s="236" t="s">
        <v>663</v>
      </c>
      <c r="C10" s="302">
        <v>1047171.0</v>
      </c>
      <c r="D10" s="18"/>
      <c r="E10" s="1"/>
      <c r="F10" s="9" t="s">
        <v>664</v>
      </c>
      <c r="G10" s="1"/>
      <c r="H10" s="1"/>
      <c r="I10" s="1"/>
      <c r="J10" s="1"/>
      <c r="K10" s="1"/>
      <c r="L10" s="1"/>
      <c r="M10" s="1"/>
      <c r="N10" s="1"/>
      <c r="O10" s="1"/>
      <c r="P10" s="1"/>
      <c r="Q10" s="1"/>
      <c r="R10" s="1"/>
    </row>
    <row r="11" ht="25.5" customHeight="1">
      <c r="A11" s="1"/>
      <c r="B11" s="236" t="s">
        <v>665</v>
      </c>
      <c r="C11" s="302">
        <v>1607287.0</v>
      </c>
      <c r="D11" s="18"/>
      <c r="E11" s="1"/>
      <c r="F11" s="1"/>
      <c r="G11" s="1"/>
      <c r="H11" s="1"/>
      <c r="I11" s="1"/>
      <c r="J11" s="1"/>
      <c r="K11" s="1"/>
      <c r="L11" s="1"/>
      <c r="M11" s="1"/>
      <c r="N11" s="1"/>
      <c r="O11" s="1"/>
      <c r="P11" s="1"/>
      <c r="Q11" s="1"/>
      <c r="R11" s="1"/>
    </row>
    <row r="12" ht="25.5" customHeight="1">
      <c r="A12" s="1"/>
      <c r="B12" s="230"/>
      <c r="C12" s="304">
        <v>0.0</v>
      </c>
      <c r="D12" s="18"/>
      <c r="E12" s="1"/>
      <c r="F12" s="9" t="s">
        <v>666</v>
      </c>
      <c r="G12" s="1"/>
      <c r="H12" s="1"/>
      <c r="I12" s="1"/>
      <c r="J12" s="1"/>
      <c r="K12" s="1"/>
      <c r="L12" s="1"/>
      <c r="M12" s="1"/>
      <c r="N12" s="1"/>
      <c r="O12" s="1"/>
      <c r="P12" s="1"/>
      <c r="Q12" s="1"/>
      <c r="R12" s="1"/>
    </row>
    <row r="13" ht="25.5" customHeight="1">
      <c r="A13" s="1"/>
      <c r="B13" s="230"/>
      <c r="C13" s="304">
        <v>0.0</v>
      </c>
      <c r="D13" s="18"/>
      <c r="E13" s="1"/>
      <c r="F13" s="1"/>
      <c r="G13" s="1"/>
      <c r="H13" s="1"/>
      <c r="I13" s="1"/>
      <c r="J13" s="1"/>
      <c r="K13" s="1"/>
      <c r="L13" s="1"/>
      <c r="M13" s="1"/>
      <c r="N13" s="1"/>
      <c r="O13" s="1"/>
      <c r="P13" s="1"/>
      <c r="Q13" s="1"/>
      <c r="R13" s="1"/>
    </row>
    <row r="14" ht="25.5" customHeight="1">
      <c r="A14" s="1"/>
      <c r="B14" s="230"/>
      <c r="C14" s="304">
        <v>0.0</v>
      </c>
      <c r="D14" s="33"/>
      <c r="E14" s="1"/>
      <c r="F14" s="1"/>
      <c r="G14" s="1"/>
      <c r="H14" s="1"/>
      <c r="I14" s="1"/>
      <c r="J14" s="1"/>
      <c r="K14" s="1"/>
      <c r="L14" s="1"/>
      <c r="M14" s="1"/>
      <c r="N14" s="1"/>
      <c r="O14" s="1"/>
      <c r="P14" s="1"/>
      <c r="Q14" s="1"/>
      <c r="R14" s="1"/>
    </row>
    <row r="15" ht="25.5" customHeight="1">
      <c r="A15" s="1"/>
      <c r="B15" s="228" t="s">
        <v>667</v>
      </c>
      <c r="C15" s="305">
        <f>SUM(C5:C14)</f>
        <v>13710036</v>
      </c>
      <c r="D15" s="306" t="s">
        <v>668</v>
      </c>
      <c r="E15" s="1"/>
      <c r="F15" s="1"/>
      <c r="G15" s="1"/>
      <c r="H15" s="1"/>
      <c r="I15" s="1"/>
      <c r="J15" s="1"/>
      <c r="K15" s="1"/>
      <c r="L15" s="1"/>
      <c r="M15" s="1"/>
      <c r="N15" s="1"/>
      <c r="O15" s="1"/>
      <c r="P15" s="1"/>
      <c r="Q15" s="1"/>
      <c r="R15" s="5"/>
    </row>
    <row r="16" ht="29.25" customHeight="1">
      <c r="A16" s="1"/>
      <c r="B16" s="228" t="s">
        <v>669</v>
      </c>
      <c r="C16" s="305">
        <f>C15/12</f>
        <v>1142503</v>
      </c>
      <c r="D16" s="18"/>
      <c r="E16" s="1"/>
      <c r="F16" s="1"/>
      <c r="G16" s="1"/>
      <c r="H16" s="1"/>
      <c r="I16" s="1"/>
      <c r="J16" s="1"/>
      <c r="K16" s="1"/>
      <c r="L16" s="1"/>
      <c r="M16" s="1"/>
      <c r="N16" s="1"/>
      <c r="O16" s="1"/>
      <c r="P16" s="1"/>
      <c r="Q16" s="1"/>
      <c r="R16" s="1"/>
    </row>
    <row r="17" ht="29.25" customHeight="1">
      <c r="A17" s="1"/>
      <c r="B17" s="21" t="s">
        <v>670</v>
      </c>
      <c r="C17" s="307">
        <f>C15+C16</f>
        <v>14852539</v>
      </c>
      <c r="D17" s="308"/>
      <c r="E17" s="1"/>
      <c r="F17" s="1"/>
      <c r="G17" s="1"/>
      <c r="H17" s="1"/>
      <c r="I17" s="1"/>
      <c r="J17" s="1"/>
      <c r="K17" s="1"/>
      <c r="L17" s="1"/>
      <c r="M17" s="1"/>
      <c r="N17" s="1"/>
      <c r="O17" s="1"/>
      <c r="P17" s="1"/>
      <c r="Q17" s="1"/>
      <c r="R17" s="1"/>
    </row>
    <row r="18" ht="29.25" customHeight="1">
      <c r="A18" s="1"/>
      <c r="B18" s="1"/>
      <c r="C18" s="1"/>
      <c r="D18" s="1"/>
      <c r="E18" s="1"/>
      <c r="F18" s="1"/>
      <c r="G18" s="1"/>
      <c r="H18" s="1"/>
      <c r="I18" s="1"/>
      <c r="J18" s="1"/>
      <c r="K18" s="1"/>
      <c r="L18" s="1"/>
      <c r="M18" s="1"/>
      <c r="N18" s="1"/>
      <c r="O18" s="1"/>
      <c r="P18" s="1"/>
      <c r="Q18" s="1"/>
      <c r="R18" s="1"/>
    </row>
    <row r="19" ht="25.5" customHeight="1">
      <c r="A19" s="1"/>
      <c r="B19" s="1"/>
      <c r="C19" s="1"/>
      <c r="D19" s="1"/>
      <c r="E19" s="1"/>
      <c r="F19" s="1"/>
      <c r="G19" s="1"/>
      <c r="H19" s="1"/>
      <c r="I19" s="1"/>
      <c r="J19" s="1"/>
      <c r="K19" s="1"/>
      <c r="L19" s="1"/>
      <c r="M19" s="1"/>
      <c r="N19" s="1"/>
      <c r="O19" s="1"/>
      <c r="P19" s="1"/>
      <c r="Q19" s="1"/>
      <c r="R19" s="5"/>
    </row>
    <row r="20" ht="26.25" customHeight="1">
      <c r="A20" s="1"/>
      <c r="B20" s="309" t="s">
        <v>671</v>
      </c>
      <c r="C20" s="310" t="s">
        <v>672</v>
      </c>
      <c r="D20" s="5"/>
      <c r="E20" s="1"/>
      <c r="F20" s="1"/>
      <c r="G20" s="1"/>
      <c r="H20" s="1"/>
      <c r="I20" s="1"/>
      <c r="J20" s="1"/>
      <c r="K20" s="1"/>
      <c r="L20" s="1"/>
      <c r="M20" s="1"/>
      <c r="N20" s="1"/>
      <c r="O20" s="1"/>
      <c r="P20" s="1"/>
      <c r="Q20" s="1"/>
      <c r="R20" s="5"/>
    </row>
    <row r="21" ht="33.75" customHeight="1">
      <c r="A21" s="1"/>
      <c r="B21" s="33"/>
      <c r="C21" s="33"/>
      <c r="D21" s="5"/>
      <c r="E21" s="59"/>
      <c r="F21" s="1"/>
      <c r="G21" s="1"/>
      <c r="H21" s="1"/>
      <c r="I21" s="1"/>
      <c r="J21" s="1"/>
      <c r="K21" s="1"/>
      <c r="L21" s="1"/>
      <c r="M21" s="1"/>
      <c r="N21" s="1"/>
      <c r="O21" s="1"/>
      <c r="P21" s="1"/>
      <c r="Q21" s="1"/>
      <c r="R21" s="5"/>
    </row>
    <row r="22" ht="33.75" customHeight="1">
      <c r="A22" s="1"/>
      <c r="B22" s="21" t="s">
        <v>673</v>
      </c>
      <c r="C22" s="304">
        <f>C17*0.16</f>
        <v>2376406.24</v>
      </c>
      <c r="D22" s="306" t="s">
        <v>668</v>
      </c>
      <c r="E22" s="1"/>
      <c r="F22" s="1"/>
      <c r="G22" s="1"/>
      <c r="H22" s="1"/>
      <c r="I22" s="1"/>
      <c r="J22" s="1"/>
      <c r="K22" s="1"/>
      <c r="L22" s="1"/>
      <c r="M22" s="1"/>
      <c r="N22" s="1"/>
      <c r="O22" s="1"/>
      <c r="P22" s="1"/>
      <c r="Q22" s="1"/>
      <c r="R22" s="5"/>
    </row>
    <row r="23" ht="33.0" customHeight="1">
      <c r="A23" s="1"/>
      <c r="B23" s="21" t="s">
        <v>674</v>
      </c>
      <c r="C23" s="304">
        <f>C17*0.02</f>
        <v>297050.78</v>
      </c>
      <c r="D23" s="18"/>
      <c r="E23" s="1"/>
      <c r="F23" s="1"/>
      <c r="G23" s="1"/>
      <c r="H23" s="1"/>
      <c r="I23" s="1"/>
      <c r="J23" s="1"/>
      <c r="K23" s="1"/>
      <c r="L23" s="1"/>
      <c r="M23" s="1"/>
      <c r="N23" s="1"/>
      <c r="O23" s="1"/>
      <c r="P23" s="1"/>
      <c r="Q23" s="1"/>
      <c r="R23" s="5"/>
    </row>
    <row r="24" ht="50.25" customHeight="1">
      <c r="A24" s="1"/>
      <c r="B24" s="21" t="s">
        <v>675</v>
      </c>
      <c r="C24" s="304">
        <f>C17*0.06</f>
        <v>891152.34</v>
      </c>
      <c r="D24" s="18"/>
      <c r="E24" s="1"/>
      <c r="F24" s="1"/>
      <c r="G24" s="1"/>
      <c r="H24" s="1"/>
      <c r="I24" s="1"/>
      <c r="J24" s="1"/>
      <c r="K24" s="1"/>
      <c r="L24" s="1"/>
      <c r="M24" s="1"/>
      <c r="N24" s="1"/>
      <c r="O24" s="1"/>
      <c r="P24" s="1"/>
      <c r="Q24" s="1"/>
      <c r="R24" s="5"/>
    </row>
    <row r="25" ht="50.25" customHeight="1">
      <c r="A25" s="1"/>
      <c r="B25" s="21" t="s">
        <v>676</v>
      </c>
      <c r="C25" s="304">
        <f>C17*0.015</f>
        <v>222788.085</v>
      </c>
      <c r="D25" s="18"/>
      <c r="E25" s="1"/>
      <c r="F25" s="1"/>
      <c r="G25" s="1"/>
      <c r="H25" s="1"/>
      <c r="I25" s="1"/>
      <c r="J25" s="1"/>
      <c r="K25" s="1"/>
      <c r="L25" s="1"/>
      <c r="M25" s="1"/>
      <c r="N25" s="1"/>
      <c r="O25" s="1"/>
      <c r="P25" s="1"/>
      <c r="Q25" s="1"/>
      <c r="R25" s="5"/>
    </row>
    <row r="26" ht="50.25" customHeight="1">
      <c r="A26" s="1"/>
      <c r="B26" s="21" t="s">
        <v>677</v>
      </c>
      <c r="C26" s="304">
        <f>C17*0.003</f>
        <v>44557.617</v>
      </c>
      <c r="D26" s="18"/>
      <c r="E26" s="1"/>
      <c r="F26" s="1"/>
      <c r="G26" s="1"/>
      <c r="H26" s="1"/>
      <c r="I26" s="1"/>
      <c r="J26" s="1"/>
      <c r="K26" s="1"/>
      <c r="L26" s="1"/>
      <c r="M26" s="1"/>
      <c r="N26" s="1"/>
      <c r="O26" s="1"/>
      <c r="P26" s="1"/>
      <c r="Q26" s="1"/>
      <c r="R26" s="5"/>
    </row>
    <row r="27" ht="25.5" customHeight="1">
      <c r="A27" s="1"/>
      <c r="B27" s="21" t="s">
        <v>678</v>
      </c>
      <c r="C27" s="304">
        <f>C17*0.03</f>
        <v>445576.17</v>
      </c>
      <c r="D27" s="18"/>
      <c r="E27" s="1"/>
      <c r="F27" s="1"/>
      <c r="G27" s="1"/>
      <c r="H27" s="1"/>
      <c r="I27" s="1"/>
      <c r="J27" s="1"/>
      <c r="K27" s="1"/>
      <c r="L27" s="1"/>
      <c r="M27" s="1"/>
      <c r="N27" s="1"/>
      <c r="O27" s="1"/>
      <c r="P27" s="1"/>
      <c r="Q27" s="1"/>
      <c r="R27" s="5"/>
    </row>
    <row r="28" ht="32.25" customHeight="1">
      <c r="A28" s="1"/>
      <c r="B28" s="228" t="s">
        <v>679</v>
      </c>
      <c r="C28" s="311">
        <f>SUM(C22:C27)</f>
        <v>4277531.232</v>
      </c>
      <c r="D28" s="33"/>
      <c r="E28" s="1"/>
      <c r="F28" s="1"/>
      <c r="G28" s="1"/>
      <c r="H28" s="1"/>
      <c r="I28" s="1"/>
      <c r="J28" s="1"/>
      <c r="K28" s="1"/>
      <c r="L28" s="1"/>
      <c r="M28" s="1"/>
      <c r="N28" s="1"/>
      <c r="O28" s="1"/>
      <c r="P28" s="1"/>
      <c r="Q28" s="1"/>
      <c r="R28" s="5"/>
    </row>
    <row r="29" ht="34.5" customHeight="1">
      <c r="A29" s="1"/>
      <c r="B29" s="1"/>
      <c r="C29" s="1"/>
      <c r="D29" s="1"/>
      <c r="F29" s="1"/>
      <c r="G29" s="1"/>
      <c r="H29" s="1"/>
      <c r="I29" s="1"/>
      <c r="J29" s="1"/>
      <c r="K29" s="1"/>
      <c r="L29" s="1"/>
      <c r="M29" s="1"/>
      <c r="N29" s="1"/>
      <c r="O29" s="1"/>
      <c r="P29" s="1"/>
      <c r="Q29" s="1"/>
      <c r="R29" s="1"/>
    </row>
    <row r="30" ht="25.5" customHeight="1">
      <c r="A30" s="1"/>
      <c r="B30" s="5"/>
      <c r="C30" s="5"/>
      <c r="D30" s="1"/>
      <c r="E30" s="1"/>
      <c r="F30" s="1"/>
      <c r="G30" s="1"/>
      <c r="H30" s="1"/>
      <c r="I30" s="1"/>
      <c r="J30" s="1"/>
      <c r="K30" s="1"/>
      <c r="L30" s="1"/>
      <c r="M30" s="1"/>
      <c r="N30" s="1"/>
      <c r="O30" s="1"/>
      <c r="P30" s="1"/>
      <c r="Q30" s="5"/>
      <c r="R30" s="5"/>
    </row>
    <row r="31" ht="18.75" customHeight="1">
      <c r="A31" s="1"/>
      <c r="B31" s="5"/>
      <c r="C31" s="5"/>
      <c r="D31" s="1"/>
      <c r="E31" s="1"/>
      <c r="F31" s="1"/>
      <c r="G31" s="1"/>
      <c r="H31" s="1"/>
      <c r="I31" s="1"/>
      <c r="J31" s="1"/>
      <c r="K31" s="1"/>
      <c r="L31" s="1"/>
      <c r="M31" s="1"/>
      <c r="N31" s="1"/>
      <c r="O31" s="1"/>
      <c r="P31" s="1"/>
      <c r="Q31" s="5"/>
      <c r="R31" s="5"/>
    </row>
    <row r="32" ht="27.75" customHeight="1">
      <c r="A32" s="1"/>
      <c r="B32" s="1"/>
      <c r="C32" s="1"/>
      <c r="D32" s="1"/>
      <c r="E32" s="1"/>
      <c r="F32" s="1"/>
      <c r="G32" s="1"/>
      <c r="H32" s="1"/>
      <c r="I32" s="1"/>
      <c r="J32" s="1"/>
      <c r="K32" s="1"/>
      <c r="L32" s="1"/>
      <c r="M32" s="1"/>
      <c r="N32" s="1"/>
      <c r="O32" s="1"/>
      <c r="P32" s="1"/>
      <c r="Q32" s="1"/>
      <c r="R32" s="5"/>
    </row>
    <row r="33" ht="25.5" customHeight="1">
      <c r="A33" s="1"/>
      <c r="B33" s="1"/>
      <c r="C33" s="1"/>
      <c r="D33" s="1"/>
      <c r="E33" s="1"/>
      <c r="F33" s="1"/>
      <c r="G33" s="1"/>
      <c r="H33" s="1"/>
      <c r="I33" s="1"/>
      <c r="J33" s="1"/>
      <c r="K33" s="1"/>
      <c r="L33" s="1"/>
      <c r="M33" s="1"/>
      <c r="N33" s="1"/>
      <c r="O33" s="1"/>
      <c r="P33" s="1"/>
      <c r="Q33" s="1"/>
      <c r="R33" s="1"/>
    </row>
    <row r="34" ht="25.5" customHeight="1">
      <c r="A34" s="1"/>
      <c r="B34" s="1"/>
      <c r="C34" s="1"/>
      <c r="D34" s="1"/>
      <c r="E34" s="1"/>
      <c r="F34" s="1"/>
      <c r="G34" s="1"/>
      <c r="H34" s="1"/>
      <c r="I34" s="1"/>
      <c r="J34" s="1"/>
      <c r="K34" s="1"/>
      <c r="L34" s="1"/>
      <c r="M34" s="1"/>
      <c r="N34" s="1"/>
      <c r="O34" s="1"/>
      <c r="P34" s="1"/>
      <c r="Q34" s="1"/>
      <c r="R34" s="1"/>
    </row>
    <row r="35" ht="25.5" customHeight="1">
      <c r="A35" s="1"/>
      <c r="B35" s="1"/>
      <c r="C35" s="1"/>
      <c r="D35" s="1"/>
      <c r="E35" s="1"/>
      <c r="F35" s="1"/>
      <c r="G35" s="1"/>
      <c r="H35" s="1"/>
      <c r="I35" s="1"/>
      <c r="J35" s="1"/>
      <c r="K35" s="1"/>
      <c r="L35" s="1"/>
      <c r="M35" s="1"/>
      <c r="N35" s="1"/>
      <c r="O35" s="1"/>
      <c r="P35" s="1"/>
      <c r="Q35" s="1"/>
      <c r="R35" s="1"/>
    </row>
    <row r="36" ht="25.5" customHeight="1">
      <c r="A36" s="1"/>
      <c r="B36" s="1"/>
      <c r="C36" s="1"/>
      <c r="D36" s="1"/>
      <c r="E36" s="1"/>
      <c r="F36" s="1"/>
      <c r="G36" s="1"/>
      <c r="H36" s="1"/>
      <c r="I36" s="1"/>
      <c r="J36" s="1"/>
      <c r="K36" s="1"/>
      <c r="L36" s="1"/>
      <c r="M36" s="1"/>
      <c r="N36" s="1"/>
      <c r="O36" s="1"/>
      <c r="P36" s="1"/>
      <c r="Q36" s="1"/>
      <c r="R36" s="1"/>
    </row>
    <row r="37" ht="25.5" customHeight="1">
      <c r="A37" s="1"/>
      <c r="B37" s="1"/>
      <c r="C37" s="1"/>
      <c r="D37" s="1"/>
      <c r="E37" s="1"/>
      <c r="F37" s="1"/>
      <c r="G37" s="1"/>
      <c r="H37" s="1"/>
      <c r="I37" s="1"/>
      <c r="J37" s="1"/>
      <c r="K37" s="1"/>
      <c r="L37" s="1"/>
      <c r="M37" s="1"/>
      <c r="N37" s="1"/>
      <c r="O37" s="1"/>
      <c r="P37" s="1"/>
      <c r="Q37" s="1"/>
      <c r="R37" s="1"/>
    </row>
    <row r="38" ht="25.5" customHeight="1">
      <c r="A38" s="1"/>
      <c r="B38" s="1"/>
      <c r="C38" s="1"/>
      <c r="D38" s="1"/>
      <c r="E38" s="1"/>
      <c r="F38" s="1"/>
      <c r="G38" s="1"/>
      <c r="H38" s="1"/>
      <c r="I38" s="1"/>
      <c r="J38" s="1"/>
      <c r="K38" s="1"/>
      <c r="L38" s="1"/>
      <c r="M38" s="1"/>
      <c r="N38" s="1"/>
      <c r="O38" s="1"/>
      <c r="P38" s="1"/>
      <c r="Q38" s="1"/>
      <c r="R38" s="1"/>
    </row>
    <row r="39" ht="25.5" customHeight="1">
      <c r="A39" s="1"/>
      <c r="B39" s="312" t="s">
        <v>680</v>
      </c>
      <c r="C39" s="1"/>
      <c r="D39" s="1"/>
      <c r="E39" s="1"/>
      <c r="F39" s="1"/>
      <c r="G39" s="1"/>
      <c r="H39" s="1"/>
      <c r="I39" s="1"/>
      <c r="J39" s="1"/>
      <c r="K39" s="1"/>
      <c r="L39" s="1"/>
      <c r="M39" s="1"/>
      <c r="N39" s="1"/>
      <c r="O39" s="1"/>
      <c r="P39" s="1"/>
      <c r="Q39" s="1"/>
      <c r="R39" s="1"/>
    </row>
    <row r="40" ht="25.5" customHeight="1">
      <c r="A40" s="1"/>
      <c r="B40" s="1"/>
      <c r="C40" s="1"/>
      <c r="D40" s="1"/>
      <c r="E40" s="1"/>
      <c r="F40" s="1"/>
      <c r="G40" s="1"/>
      <c r="H40" s="1"/>
      <c r="I40" s="1"/>
      <c r="J40" s="1"/>
      <c r="K40" s="1"/>
      <c r="L40" s="1"/>
      <c r="M40" s="1"/>
      <c r="N40" s="1"/>
      <c r="O40" s="1"/>
      <c r="P40" s="1"/>
      <c r="Q40" s="1"/>
      <c r="R40" s="1"/>
    </row>
    <row r="41" ht="25.5" customHeight="1">
      <c r="A41" s="1"/>
      <c r="B41" s="1"/>
      <c r="C41" s="1"/>
      <c r="D41" s="1"/>
      <c r="E41" s="1"/>
      <c r="F41" s="1"/>
      <c r="G41" s="1"/>
      <c r="H41" s="1"/>
      <c r="I41" s="1"/>
      <c r="J41" s="1"/>
      <c r="K41" s="1"/>
      <c r="L41" s="1"/>
      <c r="M41" s="1"/>
      <c r="N41" s="1"/>
      <c r="O41" s="1"/>
      <c r="P41" s="1"/>
      <c r="Q41" s="1"/>
      <c r="R41" s="1"/>
    </row>
    <row r="42" ht="25.5" customHeight="1">
      <c r="A42" s="1"/>
      <c r="B42" s="1"/>
      <c r="C42" s="1"/>
      <c r="D42" s="1"/>
      <c r="E42" s="1"/>
      <c r="F42" s="1"/>
      <c r="G42" s="1"/>
      <c r="H42" s="1"/>
      <c r="I42" s="1"/>
      <c r="J42" s="1"/>
      <c r="K42" s="1"/>
      <c r="L42" s="1"/>
      <c r="M42" s="1"/>
      <c r="N42" s="1"/>
      <c r="O42" s="1"/>
      <c r="P42" s="1"/>
      <c r="Q42" s="1"/>
      <c r="R42" s="1"/>
    </row>
    <row r="43" ht="25.5" customHeight="1">
      <c r="A43" s="1"/>
      <c r="B43" s="1"/>
      <c r="C43" s="1"/>
      <c r="D43" s="1"/>
      <c r="E43" s="1"/>
      <c r="F43" s="1"/>
      <c r="G43" s="1"/>
      <c r="H43" s="1"/>
      <c r="I43" s="1"/>
      <c r="J43" s="1"/>
      <c r="K43" s="1"/>
      <c r="L43" s="1"/>
      <c r="M43" s="1"/>
      <c r="N43" s="1"/>
      <c r="O43" s="1"/>
      <c r="P43" s="1"/>
      <c r="Q43" s="1"/>
      <c r="R43" s="1"/>
    </row>
    <row r="44" ht="25.5" customHeight="1">
      <c r="A44" s="1"/>
      <c r="B44" s="1"/>
      <c r="C44" s="1"/>
      <c r="D44" s="1"/>
      <c r="E44" s="1"/>
      <c r="F44" s="1"/>
      <c r="G44" s="1"/>
      <c r="H44" s="1"/>
      <c r="I44" s="1"/>
      <c r="J44" s="1"/>
      <c r="K44" s="1"/>
      <c r="L44" s="1"/>
      <c r="M44" s="1"/>
      <c r="N44" s="1"/>
      <c r="O44" s="1"/>
      <c r="P44" s="1"/>
      <c r="Q44" s="1"/>
      <c r="R44" s="1"/>
    </row>
    <row r="45" ht="25.5" customHeight="1">
      <c r="A45" s="1"/>
      <c r="B45" s="1"/>
      <c r="C45" s="1"/>
      <c r="D45" s="1"/>
      <c r="E45" s="1"/>
      <c r="F45" s="1"/>
      <c r="G45" s="1"/>
      <c r="H45" s="1"/>
      <c r="I45" s="1"/>
      <c r="J45" s="1"/>
      <c r="K45" s="1"/>
      <c r="L45" s="1"/>
      <c r="M45" s="1"/>
      <c r="N45" s="1"/>
      <c r="O45" s="1"/>
      <c r="P45" s="1"/>
      <c r="Q45" s="1"/>
      <c r="R45" s="1"/>
    </row>
    <row r="46" ht="25.5" customHeight="1">
      <c r="A46" s="1"/>
      <c r="B46" s="1"/>
      <c r="C46" s="1"/>
      <c r="D46" s="1"/>
      <c r="E46" s="1"/>
      <c r="F46" s="1"/>
      <c r="G46" s="1"/>
      <c r="H46" s="1"/>
      <c r="I46" s="1"/>
      <c r="J46" s="1"/>
      <c r="K46" s="1"/>
      <c r="L46" s="1"/>
      <c r="M46" s="1"/>
      <c r="N46" s="1"/>
      <c r="O46" s="1"/>
      <c r="P46" s="1"/>
      <c r="Q46" s="1"/>
      <c r="R46" s="1"/>
    </row>
    <row r="47" ht="25.5" customHeight="1">
      <c r="A47" s="1"/>
      <c r="B47" s="1"/>
      <c r="C47" s="1"/>
      <c r="D47" s="1"/>
      <c r="E47" s="1"/>
      <c r="F47" s="1"/>
      <c r="G47" s="1"/>
      <c r="H47" s="1"/>
      <c r="I47" s="1"/>
      <c r="J47" s="1"/>
      <c r="K47" s="1"/>
      <c r="L47" s="1"/>
      <c r="M47" s="1"/>
      <c r="N47" s="1"/>
      <c r="O47" s="1"/>
      <c r="P47" s="1"/>
      <c r="Q47" s="1"/>
      <c r="R47" s="1"/>
    </row>
    <row r="48" ht="25.5" customHeight="1">
      <c r="A48" s="1"/>
      <c r="B48" s="1"/>
      <c r="C48" s="1"/>
      <c r="D48" s="1"/>
      <c r="E48" s="1"/>
      <c r="F48" s="1"/>
      <c r="G48" s="1"/>
      <c r="H48" s="1"/>
      <c r="I48" s="1"/>
      <c r="J48" s="1"/>
      <c r="K48" s="1"/>
      <c r="L48" s="1"/>
      <c r="M48" s="1"/>
      <c r="N48" s="1"/>
      <c r="O48" s="1"/>
      <c r="P48" s="1"/>
      <c r="Q48" s="1"/>
      <c r="R48" s="1"/>
    </row>
    <row r="49" ht="25.5" customHeight="1">
      <c r="A49" s="1"/>
      <c r="B49" s="1"/>
      <c r="C49" s="1"/>
      <c r="D49" s="1"/>
      <c r="E49" s="1"/>
      <c r="F49" s="1"/>
      <c r="G49" s="1"/>
      <c r="H49" s="1"/>
      <c r="I49" s="1"/>
      <c r="J49" s="1"/>
      <c r="K49" s="1"/>
      <c r="L49" s="1"/>
      <c r="M49" s="1"/>
      <c r="N49" s="1"/>
      <c r="O49" s="1"/>
      <c r="P49" s="1"/>
      <c r="Q49" s="1"/>
      <c r="R49" s="1"/>
    </row>
    <row r="50" ht="25.5" customHeight="1">
      <c r="A50" s="1"/>
      <c r="B50" s="1"/>
      <c r="C50" s="1"/>
      <c r="D50" s="1"/>
      <c r="E50" s="1"/>
      <c r="F50" s="1"/>
      <c r="G50" s="1"/>
      <c r="H50" s="1"/>
      <c r="I50" s="1"/>
      <c r="J50" s="1"/>
      <c r="K50" s="1"/>
      <c r="L50" s="1"/>
      <c r="M50" s="1"/>
      <c r="N50" s="1"/>
      <c r="O50" s="1"/>
      <c r="P50" s="1"/>
      <c r="Q50" s="1"/>
      <c r="R50" s="1"/>
    </row>
    <row r="51" ht="25.5" customHeight="1">
      <c r="A51" s="1"/>
      <c r="B51" s="1"/>
      <c r="C51" s="1"/>
      <c r="D51" s="1"/>
      <c r="E51" s="1"/>
      <c r="F51" s="1"/>
      <c r="G51" s="1"/>
      <c r="H51" s="1"/>
      <c r="I51" s="1"/>
      <c r="J51" s="1"/>
      <c r="K51" s="1"/>
      <c r="L51" s="1"/>
      <c r="M51" s="1"/>
      <c r="N51" s="1"/>
      <c r="O51" s="1"/>
      <c r="P51" s="1"/>
      <c r="Q51" s="1"/>
      <c r="R51" s="1"/>
    </row>
    <row r="52" ht="25.5" customHeight="1">
      <c r="A52" s="1"/>
      <c r="B52" s="1"/>
      <c r="C52" s="1"/>
      <c r="D52" s="1"/>
      <c r="E52" s="1"/>
      <c r="F52" s="1"/>
      <c r="G52" s="1"/>
      <c r="H52" s="1"/>
      <c r="I52" s="1"/>
      <c r="J52" s="1"/>
      <c r="K52" s="1"/>
      <c r="L52" s="1"/>
      <c r="M52" s="1"/>
      <c r="N52" s="1"/>
      <c r="O52" s="1"/>
      <c r="P52" s="1"/>
      <c r="Q52" s="1"/>
      <c r="R52" s="1"/>
    </row>
    <row r="53" ht="25.5" customHeight="1">
      <c r="A53" s="1"/>
      <c r="B53" s="1"/>
      <c r="C53" s="1"/>
      <c r="D53" s="1"/>
      <c r="E53" s="1"/>
      <c r="F53" s="1"/>
      <c r="G53" s="1"/>
      <c r="H53" s="1"/>
      <c r="I53" s="1"/>
      <c r="J53" s="1"/>
      <c r="K53" s="1"/>
      <c r="L53" s="1"/>
      <c r="M53" s="1"/>
      <c r="N53" s="1"/>
      <c r="O53" s="1"/>
      <c r="P53" s="1"/>
      <c r="Q53" s="1"/>
      <c r="R53" s="1"/>
    </row>
    <row r="54" ht="25.5" customHeight="1">
      <c r="A54" s="1"/>
      <c r="B54" s="1"/>
      <c r="C54" s="1"/>
      <c r="D54" s="1"/>
      <c r="E54" s="1"/>
      <c r="F54" s="1"/>
      <c r="G54" s="1"/>
      <c r="H54" s="1"/>
      <c r="I54" s="1"/>
      <c r="J54" s="1"/>
      <c r="K54" s="1"/>
      <c r="L54" s="1"/>
      <c r="M54" s="1"/>
      <c r="N54" s="1"/>
      <c r="O54" s="1"/>
      <c r="P54" s="1"/>
      <c r="Q54" s="1"/>
      <c r="R54" s="1"/>
    </row>
    <row r="55" ht="25.5" customHeight="1">
      <c r="A55" s="1"/>
      <c r="B55" s="1"/>
      <c r="C55" s="1"/>
      <c r="D55" s="1"/>
      <c r="E55" s="1"/>
      <c r="F55" s="1"/>
      <c r="G55" s="1"/>
      <c r="H55" s="1"/>
      <c r="I55" s="1"/>
      <c r="J55" s="1"/>
      <c r="K55" s="1"/>
      <c r="L55" s="1"/>
      <c r="M55" s="1"/>
      <c r="N55" s="1"/>
      <c r="O55" s="1"/>
      <c r="P55" s="1"/>
      <c r="Q55" s="1"/>
      <c r="R55" s="1"/>
    </row>
    <row r="56" ht="25.5" customHeight="1">
      <c r="A56" s="1"/>
      <c r="B56" s="1"/>
      <c r="C56" s="1"/>
      <c r="D56" s="1"/>
      <c r="E56" s="1"/>
      <c r="F56" s="1"/>
      <c r="G56" s="1"/>
      <c r="H56" s="1"/>
      <c r="I56" s="1"/>
      <c r="J56" s="1"/>
      <c r="K56" s="1"/>
      <c r="L56" s="1"/>
      <c r="M56" s="1"/>
      <c r="N56" s="1"/>
      <c r="O56" s="1"/>
      <c r="P56" s="1"/>
      <c r="Q56" s="1"/>
      <c r="R56" s="1"/>
    </row>
    <row r="57" ht="25.5" customHeight="1">
      <c r="A57" s="1"/>
      <c r="B57" s="1"/>
      <c r="C57" s="1"/>
      <c r="D57" s="1"/>
      <c r="E57" s="1"/>
      <c r="F57" s="1"/>
      <c r="G57" s="1"/>
      <c r="H57" s="1"/>
      <c r="I57" s="1"/>
      <c r="J57" s="1"/>
      <c r="K57" s="1"/>
      <c r="L57" s="1"/>
      <c r="M57" s="1"/>
      <c r="N57" s="1"/>
      <c r="O57" s="1"/>
      <c r="P57" s="1"/>
      <c r="Q57" s="1"/>
      <c r="R57" s="1"/>
    </row>
    <row r="58" ht="25.5" customHeight="1">
      <c r="A58" s="1"/>
      <c r="B58" s="1"/>
      <c r="C58" s="1"/>
      <c r="D58" s="1"/>
      <c r="E58" s="1"/>
      <c r="F58" s="1"/>
      <c r="G58" s="1"/>
      <c r="H58" s="1"/>
      <c r="I58" s="1"/>
      <c r="J58" s="1"/>
      <c r="K58" s="1"/>
      <c r="L58" s="1"/>
      <c r="M58" s="1"/>
      <c r="N58" s="1"/>
      <c r="O58" s="1"/>
      <c r="P58" s="1"/>
      <c r="Q58" s="1"/>
      <c r="R58" s="1"/>
    </row>
    <row r="59" ht="25.5" customHeight="1">
      <c r="A59" s="1"/>
      <c r="B59" s="1"/>
      <c r="C59" s="1"/>
      <c r="D59" s="1"/>
      <c r="E59" s="1"/>
      <c r="F59" s="1"/>
      <c r="G59" s="1"/>
      <c r="H59" s="1"/>
      <c r="I59" s="1"/>
      <c r="J59" s="1"/>
      <c r="K59" s="1"/>
      <c r="L59" s="1"/>
      <c r="M59" s="1"/>
      <c r="N59" s="1"/>
      <c r="O59" s="1"/>
      <c r="P59" s="1"/>
      <c r="Q59" s="1"/>
      <c r="R59" s="1"/>
    </row>
    <row r="60" ht="25.5" customHeight="1">
      <c r="A60" s="1"/>
      <c r="B60" s="1"/>
      <c r="C60" s="1"/>
      <c r="D60" s="1"/>
      <c r="E60" s="1"/>
      <c r="F60" s="1"/>
      <c r="G60" s="1"/>
      <c r="H60" s="1"/>
      <c r="I60" s="1"/>
      <c r="J60" s="1"/>
      <c r="K60" s="1"/>
      <c r="L60" s="1"/>
      <c r="M60" s="1"/>
      <c r="N60" s="1"/>
      <c r="O60" s="1"/>
      <c r="P60" s="1"/>
      <c r="Q60" s="1"/>
      <c r="R60" s="1"/>
    </row>
    <row r="61" ht="25.5" customHeight="1">
      <c r="A61" s="1"/>
      <c r="B61" s="1"/>
      <c r="C61" s="1"/>
      <c r="D61" s="1"/>
      <c r="E61" s="1"/>
      <c r="F61" s="1"/>
      <c r="G61" s="1"/>
      <c r="H61" s="1"/>
      <c r="I61" s="1"/>
      <c r="J61" s="1"/>
      <c r="K61" s="1"/>
      <c r="L61" s="1"/>
      <c r="M61" s="1"/>
      <c r="N61" s="1"/>
      <c r="O61" s="1"/>
      <c r="P61" s="1"/>
      <c r="Q61" s="1"/>
      <c r="R61" s="1"/>
    </row>
    <row r="62" ht="25.5" customHeight="1">
      <c r="A62" s="1"/>
      <c r="B62" s="1"/>
      <c r="C62" s="1"/>
      <c r="D62" s="1"/>
      <c r="E62" s="1"/>
      <c r="F62" s="1"/>
      <c r="G62" s="1"/>
      <c r="H62" s="1"/>
      <c r="I62" s="1"/>
      <c r="J62" s="1"/>
      <c r="K62" s="1"/>
      <c r="L62" s="1"/>
      <c r="M62" s="1"/>
      <c r="N62" s="1"/>
      <c r="O62" s="1"/>
      <c r="P62" s="1"/>
      <c r="Q62" s="1"/>
      <c r="R62" s="1"/>
    </row>
    <row r="63" ht="25.5" customHeight="1">
      <c r="A63" s="1"/>
      <c r="B63" s="1"/>
      <c r="C63" s="1"/>
      <c r="D63" s="1"/>
      <c r="E63" s="1"/>
      <c r="F63" s="1"/>
      <c r="G63" s="1"/>
      <c r="H63" s="1"/>
      <c r="I63" s="1"/>
      <c r="J63" s="1"/>
      <c r="K63" s="1"/>
      <c r="L63" s="1"/>
      <c r="M63" s="1"/>
      <c r="N63" s="1"/>
      <c r="O63" s="1"/>
      <c r="P63" s="1"/>
      <c r="Q63" s="1"/>
      <c r="R63" s="1"/>
    </row>
    <row r="64" ht="25.5" customHeight="1">
      <c r="A64" s="1"/>
      <c r="B64" s="1"/>
      <c r="C64" s="1"/>
      <c r="D64" s="1"/>
      <c r="E64" s="1"/>
      <c r="F64" s="1"/>
      <c r="G64" s="1"/>
      <c r="H64" s="1"/>
      <c r="I64" s="1"/>
      <c r="J64" s="1"/>
      <c r="K64" s="1"/>
      <c r="L64" s="1"/>
      <c r="M64" s="1"/>
      <c r="N64" s="1"/>
      <c r="O64" s="1"/>
      <c r="P64" s="1"/>
      <c r="Q64" s="1"/>
      <c r="R64" s="1"/>
    </row>
    <row r="65" ht="25.5" customHeight="1">
      <c r="A65" s="1"/>
      <c r="B65" s="1"/>
      <c r="C65" s="1"/>
      <c r="D65" s="1"/>
      <c r="E65" s="1"/>
      <c r="F65" s="1"/>
      <c r="G65" s="1"/>
      <c r="H65" s="1"/>
      <c r="I65" s="1"/>
      <c r="J65" s="1"/>
      <c r="K65" s="1"/>
      <c r="L65" s="1"/>
      <c r="M65" s="1"/>
      <c r="N65" s="1"/>
      <c r="O65" s="1"/>
      <c r="P65" s="1"/>
      <c r="Q65" s="1"/>
      <c r="R65" s="1"/>
    </row>
    <row r="66" ht="25.5" customHeight="1">
      <c r="A66" s="1"/>
      <c r="B66" s="1"/>
      <c r="C66" s="1"/>
      <c r="D66" s="1"/>
      <c r="E66" s="1"/>
      <c r="F66" s="1"/>
      <c r="G66" s="1"/>
      <c r="H66" s="1"/>
      <c r="I66" s="1"/>
      <c r="J66" s="1"/>
      <c r="K66" s="1"/>
      <c r="L66" s="1"/>
      <c r="M66" s="1"/>
      <c r="N66" s="1"/>
      <c r="O66" s="1"/>
      <c r="P66" s="1"/>
      <c r="Q66" s="1"/>
      <c r="R66" s="1"/>
    </row>
    <row r="67" ht="25.5" customHeight="1">
      <c r="A67" s="1"/>
      <c r="B67" s="1"/>
      <c r="C67" s="1"/>
      <c r="D67" s="1"/>
      <c r="E67" s="1"/>
      <c r="F67" s="1"/>
      <c r="G67" s="1"/>
      <c r="H67" s="1"/>
      <c r="I67" s="1"/>
      <c r="J67" s="1"/>
      <c r="K67" s="1"/>
      <c r="L67" s="1"/>
      <c r="M67" s="1"/>
      <c r="N67" s="1"/>
      <c r="O67" s="1"/>
      <c r="P67" s="1"/>
      <c r="Q67" s="1"/>
      <c r="R67" s="1"/>
    </row>
    <row r="68" ht="25.5" customHeight="1">
      <c r="A68" s="1"/>
      <c r="B68" s="1"/>
      <c r="C68" s="1"/>
      <c r="D68" s="1"/>
      <c r="E68" s="1"/>
      <c r="F68" s="1"/>
      <c r="G68" s="1"/>
      <c r="H68" s="1"/>
      <c r="I68" s="1"/>
      <c r="J68" s="1"/>
      <c r="K68" s="1"/>
      <c r="L68" s="1"/>
      <c r="M68" s="1"/>
      <c r="N68" s="1"/>
      <c r="O68" s="1"/>
      <c r="P68" s="1"/>
      <c r="Q68" s="1"/>
      <c r="R68" s="1"/>
    </row>
    <row r="69" ht="25.5" customHeight="1">
      <c r="A69" s="1"/>
      <c r="B69" s="1"/>
      <c r="C69" s="1"/>
      <c r="D69" s="1"/>
      <c r="E69" s="1"/>
      <c r="F69" s="1"/>
      <c r="G69" s="1"/>
      <c r="H69" s="1"/>
      <c r="I69" s="1"/>
      <c r="J69" s="1"/>
      <c r="K69" s="1"/>
      <c r="L69" s="1"/>
      <c r="M69" s="1"/>
      <c r="N69" s="1"/>
      <c r="O69" s="1"/>
      <c r="P69" s="1"/>
      <c r="Q69" s="1"/>
      <c r="R69" s="1"/>
    </row>
    <row r="70" ht="25.5" customHeight="1">
      <c r="A70" s="1"/>
      <c r="B70" s="1"/>
      <c r="C70" s="1"/>
      <c r="D70" s="1"/>
      <c r="E70" s="1"/>
      <c r="F70" s="1"/>
      <c r="G70" s="1"/>
      <c r="H70" s="1"/>
      <c r="I70" s="1"/>
      <c r="J70" s="1"/>
      <c r="K70" s="1"/>
      <c r="L70" s="1"/>
      <c r="M70" s="1"/>
      <c r="N70" s="1"/>
      <c r="O70" s="1"/>
      <c r="P70" s="1"/>
      <c r="Q70" s="1"/>
      <c r="R70" s="1"/>
    </row>
    <row r="71" ht="25.5" customHeight="1">
      <c r="A71" s="1"/>
      <c r="B71" s="1"/>
      <c r="C71" s="1"/>
      <c r="D71" s="1"/>
      <c r="E71" s="1"/>
      <c r="F71" s="1"/>
      <c r="G71" s="1"/>
      <c r="H71" s="1"/>
      <c r="I71" s="1"/>
      <c r="J71" s="1"/>
      <c r="K71" s="1"/>
      <c r="L71" s="1"/>
      <c r="M71" s="1"/>
      <c r="N71" s="1"/>
      <c r="O71" s="1"/>
      <c r="P71" s="1"/>
      <c r="Q71" s="1"/>
      <c r="R71" s="1"/>
    </row>
    <row r="72" ht="25.5" customHeight="1">
      <c r="A72" s="1"/>
      <c r="B72" s="1"/>
      <c r="C72" s="1"/>
      <c r="D72" s="1"/>
      <c r="E72" s="1"/>
      <c r="F72" s="1"/>
      <c r="G72" s="1"/>
      <c r="H72" s="1"/>
      <c r="I72" s="1"/>
      <c r="J72" s="1"/>
      <c r="K72" s="1"/>
      <c r="L72" s="1"/>
      <c r="M72" s="1"/>
      <c r="N72" s="1"/>
      <c r="O72" s="1"/>
      <c r="P72" s="1"/>
      <c r="Q72" s="1"/>
      <c r="R72" s="1"/>
    </row>
    <row r="73" ht="25.5" customHeight="1">
      <c r="A73" s="1"/>
      <c r="B73" s="1"/>
      <c r="C73" s="1"/>
      <c r="D73" s="1"/>
      <c r="E73" s="1"/>
      <c r="F73" s="1"/>
      <c r="G73" s="1"/>
      <c r="H73" s="1"/>
      <c r="I73" s="1"/>
      <c r="J73" s="1"/>
      <c r="K73" s="1"/>
      <c r="L73" s="1"/>
      <c r="M73" s="1"/>
      <c r="N73" s="1"/>
      <c r="O73" s="1"/>
      <c r="P73" s="1"/>
      <c r="Q73" s="1"/>
      <c r="R73" s="1"/>
    </row>
    <row r="74" ht="25.5" customHeight="1">
      <c r="A74" s="1"/>
      <c r="B74" s="1"/>
      <c r="C74" s="1"/>
      <c r="D74" s="1"/>
      <c r="E74" s="1"/>
      <c r="F74" s="1"/>
      <c r="G74" s="1"/>
      <c r="H74" s="1"/>
      <c r="I74" s="1"/>
      <c r="J74" s="1"/>
      <c r="K74" s="1"/>
      <c r="L74" s="1"/>
      <c r="M74" s="1"/>
      <c r="N74" s="1"/>
      <c r="O74" s="1"/>
      <c r="P74" s="1"/>
      <c r="Q74" s="1"/>
      <c r="R74" s="1"/>
    </row>
    <row r="75" ht="25.5" customHeight="1">
      <c r="A75" s="1"/>
      <c r="B75" s="1"/>
      <c r="C75" s="1"/>
      <c r="D75" s="1"/>
      <c r="E75" s="1"/>
      <c r="F75" s="1"/>
      <c r="G75" s="1"/>
      <c r="H75" s="1"/>
      <c r="I75" s="1"/>
      <c r="J75" s="1"/>
      <c r="K75" s="1"/>
      <c r="L75" s="1"/>
      <c r="M75" s="1"/>
      <c r="N75" s="1"/>
      <c r="O75" s="1"/>
      <c r="P75" s="1"/>
      <c r="Q75" s="1"/>
      <c r="R75" s="1"/>
    </row>
    <row r="76" ht="25.5" customHeight="1">
      <c r="A76" s="1"/>
      <c r="B76" s="1"/>
      <c r="C76" s="1"/>
      <c r="D76" s="1"/>
      <c r="E76" s="1"/>
      <c r="F76" s="1"/>
      <c r="G76" s="1"/>
      <c r="H76" s="1"/>
      <c r="I76" s="1"/>
      <c r="J76" s="1"/>
      <c r="K76" s="1"/>
      <c r="L76" s="1"/>
      <c r="M76" s="1"/>
      <c r="N76" s="1"/>
      <c r="O76" s="1"/>
      <c r="P76" s="1"/>
      <c r="Q76" s="1"/>
      <c r="R76" s="1"/>
    </row>
    <row r="77" ht="25.5" customHeight="1">
      <c r="A77" s="1"/>
      <c r="B77" s="1"/>
      <c r="C77" s="1"/>
      <c r="D77" s="1"/>
      <c r="E77" s="1"/>
      <c r="F77" s="1"/>
      <c r="G77" s="1"/>
      <c r="H77" s="1"/>
      <c r="I77" s="1"/>
      <c r="J77" s="1"/>
      <c r="K77" s="1"/>
      <c r="L77" s="1"/>
      <c r="M77" s="1"/>
      <c r="N77" s="1"/>
      <c r="O77" s="1"/>
      <c r="P77" s="1"/>
      <c r="Q77" s="1"/>
      <c r="R77" s="1"/>
    </row>
    <row r="78" ht="25.5" customHeight="1">
      <c r="A78" s="1"/>
      <c r="B78" s="1"/>
      <c r="C78" s="1"/>
      <c r="D78" s="1"/>
      <c r="E78" s="1"/>
      <c r="F78" s="1"/>
      <c r="G78" s="1"/>
      <c r="H78" s="1"/>
      <c r="I78" s="1"/>
      <c r="J78" s="1"/>
      <c r="K78" s="1"/>
      <c r="L78" s="1"/>
      <c r="M78" s="1"/>
      <c r="N78" s="1"/>
      <c r="O78" s="1"/>
      <c r="P78" s="1"/>
      <c r="Q78" s="1"/>
      <c r="R78" s="1"/>
    </row>
    <row r="79" ht="25.5" customHeight="1">
      <c r="A79" s="1"/>
      <c r="B79" s="1"/>
      <c r="C79" s="1"/>
      <c r="D79" s="1"/>
      <c r="E79" s="1"/>
      <c r="F79" s="1"/>
      <c r="G79" s="1"/>
      <c r="H79" s="1"/>
      <c r="I79" s="1"/>
      <c r="J79" s="1"/>
      <c r="K79" s="1"/>
      <c r="L79" s="1"/>
      <c r="M79" s="1"/>
      <c r="N79" s="1"/>
      <c r="O79" s="1"/>
      <c r="P79" s="1"/>
      <c r="Q79" s="1"/>
      <c r="R79" s="1"/>
    </row>
    <row r="80" ht="25.5" customHeight="1">
      <c r="A80" s="1"/>
      <c r="B80" s="1"/>
      <c r="C80" s="1"/>
      <c r="D80" s="1"/>
      <c r="E80" s="1"/>
      <c r="F80" s="1"/>
      <c r="G80" s="1"/>
      <c r="H80" s="1"/>
      <c r="I80" s="1"/>
      <c r="J80" s="1"/>
      <c r="K80" s="1"/>
      <c r="L80" s="1"/>
      <c r="M80" s="1"/>
      <c r="N80" s="1"/>
      <c r="O80" s="1"/>
      <c r="P80" s="1"/>
      <c r="Q80" s="1"/>
      <c r="R80" s="1"/>
    </row>
    <row r="81" ht="25.5" customHeight="1">
      <c r="A81" s="1"/>
      <c r="B81" s="1"/>
      <c r="C81" s="1"/>
      <c r="D81" s="1"/>
      <c r="E81" s="1"/>
      <c r="F81" s="1"/>
      <c r="G81" s="1"/>
      <c r="H81" s="1"/>
      <c r="I81" s="1"/>
      <c r="J81" s="1"/>
      <c r="K81" s="1"/>
      <c r="L81" s="1"/>
      <c r="M81" s="1"/>
      <c r="N81" s="1"/>
      <c r="O81" s="1"/>
      <c r="P81" s="1"/>
      <c r="Q81" s="1"/>
      <c r="R81" s="1"/>
    </row>
    <row r="82" ht="25.5" customHeight="1">
      <c r="A82" s="1"/>
      <c r="B82" s="1"/>
      <c r="C82" s="1"/>
      <c r="D82" s="1"/>
      <c r="E82" s="1"/>
      <c r="F82" s="1"/>
      <c r="G82" s="1"/>
      <c r="H82" s="1"/>
      <c r="I82" s="1"/>
      <c r="J82" s="1"/>
      <c r="K82" s="1"/>
      <c r="L82" s="1"/>
      <c r="M82" s="1"/>
      <c r="N82" s="1"/>
      <c r="O82" s="1"/>
      <c r="P82" s="1"/>
      <c r="Q82" s="1"/>
      <c r="R82" s="1"/>
    </row>
    <row r="83" ht="25.5" customHeight="1">
      <c r="A83" s="1"/>
      <c r="B83" s="1"/>
      <c r="C83" s="1"/>
      <c r="D83" s="1"/>
      <c r="E83" s="1"/>
      <c r="F83" s="1"/>
      <c r="G83" s="1"/>
      <c r="H83" s="1"/>
      <c r="I83" s="1"/>
      <c r="J83" s="1"/>
      <c r="K83" s="1"/>
      <c r="L83" s="1"/>
      <c r="M83" s="1"/>
      <c r="N83" s="1"/>
      <c r="O83" s="1"/>
      <c r="P83" s="1"/>
      <c r="Q83" s="1"/>
      <c r="R83" s="1"/>
    </row>
    <row r="84" ht="25.5" customHeight="1">
      <c r="A84" s="1"/>
      <c r="B84" s="1"/>
      <c r="C84" s="1"/>
      <c r="D84" s="1"/>
      <c r="E84" s="1"/>
      <c r="F84" s="1"/>
      <c r="G84" s="1"/>
      <c r="H84" s="1"/>
      <c r="I84" s="1"/>
      <c r="J84" s="1"/>
      <c r="K84" s="1"/>
      <c r="L84" s="1"/>
      <c r="M84" s="1"/>
      <c r="N84" s="1"/>
      <c r="O84" s="1"/>
      <c r="P84" s="1"/>
      <c r="Q84" s="1"/>
      <c r="R84" s="1"/>
    </row>
    <row r="85" ht="25.5" customHeight="1">
      <c r="A85" s="1"/>
      <c r="B85" s="1"/>
      <c r="C85" s="1"/>
      <c r="D85" s="1"/>
      <c r="E85" s="1"/>
      <c r="F85" s="1"/>
      <c r="G85" s="1"/>
      <c r="H85" s="1"/>
      <c r="I85" s="1"/>
      <c r="J85" s="1"/>
      <c r="K85" s="1"/>
      <c r="L85" s="1"/>
      <c r="M85" s="1"/>
      <c r="N85" s="1"/>
      <c r="O85" s="1"/>
      <c r="P85" s="1"/>
      <c r="Q85" s="1"/>
      <c r="R85" s="1"/>
    </row>
    <row r="86" ht="25.5" customHeight="1">
      <c r="A86" s="1"/>
      <c r="B86" s="1"/>
      <c r="C86" s="1"/>
      <c r="D86" s="1"/>
      <c r="E86" s="1"/>
      <c r="F86" s="1"/>
      <c r="G86" s="1"/>
      <c r="H86" s="1"/>
      <c r="I86" s="1"/>
      <c r="J86" s="1"/>
      <c r="K86" s="1"/>
      <c r="L86" s="1"/>
      <c r="M86" s="1"/>
      <c r="N86" s="1"/>
      <c r="O86" s="1"/>
      <c r="P86" s="1"/>
      <c r="Q86" s="1"/>
      <c r="R86" s="1"/>
    </row>
    <row r="87" ht="25.5" customHeight="1">
      <c r="A87" s="1"/>
      <c r="B87" s="1"/>
      <c r="C87" s="1"/>
      <c r="D87" s="1"/>
      <c r="E87" s="1"/>
      <c r="F87" s="1"/>
      <c r="G87" s="1"/>
      <c r="H87" s="1"/>
      <c r="I87" s="1"/>
      <c r="J87" s="1"/>
      <c r="K87" s="1"/>
      <c r="L87" s="1"/>
      <c r="M87" s="1"/>
      <c r="N87" s="1"/>
      <c r="O87" s="1"/>
      <c r="P87" s="1"/>
      <c r="Q87" s="1"/>
      <c r="R87" s="1"/>
    </row>
    <row r="88" ht="25.5" customHeight="1">
      <c r="A88" s="1"/>
      <c r="B88" s="1"/>
      <c r="C88" s="1"/>
      <c r="D88" s="1"/>
      <c r="E88" s="1"/>
      <c r="F88" s="1"/>
      <c r="G88" s="1"/>
      <c r="H88" s="1"/>
      <c r="I88" s="1"/>
      <c r="J88" s="1"/>
      <c r="K88" s="1"/>
      <c r="L88" s="1"/>
      <c r="M88" s="1"/>
      <c r="N88" s="1"/>
      <c r="O88" s="1"/>
      <c r="P88" s="1"/>
      <c r="Q88" s="1"/>
      <c r="R88" s="1"/>
    </row>
    <row r="89" ht="25.5" customHeight="1">
      <c r="A89" s="1"/>
      <c r="B89" s="1"/>
      <c r="C89" s="1"/>
      <c r="D89" s="1"/>
      <c r="E89" s="1"/>
      <c r="F89" s="1"/>
      <c r="G89" s="1"/>
      <c r="H89" s="1"/>
      <c r="I89" s="1"/>
      <c r="J89" s="1"/>
      <c r="K89" s="1"/>
      <c r="L89" s="1"/>
      <c r="M89" s="1"/>
      <c r="N89" s="1"/>
      <c r="O89" s="1"/>
      <c r="P89" s="1"/>
      <c r="Q89" s="1"/>
      <c r="R89" s="1"/>
    </row>
    <row r="90" ht="25.5" customHeight="1">
      <c r="A90" s="1"/>
      <c r="B90" s="1"/>
      <c r="C90" s="1"/>
      <c r="D90" s="1"/>
      <c r="E90" s="1"/>
      <c r="F90" s="1"/>
      <c r="G90" s="1"/>
      <c r="H90" s="1"/>
      <c r="I90" s="1"/>
      <c r="J90" s="1"/>
      <c r="K90" s="1"/>
      <c r="L90" s="1"/>
      <c r="M90" s="1"/>
      <c r="N90" s="1"/>
      <c r="O90" s="1"/>
      <c r="P90" s="1"/>
      <c r="Q90" s="1"/>
      <c r="R90" s="1"/>
    </row>
    <row r="91" ht="25.5" customHeight="1">
      <c r="A91" s="1"/>
      <c r="B91" s="1"/>
      <c r="C91" s="1"/>
      <c r="D91" s="1"/>
      <c r="E91" s="1"/>
      <c r="F91" s="1"/>
      <c r="G91" s="1"/>
      <c r="H91" s="1"/>
      <c r="I91" s="1"/>
      <c r="J91" s="1"/>
      <c r="K91" s="1"/>
      <c r="L91" s="1"/>
      <c r="M91" s="1"/>
      <c r="N91" s="1"/>
      <c r="O91" s="1"/>
      <c r="P91" s="1"/>
      <c r="Q91" s="1"/>
      <c r="R91" s="1"/>
    </row>
    <row r="92" ht="25.5" customHeight="1">
      <c r="A92" s="1"/>
      <c r="B92" s="1"/>
      <c r="C92" s="1"/>
      <c r="D92" s="1"/>
      <c r="E92" s="1"/>
      <c r="F92" s="1"/>
      <c r="G92" s="1"/>
      <c r="H92" s="1"/>
      <c r="I92" s="1"/>
      <c r="J92" s="1"/>
      <c r="K92" s="1"/>
      <c r="L92" s="1"/>
      <c r="M92" s="1"/>
      <c r="N92" s="1"/>
      <c r="O92" s="1"/>
      <c r="P92" s="1"/>
      <c r="Q92" s="1"/>
      <c r="R92" s="1"/>
    </row>
    <row r="93" ht="25.5" customHeight="1">
      <c r="A93" s="1"/>
      <c r="B93" s="1"/>
      <c r="C93" s="1"/>
      <c r="D93" s="1"/>
      <c r="E93" s="1"/>
      <c r="F93" s="1"/>
      <c r="G93" s="1"/>
      <c r="H93" s="1"/>
      <c r="I93" s="1"/>
      <c r="J93" s="1"/>
      <c r="K93" s="1"/>
      <c r="L93" s="1"/>
      <c r="M93" s="1"/>
      <c r="N93" s="1"/>
      <c r="O93" s="1"/>
      <c r="P93" s="1"/>
      <c r="Q93" s="1"/>
      <c r="R93" s="1"/>
    </row>
    <row r="94" ht="25.5" customHeight="1">
      <c r="A94" s="1"/>
      <c r="B94" s="1"/>
      <c r="C94" s="1"/>
      <c r="D94" s="1"/>
      <c r="E94" s="1"/>
      <c r="F94" s="1"/>
      <c r="G94" s="1"/>
      <c r="H94" s="1"/>
      <c r="I94" s="1"/>
      <c r="J94" s="1"/>
      <c r="K94" s="1"/>
      <c r="L94" s="1"/>
      <c r="M94" s="1"/>
      <c r="N94" s="1"/>
      <c r="O94" s="1"/>
      <c r="P94" s="1"/>
      <c r="Q94" s="1"/>
      <c r="R94" s="1"/>
    </row>
    <row r="95" ht="25.5" customHeight="1">
      <c r="A95" s="1"/>
      <c r="B95" s="1"/>
      <c r="C95" s="1"/>
      <c r="D95" s="1"/>
      <c r="E95" s="1"/>
      <c r="F95" s="1"/>
      <c r="G95" s="1"/>
      <c r="H95" s="1"/>
      <c r="I95" s="1"/>
      <c r="J95" s="1"/>
      <c r="K95" s="1"/>
      <c r="L95" s="1"/>
      <c r="M95" s="1"/>
      <c r="N95" s="1"/>
      <c r="O95" s="1"/>
      <c r="P95" s="1"/>
      <c r="Q95" s="1"/>
      <c r="R95" s="1"/>
    </row>
    <row r="96" ht="25.5" customHeight="1">
      <c r="A96" s="1"/>
      <c r="B96" s="1"/>
      <c r="C96" s="1"/>
      <c r="D96" s="1"/>
      <c r="E96" s="1"/>
      <c r="F96" s="1"/>
      <c r="G96" s="1"/>
      <c r="H96" s="1"/>
      <c r="I96" s="1"/>
      <c r="J96" s="1"/>
      <c r="K96" s="1"/>
      <c r="L96" s="1"/>
      <c r="M96" s="1"/>
      <c r="N96" s="1"/>
      <c r="O96" s="1"/>
      <c r="P96" s="1"/>
      <c r="Q96" s="1"/>
      <c r="R96" s="1"/>
    </row>
    <row r="97" ht="25.5" customHeight="1">
      <c r="A97" s="1"/>
      <c r="B97" s="1"/>
      <c r="C97" s="1"/>
      <c r="D97" s="1"/>
      <c r="E97" s="1"/>
      <c r="F97" s="1"/>
      <c r="G97" s="1"/>
      <c r="H97" s="1"/>
      <c r="I97" s="1"/>
      <c r="J97" s="1"/>
      <c r="K97" s="1"/>
      <c r="L97" s="1"/>
      <c r="M97" s="1"/>
      <c r="N97" s="1"/>
      <c r="O97" s="1"/>
      <c r="P97" s="1"/>
      <c r="Q97" s="1"/>
      <c r="R97" s="1"/>
    </row>
    <row r="98" ht="25.5" customHeight="1">
      <c r="A98" s="1"/>
      <c r="B98" s="1"/>
      <c r="C98" s="1"/>
      <c r="D98" s="1"/>
      <c r="E98" s="1"/>
      <c r="F98" s="1"/>
      <c r="G98" s="1"/>
      <c r="H98" s="1"/>
      <c r="I98" s="1"/>
      <c r="J98" s="1"/>
      <c r="K98" s="1"/>
      <c r="L98" s="1"/>
      <c r="M98" s="1"/>
      <c r="N98" s="1"/>
      <c r="O98" s="1"/>
      <c r="P98" s="1"/>
      <c r="Q98" s="1"/>
      <c r="R98" s="1"/>
    </row>
    <row r="99" ht="25.5" customHeight="1">
      <c r="A99" s="1"/>
      <c r="B99" s="1"/>
      <c r="C99" s="1"/>
      <c r="D99" s="1"/>
      <c r="E99" s="1"/>
      <c r="F99" s="1"/>
      <c r="G99" s="1"/>
      <c r="H99" s="1"/>
      <c r="I99" s="1"/>
      <c r="J99" s="1"/>
      <c r="K99" s="1"/>
      <c r="L99" s="1"/>
      <c r="M99" s="1"/>
      <c r="N99" s="1"/>
      <c r="O99" s="1"/>
      <c r="P99" s="1"/>
      <c r="Q99" s="1"/>
      <c r="R99" s="1"/>
    </row>
    <row r="100" ht="25.5" customHeight="1">
      <c r="A100" s="1"/>
      <c r="B100" s="1"/>
      <c r="C100" s="1"/>
      <c r="D100" s="1"/>
      <c r="E100" s="1"/>
      <c r="F100" s="1"/>
      <c r="G100" s="1"/>
      <c r="H100" s="1"/>
      <c r="I100" s="1"/>
      <c r="J100" s="1"/>
      <c r="K100" s="1"/>
      <c r="L100" s="1"/>
      <c r="M100" s="1"/>
      <c r="N100" s="1"/>
      <c r="O100" s="1"/>
      <c r="P100" s="1"/>
      <c r="Q100" s="1"/>
      <c r="R100" s="1"/>
    </row>
    <row r="101" ht="25.5" customHeight="1">
      <c r="A101" s="1"/>
      <c r="B101" s="1"/>
      <c r="C101" s="1"/>
      <c r="D101" s="1"/>
      <c r="E101" s="1"/>
      <c r="F101" s="1"/>
      <c r="G101" s="1"/>
      <c r="H101" s="1"/>
      <c r="I101" s="1"/>
      <c r="J101" s="1"/>
      <c r="K101" s="1"/>
      <c r="L101" s="1"/>
      <c r="M101" s="1"/>
      <c r="N101" s="1"/>
      <c r="O101" s="1"/>
      <c r="P101" s="1"/>
      <c r="Q101" s="1"/>
      <c r="R101" s="1"/>
    </row>
    <row r="102" ht="25.5" customHeight="1">
      <c r="A102" s="1"/>
      <c r="B102" s="1"/>
      <c r="C102" s="1"/>
      <c r="D102" s="1"/>
      <c r="E102" s="1"/>
      <c r="F102" s="1"/>
      <c r="G102" s="1"/>
      <c r="H102" s="1"/>
      <c r="I102" s="1"/>
      <c r="J102" s="1"/>
      <c r="K102" s="1"/>
      <c r="L102" s="1"/>
      <c r="M102" s="1"/>
      <c r="N102" s="1"/>
      <c r="O102" s="1"/>
      <c r="P102" s="1"/>
      <c r="Q102" s="1"/>
      <c r="R102" s="1"/>
    </row>
    <row r="103" ht="25.5" customHeight="1">
      <c r="A103" s="1"/>
      <c r="B103" s="1"/>
      <c r="C103" s="1"/>
      <c r="D103" s="1"/>
      <c r="E103" s="1"/>
      <c r="F103" s="1"/>
      <c r="G103" s="1"/>
      <c r="H103" s="1"/>
      <c r="I103" s="1"/>
      <c r="J103" s="1"/>
      <c r="K103" s="1"/>
      <c r="L103" s="1"/>
      <c r="M103" s="1"/>
      <c r="N103" s="1"/>
      <c r="O103" s="1"/>
      <c r="P103" s="1"/>
      <c r="Q103" s="1"/>
      <c r="R103" s="1"/>
    </row>
    <row r="104" ht="25.5" customHeight="1">
      <c r="A104" s="1"/>
      <c r="B104" s="1"/>
      <c r="C104" s="1"/>
      <c r="D104" s="1"/>
      <c r="E104" s="1"/>
      <c r="F104" s="1"/>
      <c r="G104" s="1"/>
      <c r="H104" s="1"/>
      <c r="I104" s="1"/>
      <c r="J104" s="1"/>
      <c r="K104" s="1"/>
      <c r="L104" s="1"/>
      <c r="M104" s="1"/>
      <c r="N104" s="1"/>
      <c r="O104" s="1"/>
      <c r="P104" s="1"/>
      <c r="Q104" s="1"/>
      <c r="R104" s="1"/>
    </row>
    <row r="105" ht="25.5" customHeight="1">
      <c r="A105" s="1"/>
      <c r="B105" s="1"/>
      <c r="C105" s="1"/>
      <c r="D105" s="1"/>
      <c r="E105" s="1"/>
      <c r="F105" s="1"/>
      <c r="G105" s="1"/>
      <c r="H105" s="1"/>
      <c r="I105" s="1"/>
      <c r="J105" s="1"/>
      <c r="K105" s="1"/>
      <c r="L105" s="1"/>
      <c r="M105" s="1"/>
      <c r="N105" s="1"/>
      <c r="O105" s="1"/>
      <c r="P105" s="1"/>
      <c r="Q105" s="1"/>
      <c r="R105" s="1"/>
    </row>
    <row r="106" ht="25.5" customHeight="1">
      <c r="A106" s="1"/>
      <c r="B106" s="1"/>
      <c r="C106" s="1"/>
      <c r="D106" s="1"/>
      <c r="E106" s="1"/>
      <c r="F106" s="1"/>
      <c r="G106" s="1"/>
      <c r="H106" s="1"/>
      <c r="I106" s="1"/>
      <c r="J106" s="1"/>
      <c r="K106" s="1"/>
      <c r="L106" s="1"/>
      <c r="M106" s="1"/>
      <c r="N106" s="1"/>
      <c r="O106" s="1"/>
      <c r="P106" s="1"/>
      <c r="Q106" s="1"/>
      <c r="R106" s="1"/>
    </row>
    <row r="107" ht="25.5" customHeight="1">
      <c r="A107" s="1"/>
      <c r="B107" s="1"/>
      <c r="C107" s="1"/>
      <c r="D107" s="1"/>
      <c r="E107" s="1"/>
      <c r="F107" s="1"/>
      <c r="G107" s="1"/>
      <c r="H107" s="1"/>
      <c r="I107" s="1"/>
      <c r="J107" s="1"/>
      <c r="K107" s="1"/>
      <c r="L107" s="1"/>
      <c r="M107" s="1"/>
      <c r="N107" s="1"/>
      <c r="O107" s="1"/>
      <c r="P107" s="1"/>
      <c r="Q107" s="1"/>
      <c r="R107" s="1"/>
    </row>
    <row r="108" ht="25.5" customHeight="1">
      <c r="A108" s="1"/>
      <c r="B108" s="1"/>
      <c r="C108" s="1"/>
      <c r="D108" s="1"/>
      <c r="E108" s="1"/>
      <c r="F108" s="1"/>
      <c r="G108" s="1"/>
      <c r="H108" s="1"/>
      <c r="I108" s="1"/>
      <c r="J108" s="1"/>
      <c r="K108" s="1"/>
      <c r="L108" s="1"/>
      <c r="M108" s="1"/>
      <c r="N108" s="1"/>
      <c r="O108" s="1"/>
      <c r="P108" s="1"/>
      <c r="Q108" s="1"/>
      <c r="R108" s="1"/>
    </row>
    <row r="109" ht="25.5" customHeight="1">
      <c r="A109" s="1"/>
      <c r="B109" s="1"/>
      <c r="C109" s="1"/>
      <c r="D109" s="1"/>
      <c r="E109" s="1"/>
      <c r="F109" s="1"/>
      <c r="G109" s="1"/>
      <c r="H109" s="1"/>
      <c r="I109" s="1"/>
      <c r="J109" s="1"/>
      <c r="K109" s="1"/>
      <c r="L109" s="1"/>
      <c r="M109" s="1"/>
      <c r="N109" s="1"/>
      <c r="O109" s="1"/>
      <c r="P109" s="1"/>
      <c r="Q109" s="1"/>
      <c r="R109" s="1"/>
    </row>
    <row r="110" ht="25.5" customHeight="1">
      <c r="A110" s="1"/>
      <c r="B110" s="1"/>
      <c r="C110" s="1"/>
      <c r="D110" s="1"/>
      <c r="E110" s="1"/>
      <c r="F110" s="1"/>
      <c r="G110" s="1"/>
      <c r="H110" s="1"/>
      <c r="I110" s="1"/>
      <c r="J110" s="1"/>
      <c r="K110" s="1"/>
      <c r="L110" s="1"/>
      <c r="M110" s="1"/>
      <c r="N110" s="1"/>
      <c r="O110" s="1"/>
      <c r="P110" s="1"/>
      <c r="Q110" s="1"/>
      <c r="R110" s="1"/>
    </row>
    <row r="111" ht="25.5" customHeight="1">
      <c r="A111" s="1"/>
      <c r="B111" s="1"/>
      <c r="C111" s="1"/>
      <c r="D111" s="1"/>
      <c r="E111" s="1"/>
      <c r="F111" s="1"/>
      <c r="G111" s="1"/>
      <c r="H111" s="1"/>
      <c r="I111" s="1"/>
      <c r="J111" s="1"/>
      <c r="K111" s="1"/>
      <c r="L111" s="1"/>
      <c r="M111" s="1"/>
      <c r="N111" s="1"/>
      <c r="O111" s="1"/>
      <c r="P111" s="1"/>
      <c r="Q111" s="1"/>
      <c r="R111" s="1"/>
    </row>
    <row r="112" ht="25.5" customHeight="1">
      <c r="A112" s="1"/>
      <c r="B112" s="1"/>
      <c r="C112" s="1"/>
      <c r="D112" s="1"/>
      <c r="E112" s="1"/>
      <c r="F112" s="1"/>
      <c r="G112" s="1"/>
      <c r="H112" s="1"/>
      <c r="I112" s="1"/>
      <c r="J112" s="1"/>
      <c r="K112" s="1"/>
      <c r="L112" s="1"/>
      <c r="M112" s="1"/>
      <c r="N112" s="1"/>
      <c r="O112" s="1"/>
      <c r="P112" s="1"/>
      <c r="Q112" s="1"/>
      <c r="R112" s="1"/>
    </row>
    <row r="113" ht="25.5" customHeight="1">
      <c r="A113" s="1"/>
      <c r="B113" s="1"/>
      <c r="C113" s="1"/>
      <c r="D113" s="1"/>
      <c r="E113" s="1"/>
      <c r="F113" s="1"/>
      <c r="G113" s="1"/>
      <c r="H113" s="1"/>
      <c r="I113" s="1"/>
      <c r="J113" s="1"/>
      <c r="K113" s="1"/>
      <c r="L113" s="1"/>
      <c r="M113" s="1"/>
      <c r="N113" s="1"/>
      <c r="O113" s="1"/>
      <c r="P113" s="1"/>
      <c r="Q113" s="1"/>
      <c r="R113" s="1"/>
    </row>
    <row r="114" ht="25.5" customHeight="1">
      <c r="A114" s="1"/>
      <c r="B114" s="1"/>
      <c r="C114" s="1"/>
      <c r="D114" s="1"/>
      <c r="E114" s="1"/>
      <c r="F114" s="1"/>
      <c r="G114" s="1"/>
      <c r="H114" s="1"/>
      <c r="I114" s="1"/>
      <c r="J114" s="1"/>
      <c r="K114" s="1"/>
      <c r="L114" s="1"/>
      <c r="M114" s="1"/>
      <c r="N114" s="1"/>
      <c r="O114" s="1"/>
      <c r="P114" s="1"/>
      <c r="Q114" s="1"/>
      <c r="R114" s="1"/>
    </row>
    <row r="115" ht="25.5" customHeight="1">
      <c r="A115" s="1"/>
      <c r="B115" s="1"/>
      <c r="C115" s="1"/>
      <c r="D115" s="1"/>
      <c r="E115" s="1"/>
      <c r="F115" s="1"/>
      <c r="G115" s="1"/>
      <c r="H115" s="1"/>
      <c r="I115" s="1"/>
      <c r="J115" s="1"/>
      <c r="K115" s="1"/>
      <c r="L115" s="1"/>
      <c r="M115" s="1"/>
      <c r="N115" s="1"/>
      <c r="O115" s="1"/>
      <c r="P115" s="1"/>
      <c r="Q115" s="1"/>
      <c r="R115" s="1"/>
    </row>
    <row r="116" ht="25.5" customHeight="1">
      <c r="A116" s="1"/>
      <c r="B116" s="1"/>
      <c r="C116" s="1"/>
      <c r="D116" s="1"/>
      <c r="E116" s="1"/>
      <c r="F116" s="1"/>
      <c r="G116" s="1"/>
      <c r="H116" s="1"/>
      <c r="I116" s="1"/>
      <c r="J116" s="1"/>
      <c r="K116" s="1"/>
      <c r="L116" s="1"/>
      <c r="M116" s="1"/>
      <c r="N116" s="1"/>
      <c r="O116" s="1"/>
      <c r="P116" s="1"/>
      <c r="Q116" s="1"/>
      <c r="R116" s="1"/>
    </row>
    <row r="117" ht="25.5" customHeight="1">
      <c r="A117" s="1"/>
      <c r="B117" s="1"/>
      <c r="C117" s="1"/>
      <c r="D117" s="1"/>
      <c r="E117" s="1"/>
      <c r="F117" s="1"/>
      <c r="G117" s="1"/>
      <c r="H117" s="1"/>
      <c r="I117" s="1"/>
      <c r="J117" s="1"/>
      <c r="K117" s="1"/>
      <c r="L117" s="1"/>
      <c r="M117" s="1"/>
      <c r="N117" s="1"/>
      <c r="O117" s="1"/>
      <c r="P117" s="1"/>
      <c r="Q117" s="1"/>
      <c r="R117" s="1"/>
    </row>
    <row r="118" ht="25.5" customHeight="1">
      <c r="A118" s="1"/>
      <c r="B118" s="1"/>
      <c r="C118" s="1"/>
      <c r="D118" s="1"/>
      <c r="E118" s="1"/>
      <c r="F118" s="1"/>
      <c r="G118" s="1"/>
      <c r="H118" s="1"/>
      <c r="I118" s="1"/>
      <c r="J118" s="1"/>
      <c r="K118" s="1"/>
      <c r="L118" s="1"/>
      <c r="M118" s="1"/>
      <c r="N118" s="1"/>
      <c r="O118" s="1"/>
      <c r="P118" s="1"/>
      <c r="Q118" s="1"/>
      <c r="R118" s="1"/>
    </row>
    <row r="119" ht="25.5" customHeight="1">
      <c r="A119" s="1"/>
      <c r="B119" s="1"/>
      <c r="C119" s="1"/>
      <c r="D119" s="1"/>
      <c r="E119" s="1"/>
      <c r="F119" s="1"/>
      <c r="G119" s="1"/>
      <c r="H119" s="1"/>
      <c r="I119" s="1"/>
      <c r="J119" s="1"/>
      <c r="K119" s="1"/>
      <c r="L119" s="1"/>
      <c r="M119" s="1"/>
      <c r="N119" s="1"/>
      <c r="O119" s="1"/>
      <c r="P119" s="1"/>
      <c r="Q119" s="1"/>
      <c r="R119" s="1"/>
    </row>
    <row r="120" ht="25.5" customHeight="1">
      <c r="A120" s="1"/>
      <c r="B120" s="1"/>
      <c r="C120" s="1"/>
      <c r="D120" s="1"/>
      <c r="E120" s="1"/>
      <c r="F120" s="1"/>
      <c r="G120" s="1"/>
      <c r="H120" s="1"/>
      <c r="I120" s="1"/>
      <c r="J120" s="1"/>
      <c r="K120" s="1"/>
      <c r="L120" s="1"/>
      <c r="M120" s="1"/>
      <c r="N120" s="1"/>
      <c r="O120" s="1"/>
      <c r="P120" s="1"/>
      <c r="Q120" s="1"/>
      <c r="R120" s="1"/>
    </row>
    <row r="121" ht="25.5" customHeight="1">
      <c r="A121" s="1"/>
      <c r="B121" s="1"/>
      <c r="C121" s="1"/>
      <c r="D121" s="1"/>
      <c r="E121" s="1"/>
      <c r="F121" s="1"/>
      <c r="G121" s="1"/>
      <c r="H121" s="1"/>
      <c r="I121" s="1"/>
      <c r="J121" s="1"/>
      <c r="K121" s="1"/>
      <c r="L121" s="1"/>
      <c r="M121" s="1"/>
      <c r="N121" s="1"/>
      <c r="O121" s="1"/>
      <c r="P121" s="1"/>
      <c r="Q121" s="1"/>
      <c r="R121" s="1"/>
    </row>
    <row r="122" ht="25.5" customHeight="1">
      <c r="A122" s="1"/>
      <c r="B122" s="1"/>
      <c r="C122" s="1"/>
      <c r="D122" s="1"/>
      <c r="E122" s="1"/>
      <c r="F122" s="1"/>
      <c r="G122" s="1"/>
      <c r="H122" s="1"/>
      <c r="I122" s="1"/>
      <c r="J122" s="1"/>
      <c r="K122" s="1"/>
      <c r="L122" s="1"/>
      <c r="M122" s="1"/>
      <c r="N122" s="1"/>
      <c r="O122" s="1"/>
      <c r="P122" s="1"/>
      <c r="Q122" s="1"/>
      <c r="R122" s="1"/>
    </row>
    <row r="123" ht="25.5" customHeight="1">
      <c r="A123" s="1"/>
      <c r="B123" s="1"/>
      <c r="C123" s="1"/>
      <c r="D123" s="1"/>
      <c r="E123" s="1"/>
      <c r="F123" s="1"/>
      <c r="G123" s="1"/>
      <c r="H123" s="1"/>
      <c r="I123" s="1"/>
      <c r="J123" s="1"/>
      <c r="K123" s="1"/>
      <c r="L123" s="1"/>
      <c r="M123" s="1"/>
      <c r="N123" s="1"/>
      <c r="O123" s="1"/>
      <c r="P123" s="1"/>
      <c r="Q123" s="1"/>
      <c r="R123" s="1"/>
    </row>
    <row r="124" ht="25.5" customHeight="1">
      <c r="A124" s="1"/>
      <c r="B124" s="1"/>
      <c r="C124" s="1"/>
      <c r="D124" s="1"/>
      <c r="E124" s="1"/>
      <c r="F124" s="1"/>
      <c r="G124" s="1"/>
      <c r="H124" s="1"/>
      <c r="I124" s="1"/>
      <c r="J124" s="1"/>
      <c r="K124" s="1"/>
      <c r="L124" s="1"/>
      <c r="M124" s="1"/>
      <c r="N124" s="1"/>
      <c r="O124" s="1"/>
      <c r="P124" s="1"/>
      <c r="Q124" s="1"/>
      <c r="R124" s="1"/>
    </row>
    <row r="125" ht="25.5" customHeight="1">
      <c r="A125" s="1"/>
      <c r="B125" s="1"/>
      <c r="C125" s="1"/>
      <c r="D125" s="1"/>
      <c r="E125" s="1"/>
      <c r="F125" s="1"/>
      <c r="G125" s="1"/>
      <c r="H125" s="1"/>
      <c r="I125" s="1"/>
      <c r="J125" s="1"/>
      <c r="K125" s="1"/>
      <c r="L125" s="1"/>
      <c r="M125" s="1"/>
      <c r="N125" s="1"/>
      <c r="O125" s="1"/>
      <c r="P125" s="1"/>
      <c r="Q125" s="1"/>
      <c r="R125" s="1"/>
    </row>
    <row r="126" ht="25.5" customHeight="1">
      <c r="A126" s="1"/>
      <c r="B126" s="1"/>
      <c r="C126" s="1"/>
      <c r="D126" s="1"/>
      <c r="E126" s="1"/>
      <c r="F126" s="1"/>
      <c r="G126" s="1"/>
      <c r="H126" s="1"/>
      <c r="I126" s="1"/>
      <c r="J126" s="1"/>
      <c r="K126" s="1"/>
      <c r="L126" s="1"/>
      <c r="M126" s="1"/>
      <c r="N126" s="1"/>
      <c r="O126" s="1"/>
      <c r="P126" s="1"/>
      <c r="Q126" s="1"/>
      <c r="R126" s="1"/>
    </row>
    <row r="127" ht="25.5" customHeight="1">
      <c r="A127" s="1"/>
      <c r="B127" s="1"/>
      <c r="C127" s="1"/>
      <c r="D127" s="1"/>
      <c r="E127" s="1"/>
      <c r="F127" s="1"/>
      <c r="G127" s="1"/>
      <c r="H127" s="1"/>
      <c r="I127" s="1"/>
      <c r="J127" s="1"/>
      <c r="K127" s="1"/>
      <c r="L127" s="1"/>
      <c r="M127" s="1"/>
      <c r="N127" s="1"/>
      <c r="O127" s="1"/>
      <c r="P127" s="1"/>
      <c r="Q127" s="1"/>
      <c r="R127" s="1"/>
    </row>
    <row r="128" ht="25.5" customHeight="1">
      <c r="A128" s="1"/>
      <c r="B128" s="1"/>
      <c r="C128" s="1"/>
      <c r="D128" s="1"/>
      <c r="E128" s="1"/>
      <c r="F128" s="1"/>
      <c r="G128" s="1"/>
      <c r="H128" s="1"/>
      <c r="I128" s="1"/>
      <c r="J128" s="1"/>
      <c r="K128" s="1"/>
      <c r="L128" s="1"/>
      <c r="M128" s="1"/>
      <c r="N128" s="1"/>
      <c r="O128" s="1"/>
      <c r="P128" s="1"/>
      <c r="Q128" s="1"/>
      <c r="R128" s="1"/>
    </row>
    <row r="129" ht="25.5" customHeight="1">
      <c r="A129" s="1"/>
      <c r="B129" s="1"/>
      <c r="C129" s="1"/>
      <c r="D129" s="1"/>
      <c r="E129" s="1"/>
      <c r="F129" s="1"/>
      <c r="G129" s="1"/>
      <c r="H129" s="1"/>
      <c r="I129" s="1"/>
      <c r="J129" s="1"/>
      <c r="K129" s="1"/>
      <c r="L129" s="1"/>
      <c r="M129" s="1"/>
      <c r="N129" s="1"/>
      <c r="O129" s="1"/>
      <c r="P129" s="1"/>
      <c r="Q129" s="1"/>
      <c r="R129" s="1"/>
    </row>
    <row r="130" ht="25.5" customHeight="1">
      <c r="A130" s="1"/>
      <c r="B130" s="1"/>
      <c r="C130" s="1"/>
      <c r="D130" s="1"/>
      <c r="E130" s="1"/>
      <c r="F130" s="1"/>
      <c r="G130" s="1"/>
      <c r="H130" s="1"/>
      <c r="I130" s="1"/>
      <c r="J130" s="1"/>
      <c r="K130" s="1"/>
      <c r="L130" s="1"/>
      <c r="M130" s="1"/>
      <c r="N130" s="1"/>
      <c r="O130" s="1"/>
      <c r="P130" s="1"/>
      <c r="Q130" s="1"/>
      <c r="R130" s="1"/>
    </row>
    <row r="131" ht="25.5" customHeight="1">
      <c r="A131" s="1"/>
      <c r="B131" s="1"/>
      <c r="C131" s="1"/>
      <c r="D131" s="1"/>
      <c r="E131" s="1"/>
      <c r="F131" s="1"/>
      <c r="G131" s="1"/>
      <c r="H131" s="1"/>
      <c r="I131" s="1"/>
      <c r="J131" s="1"/>
      <c r="K131" s="1"/>
      <c r="L131" s="1"/>
      <c r="M131" s="1"/>
      <c r="N131" s="1"/>
      <c r="O131" s="1"/>
      <c r="P131" s="1"/>
      <c r="Q131" s="1"/>
      <c r="R131" s="1"/>
    </row>
    <row r="132" ht="25.5" customHeight="1">
      <c r="A132" s="1"/>
      <c r="B132" s="1"/>
      <c r="C132" s="1"/>
      <c r="D132" s="1"/>
      <c r="E132" s="1"/>
      <c r="F132" s="1"/>
      <c r="G132" s="1"/>
      <c r="H132" s="1"/>
      <c r="I132" s="1"/>
      <c r="J132" s="1"/>
      <c r="K132" s="1"/>
      <c r="L132" s="1"/>
      <c r="M132" s="1"/>
      <c r="N132" s="1"/>
      <c r="O132" s="1"/>
      <c r="P132" s="1"/>
      <c r="Q132" s="1"/>
      <c r="R132" s="1"/>
    </row>
    <row r="133" ht="25.5" customHeight="1">
      <c r="A133" s="1"/>
      <c r="B133" s="1"/>
      <c r="C133" s="1"/>
      <c r="D133" s="1"/>
      <c r="E133" s="1"/>
      <c r="F133" s="1"/>
      <c r="G133" s="1"/>
      <c r="H133" s="1"/>
      <c r="I133" s="1"/>
      <c r="J133" s="1"/>
      <c r="K133" s="1"/>
      <c r="L133" s="1"/>
      <c r="M133" s="1"/>
      <c r="N133" s="1"/>
      <c r="O133" s="1"/>
      <c r="P133" s="1"/>
      <c r="Q133" s="1"/>
      <c r="R133" s="1"/>
    </row>
    <row r="134" ht="25.5" customHeight="1">
      <c r="A134" s="1"/>
      <c r="B134" s="1"/>
      <c r="C134" s="1"/>
      <c r="D134" s="1"/>
      <c r="E134" s="1"/>
      <c r="F134" s="1"/>
      <c r="G134" s="1"/>
      <c r="H134" s="1"/>
      <c r="I134" s="1"/>
      <c r="J134" s="1"/>
      <c r="K134" s="1"/>
      <c r="L134" s="1"/>
      <c r="M134" s="1"/>
      <c r="N134" s="1"/>
      <c r="O134" s="1"/>
      <c r="P134" s="1"/>
      <c r="Q134" s="1"/>
      <c r="R134" s="1"/>
    </row>
    <row r="135" ht="25.5" customHeight="1">
      <c r="A135" s="1"/>
      <c r="B135" s="1"/>
      <c r="C135" s="1"/>
      <c r="D135" s="1"/>
      <c r="E135" s="1"/>
      <c r="F135" s="1"/>
      <c r="G135" s="1"/>
      <c r="H135" s="1"/>
      <c r="I135" s="1"/>
      <c r="J135" s="1"/>
      <c r="K135" s="1"/>
      <c r="L135" s="1"/>
      <c r="M135" s="1"/>
      <c r="N135" s="1"/>
      <c r="O135" s="1"/>
      <c r="P135" s="1"/>
      <c r="Q135" s="1"/>
      <c r="R135" s="1"/>
    </row>
    <row r="136" ht="25.5" customHeight="1">
      <c r="A136" s="1"/>
      <c r="B136" s="1"/>
      <c r="C136" s="1"/>
      <c r="D136" s="1"/>
      <c r="E136" s="1"/>
      <c r="F136" s="1"/>
      <c r="G136" s="1"/>
      <c r="H136" s="1"/>
      <c r="I136" s="1"/>
      <c r="J136" s="1"/>
      <c r="K136" s="1"/>
      <c r="L136" s="1"/>
      <c r="M136" s="1"/>
      <c r="N136" s="1"/>
      <c r="O136" s="1"/>
      <c r="P136" s="1"/>
      <c r="Q136" s="1"/>
      <c r="R136" s="1"/>
    </row>
    <row r="137" ht="25.5" customHeight="1">
      <c r="A137" s="1"/>
      <c r="B137" s="1"/>
      <c r="C137" s="1"/>
      <c r="D137" s="1"/>
      <c r="E137" s="1"/>
      <c r="F137" s="1"/>
      <c r="G137" s="1"/>
      <c r="H137" s="1"/>
      <c r="I137" s="1"/>
      <c r="J137" s="1"/>
      <c r="K137" s="1"/>
      <c r="L137" s="1"/>
      <c r="M137" s="1"/>
      <c r="N137" s="1"/>
      <c r="O137" s="1"/>
      <c r="P137" s="1"/>
      <c r="Q137" s="1"/>
      <c r="R137" s="1"/>
    </row>
    <row r="138" ht="25.5" customHeight="1">
      <c r="A138" s="1"/>
      <c r="B138" s="1"/>
      <c r="C138" s="1"/>
      <c r="D138" s="1"/>
      <c r="E138" s="1"/>
      <c r="F138" s="1"/>
      <c r="G138" s="1"/>
      <c r="H138" s="1"/>
      <c r="I138" s="1"/>
      <c r="J138" s="1"/>
      <c r="K138" s="1"/>
      <c r="L138" s="1"/>
      <c r="M138" s="1"/>
      <c r="N138" s="1"/>
      <c r="O138" s="1"/>
      <c r="P138" s="1"/>
      <c r="Q138" s="1"/>
      <c r="R138" s="1"/>
    </row>
    <row r="139" ht="25.5" customHeight="1">
      <c r="A139" s="1"/>
      <c r="B139" s="1"/>
      <c r="C139" s="1"/>
      <c r="D139" s="1"/>
      <c r="E139" s="1"/>
      <c r="F139" s="1"/>
      <c r="G139" s="1"/>
      <c r="H139" s="1"/>
      <c r="I139" s="1"/>
      <c r="J139" s="1"/>
      <c r="K139" s="1"/>
      <c r="L139" s="1"/>
      <c r="M139" s="1"/>
      <c r="N139" s="1"/>
      <c r="O139" s="1"/>
      <c r="P139" s="1"/>
      <c r="Q139" s="1"/>
      <c r="R139" s="1"/>
    </row>
    <row r="140" ht="25.5" customHeight="1">
      <c r="A140" s="1"/>
      <c r="B140" s="1"/>
      <c r="C140" s="1"/>
      <c r="D140" s="1"/>
      <c r="E140" s="1"/>
      <c r="F140" s="1"/>
      <c r="G140" s="1"/>
      <c r="H140" s="1"/>
      <c r="I140" s="1"/>
      <c r="J140" s="1"/>
      <c r="K140" s="1"/>
      <c r="L140" s="1"/>
      <c r="M140" s="1"/>
      <c r="N140" s="1"/>
      <c r="O140" s="1"/>
      <c r="P140" s="1"/>
      <c r="Q140" s="1"/>
      <c r="R140" s="1"/>
    </row>
    <row r="141" ht="25.5" customHeight="1">
      <c r="A141" s="1"/>
      <c r="B141" s="1"/>
      <c r="C141" s="1"/>
      <c r="D141" s="1"/>
      <c r="E141" s="1"/>
      <c r="F141" s="1"/>
      <c r="G141" s="1"/>
      <c r="H141" s="1"/>
      <c r="I141" s="1"/>
      <c r="J141" s="1"/>
      <c r="K141" s="1"/>
      <c r="L141" s="1"/>
      <c r="M141" s="1"/>
      <c r="N141" s="1"/>
      <c r="O141" s="1"/>
      <c r="P141" s="1"/>
      <c r="Q141" s="1"/>
      <c r="R141" s="1"/>
    </row>
    <row r="142" ht="25.5" customHeight="1">
      <c r="A142" s="1"/>
      <c r="B142" s="1"/>
      <c r="C142" s="1"/>
      <c r="D142" s="1"/>
      <c r="E142" s="1"/>
      <c r="F142" s="1"/>
      <c r="G142" s="1"/>
      <c r="H142" s="1"/>
      <c r="I142" s="1"/>
      <c r="J142" s="1"/>
      <c r="K142" s="1"/>
      <c r="L142" s="1"/>
      <c r="M142" s="1"/>
      <c r="N142" s="1"/>
      <c r="O142" s="1"/>
      <c r="P142" s="1"/>
      <c r="Q142" s="1"/>
      <c r="R142" s="1"/>
    </row>
    <row r="143" ht="25.5" customHeight="1">
      <c r="A143" s="1"/>
      <c r="B143" s="1"/>
      <c r="C143" s="1"/>
      <c r="D143" s="1"/>
      <c r="E143" s="1"/>
      <c r="F143" s="1"/>
      <c r="G143" s="1"/>
      <c r="H143" s="1"/>
      <c r="I143" s="1"/>
      <c r="J143" s="1"/>
      <c r="K143" s="1"/>
      <c r="L143" s="1"/>
      <c r="M143" s="1"/>
      <c r="N143" s="1"/>
      <c r="O143" s="1"/>
      <c r="P143" s="1"/>
      <c r="Q143" s="1"/>
      <c r="R143" s="1"/>
    </row>
    <row r="144" ht="25.5" customHeight="1">
      <c r="A144" s="1"/>
      <c r="B144" s="1"/>
      <c r="C144" s="1"/>
      <c r="D144" s="1"/>
      <c r="E144" s="1"/>
      <c r="F144" s="1"/>
      <c r="G144" s="1"/>
      <c r="H144" s="1"/>
      <c r="I144" s="1"/>
      <c r="J144" s="1"/>
      <c r="K144" s="1"/>
      <c r="L144" s="1"/>
      <c r="M144" s="1"/>
      <c r="N144" s="1"/>
      <c r="O144" s="1"/>
      <c r="P144" s="1"/>
      <c r="Q144" s="1"/>
      <c r="R144" s="1"/>
    </row>
    <row r="145" ht="25.5" customHeight="1">
      <c r="A145" s="1"/>
      <c r="B145" s="1"/>
      <c r="C145" s="1"/>
      <c r="D145" s="1"/>
      <c r="E145" s="1"/>
      <c r="F145" s="1"/>
      <c r="G145" s="1"/>
      <c r="H145" s="1"/>
      <c r="I145" s="1"/>
      <c r="J145" s="1"/>
      <c r="K145" s="1"/>
      <c r="L145" s="1"/>
      <c r="M145" s="1"/>
      <c r="N145" s="1"/>
      <c r="O145" s="1"/>
      <c r="P145" s="1"/>
      <c r="Q145" s="1"/>
      <c r="R145" s="1"/>
    </row>
    <row r="146" ht="25.5" customHeight="1">
      <c r="A146" s="1"/>
      <c r="B146" s="1"/>
      <c r="C146" s="1"/>
      <c r="D146" s="1"/>
      <c r="E146" s="1"/>
      <c r="F146" s="1"/>
      <c r="G146" s="1"/>
      <c r="H146" s="1"/>
      <c r="I146" s="1"/>
      <c r="J146" s="1"/>
      <c r="K146" s="1"/>
      <c r="L146" s="1"/>
      <c r="M146" s="1"/>
      <c r="N146" s="1"/>
      <c r="O146" s="1"/>
      <c r="P146" s="1"/>
      <c r="Q146" s="1"/>
      <c r="R146" s="1"/>
    </row>
    <row r="147" ht="25.5" customHeight="1">
      <c r="A147" s="1"/>
      <c r="B147" s="1"/>
      <c r="C147" s="1"/>
      <c r="D147" s="1"/>
      <c r="E147" s="1"/>
      <c r="F147" s="1"/>
      <c r="G147" s="1"/>
      <c r="H147" s="1"/>
      <c r="I147" s="1"/>
      <c r="J147" s="1"/>
      <c r="K147" s="1"/>
      <c r="L147" s="1"/>
      <c r="M147" s="1"/>
      <c r="N147" s="1"/>
      <c r="O147" s="1"/>
      <c r="P147" s="1"/>
      <c r="Q147" s="1"/>
      <c r="R147" s="1"/>
    </row>
    <row r="148" ht="25.5" customHeight="1">
      <c r="A148" s="1"/>
      <c r="B148" s="1"/>
      <c r="C148" s="1"/>
      <c r="D148" s="1"/>
      <c r="E148" s="1"/>
      <c r="F148" s="1"/>
      <c r="G148" s="1"/>
      <c r="H148" s="1"/>
      <c r="I148" s="1"/>
      <c r="J148" s="1"/>
      <c r="K148" s="1"/>
      <c r="L148" s="1"/>
      <c r="M148" s="1"/>
      <c r="N148" s="1"/>
      <c r="O148" s="1"/>
      <c r="P148" s="1"/>
      <c r="Q148" s="1"/>
      <c r="R148" s="1"/>
    </row>
    <row r="149" ht="25.5" customHeight="1">
      <c r="A149" s="1"/>
      <c r="B149" s="1"/>
      <c r="C149" s="1"/>
      <c r="D149" s="1"/>
      <c r="E149" s="1"/>
      <c r="F149" s="1"/>
      <c r="G149" s="1"/>
      <c r="H149" s="1"/>
      <c r="I149" s="1"/>
      <c r="J149" s="1"/>
      <c r="K149" s="1"/>
      <c r="L149" s="1"/>
      <c r="M149" s="1"/>
      <c r="N149" s="1"/>
      <c r="O149" s="1"/>
      <c r="P149" s="1"/>
      <c r="Q149" s="1"/>
      <c r="R149" s="1"/>
    </row>
    <row r="150" ht="25.5" customHeight="1">
      <c r="A150" s="1"/>
      <c r="B150" s="1"/>
      <c r="C150" s="1"/>
      <c r="D150" s="1"/>
      <c r="E150" s="1"/>
      <c r="F150" s="1"/>
      <c r="G150" s="1"/>
      <c r="H150" s="1"/>
      <c r="I150" s="1"/>
      <c r="J150" s="1"/>
      <c r="K150" s="1"/>
      <c r="L150" s="1"/>
      <c r="M150" s="1"/>
      <c r="N150" s="1"/>
      <c r="O150" s="1"/>
      <c r="P150" s="1"/>
      <c r="Q150" s="1"/>
      <c r="R150" s="1"/>
    </row>
    <row r="151" ht="25.5" customHeight="1">
      <c r="A151" s="1"/>
      <c r="B151" s="1"/>
      <c r="C151" s="1"/>
      <c r="D151" s="1"/>
      <c r="E151" s="1"/>
      <c r="F151" s="1"/>
      <c r="G151" s="1"/>
      <c r="H151" s="1"/>
      <c r="I151" s="1"/>
      <c r="J151" s="1"/>
      <c r="K151" s="1"/>
      <c r="L151" s="1"/>
      <c r="M151" s="1"/>
      <c r="N151" s="1"/>
      <c r="O151" s="1"/>
      <c r="P151" s="1"/>
      <c r="Q151" s="1"/>
      <c r="R151" s="1"/>
    </row>
    <row r="152" ht="25.5" customHeight="1">
      <c r="A152" s="1"/>
      <c r="B152" s="1"/>
      <c r="C152" s="1"/>
      <c r="D152" s="1"/>
      <c r="E152" s="1"/>
      <c r="F152" s="1"/>
      <c r="G152" s="1"/>
      <c r="H152" s="1"/>
      <c r="I152" s="1"/>
      <c r="J152" s="1"/>
      <c r="K152" s="1"/>
      <c r="L152" s="1"/>
      <c r="M152" s="1"/>
      <c r="N152" s="1"/>
      <c r="O152" s="1"/>
      <c r="P152" s="1"/>
      <c r="Q152" s="1"/>
      <c r="R152" s="1"/>
    </row>
    <row r="153" ht="25.5" customHeight="1">
      <c r="A153" s="1"/>
      <c r="B153" s="1"/>
      <c r="C153" s="1"/>
      <c r="D153" s="1"/>
      <c r="E153" s="1"/>
      <c r="F153" s="1"/>
      <c r="G153" s="1"/>
      <c r="H153" s="1"/>
      <c r="I153" s="1"/>
      <c r="J153" s="1"/>
      <c r="K153" s="1"/>
      <c r="L153" s="1"/>
      <c r="M153" s="1"/>
      <c r="N153" s="1"/>
      <c r="O153" s="1"/>
      <c r="P153" s="1"/>
      <c r="Q153" s="1"/>
      <c r="R153" s="1"/>
    </row>
    <row r="154" ht="25.5" customHeight="1">
      <c r="A154" s="1"/>
      <c r="B154" s="1"/>
      <c r="C154" s="1"/>
      <c r="D154" s="1"/>
      <c r="E154" s="1"/>
      <c r="F154" s="1"/>
      <c r="G154" s="1"/>
      <c r="H154" s="1"/>
      <c r="I154" s="1"/>
      <c r="J154" s="1"/>
      <c r="K154" s="1"/>
      <c r="L154" s="1"/>
      <c r="M154" s="1"/>
      <c r="N154" s="1"/>
      <c r="O154" s="1"/>
      <c r="P154" s="1"/>
      <c r="Q154" s="1"/>
      <c r="R154" s="1"/>
    </row>
    <row r="155" ht="25.5" customHeight="1">
      <c r="A155" s="1"/>
      <c r="B155" s="1"/>
      <c r="C155" s="1"/>
      <c r="D155" s="1"/>
      <c r="E155" s="1"/>
      <c r="F155" s="1"/>
      <c r="G155" s="1"/>
      <c r="H155" s="1"/>
      <c r="I155" s="1"/>
      <c r="J155" s="1"/>
      <c r="K155" s="1"/>
      <c r="L155" s="1"/>
      <c r="M155" s="1"/>
      <c r="N155" s="1"/>
      <c r="O155" s="1"/>
      <c r="P155" s="1"/>
      <c r="Q155" s="1"/>
      <c r="R155" s="1"/>
    </row>
    <row r="156" ht="25.5" customHeight="1">
      <c r="A156" s="1"/>
      <c r="B156" s="1"/>
      <c r="C156" s="1"/>
      <c r="D156" s="1"/>
      <c r="E156" s="1"/>
      <c r="F156" s="1"/>
      <c r="G156" s="1"/>
      <c r="H156" s="1"/>
      <c r="I156" s="1"/>
      <c r="J156" s="1"/>
      <c r="K156" s="1"/>
      <c r="L156" s="1"/>
      <c r="M156" s="1"/>
      <c r="N156" s="1"/>
      <c r="O156" s="1"/>
      <c r="P156" s="1"/>
      <c r="Q156" s="1"/>
      <c r="R156" s="1"/>
    </row>
    <row r="157" ht="25.5" customHeight="1">
      <c r="A157" s="1"/>
      <c r="B157" s="1"/>
      <c r="C157" s="1"/>
      <c r="D157" s="1"/>
      <c r="E157" s="1"/>
      <c r="F157" s="1"/>
      <c r="G157" s="1"/>
      <c r="H157" s="1"/>
      <c r="I157" s="1"/>
      <c r="J157" s="1"/>
      <c r="K157" s="1"/>
      <c r="L157" s="1"/>
      <c r="M157" s="1"/>
      <c r="N157" s="1"/>
      <c r="O157" s="1"/>
      <c r="P157" s="1"/>
      <c r="Q157" s="1"/>
      <c r="R157" s="1"/>
    </row>
    <row r="158" ht="25.5" customHeight="1">
      <c r="A158" s="1"/>
      <c r="B158" s="1"/>
      <c r="C158" s="1"/>
      <c r="D158" s="1"/>
      <c r="E158" s="1"/>
      <c r="F158" s="1"/>
      <c r="G158" s="1"/>
      <c r="H158" s="1"/>
      <c r="I158" s="1"/>
      <c r="J158" s="1"/>
      <c r="K158" s="1"/>
      <c r="L158" s="1"/>
      <c r="M158" s="1"/>
      <c r="N158" s="1"/>
      <c r="O158" s="1"/>
      <c r="P158" s="1"/>
      <c r="Q158" s="1"/>
      <c r="R158" s="1"/>
    </row>
    <row r="159" ht="25.5" customHeight="1">
      <c r="A159" s="1"/>
      <c r="B159" s="1"/>
      <c r="C159" s="1"/>
      <c r="D159" s="1"/>
      <c r="E159" s="1"/>
      <c r="F159" s="1"/>
      <c r="G159" s="1"/>
      <c r="H159" s="1"/>
      <c r="I159" s="1"/>
      <c r="J159" s="1"/>
      <c r="K159" s="1"/>
      <c r="L159" s="1"/>
      <c r="M159" s="1"/>
      <c r="N159" s="1"/>
      <c r="O159" s="1"/>
      <c r="P159" s="1"/>
      <c r="Q159" s="1"/>
      <c r="R159" s="1"/>
    </row>
    <row r="160" ht="25.5" customHeight="1">
      <c r="A160" s="1"/>
      <c r="B160" s="1"/>
      <c r="C160" s="1"/>
      <c r="D160" s="1"/>
      <c r="E160" s="1"/>
      <c r="F160" s="1"/>
      <c r="G160" s="1"/>
      <c r="H160" s="1"/>
      <c r="I160" s="1"/>
      <c r="J160" s="1"/>
      <c r="K160" s="1"/>
      <c r="L160" s="1"/>
      <c r="M160" s="1"/>
      <c r="N160" s="1"/>
      <c r="O160" s="1"/>
      <c r="P160" s="1"/>
      <c r="Q160" s="1"/>
      <c r="R160" s="1"/>
    </row>
    <row r="161" ht="25.5" customHeight="1">
      <c r="A161" s="1"/>
      <c r="B161" s="1"/>
      <c r="C161" s="1"/>
      <c r="D161" s="1"/>
      <c r="E161" s="1"/>
      <c r="F161" s="1"/>
      <c r="G161" s="1"/>
      <c r="H161" s="1"/>
      <c r="I161" s="1"/>
      <c r="J161" s="1"/>
      <c r="K161" s="1"/>
      <c r="L161" s="1"/>
      <c r="M161" s="1"/>
      <c r="N161" s="1"/>
      <c r="O161" s="1"/>
      <c r="P161" s="1"/>
      <c r="Q161" s="1"/>
      <c r="R161" s="1"/>
    </row>
    <row r="162" ht="25.5" customHeight="1">
      <c r="A162" s="1"/>
      <c r="B162" s="1"/>
      <c r="C162" s="1"/>
      <c r="D162" s="1"/>
      <c r="E162" s="1"/>
      <c r="F162" s="1"/>
      <c r="G162" s="1"/>
      <c r="H162" s="1"/>
      <c r="I162" s="1"/>
      <c r="J162" s="1"/>
      <c r="K162" s="1"/>
      <c r="L162" s="1"/>
      <c r="M162" s="1"/>
      <c r="N162" s="1"/>
      <c r="O162" s="1"/>
      <c r="P162" s="1"/>
      <c r="Q162" s="1"/>
      <c r="R162" s="1"/>
    </row>
    <row r="163" ht="25.5" customHeight="1">
      <c r="A163" s="1"/>
      <c r="B163" s="1"/>
      <c r="C163" s="1"/>
      <c r="D163" s="1"/>
      <c r="E163" s="1"/>
      <c r="F163" s="1"/>
      <c r="G163" s="1"/>
      <c r="H163" s="1"/>
      <c r="I163" s="1"/>
      <c r="J163" s="1"/>
      <c r="K163" s="1"/>
      <c r="L163" s="1"/>
      <c r="M163" s="1"/>
      <c r="N163" s="1"/>
      <c r="O163" s="1"/>
      <c r="P163" s="1"/>
      <c r="Q163" s="1"/>
      <c r="R163" s="1"/>
    </row>
    <row r="164" ht="25.5" customHeight="1">
      <c r="A164" s="1"/>
      <c r="B164" s="1"/>
      <c r="C164" s="1"/>
      <c r="D164" s="1"/>
      <c r="E164" s="1"/>
      <c r="F164" s="1"/>
      <c r="G164" s="1"/>
      <c r="H164" s="1"/>
      <c r="I164" s="1"/>
      <c r="J164" s="1"/>
      <c r="K164" s="1"/>
      <c r="L164" s="1"/>
      <c r="M164" s="1"/>
      <c r="N164" s="1"/>
      <c r="O164" s="1"/>
      <c r="P164" s="1"/>
      <c r="Q164" s="1"/>
      <c r="R164" s="1"/>
    </row>
    <row r="165" ht="25.5" customHeight="1">
      <c r="A165" s="1"/>
      <c r="B165" s="1"/>
      <c r="C165" s="1"/>
      <c r="D165" s="1"/>
      <c r="E165" s="1"/>
      <c r="F165" s="1"/>
      <c r="G165" s="1"/>
      <c r="H165" s="1"/>
      <c r="I165" s="1"/>
      <c r="J165" s="1"/>
      <c r="K165" s="1"/>
      <c r="L165" s="1"/>
      <c r="M165" s="1"/>
      <c r="N165" s="1"/>
      <c r="O165" s="1"/>
      <c r="P165" s="1"/>
      <c r="Q165" s="1"/>
      <c r="R165" s="1"/>
    </row>
    <row r="166" ht="25.5" customHeight="1">
      <c r="A166" s="1"/>
      <c r="B166" s="1"/>
      <c r="C166" s="1"/>
      <c r="D166" s="1"/>
      <c r="E166" s="1"/>
      <c r="F166" s="1"/>
      <c r="G166" s="1"/>
      <c r="H166" s="1"/>
      <c r="I166" s="1"/>
      <c r="J166" s="1"/>
      <c r="K166" s="1"/>
      <c r="L166" s="1"/>
      <c r="M166" s="1"/>
      <c r="N166" s="1"/>
      <c r="O166" s="1"/>
      <c r="P166" s="1"/>
      <c r="Q166" s="1"/>
      <c r="R166" s="1"/>
    </row>
    <row r="167" ht="25.5" customHeight="1">
      <c r="A167" s="1"/>
      <c r="B167" s="1"/>
      <c r="C167" s="1"/>
      <c r="D167" s="1"/>
      <c r="E167" s="1"/>
      <c r="F167" s="1"/>
      <c r="G167" s="1"/>
      <c r="H167" s="1"/>
      <c r="I167" s="1"/>
      <c r="J167" s="1"/>
      <c r="K167" s="1"/>
      <c r="L167" s="1"/>
      <c r="M167" s="1"/>
      <c r="N167" s="1"/>
      <c r="O167" s="1"/>
      <c r="P167" s="1"/>
      <c r="Q167" s="1"/>
      <c r="R167" s="1"/>
    </row>
    <row r="168" ht="25.5" customHeight="1">
      <c r="A168" s="1"/>
      <c r="B168" s="1"/>
      <c r="C168" s="1"/>
      <c r="D168" s="1"/>
      <c r="E168" s="1"/>
      <c r="F168" s="1"/>
      <c r="G168" s="1"/>
      <c r="H168" s="1"/>
      <c r="I168" s="1"/>
      <c r="J168" s="1"/>
      <c r="K168" s="1"/>
      <c r="L168" s="1"/>
      <c r="M168" s="1"/>
      <c r="N168" s="1"/>
      <c r="O168" s="1"/>
      <c r="P168" s="1"/>
      <c r="Q168" s="1"/>
      <c r="R168" s="1"/>
    </row>
    <row r="169" ht="25.5" customHeight="1">
      <c r="A169" s="1"/>
      <c r="B169" s="1"/>
      <c r="C169" s="1"/>
      <c r="D169" s="1"/>
      <c r="E169" s="1"/>
      <c r="F169" s="1"/>
      <c r="G169" s="1"/>
      <c r="H169" s="1"/>
      <c r="I169" s="1"/>
      <c r="J169" s="1"/>
      <c r="K169" s="1"/>
      <c r="L169" s="1"/>
      <c r="M169" s="1"/>
      <c r="N169" s="1"/>
      <c r="O169" s="1"/>
      <c r="P169" s="1"/>
      <c r="Q169" s="1"/>
      <c r="R169" s="1"/>
    </row>
    <row r="170" ht="25.5" customHeight="1">
      <c r="A170" s="1"/>
      <c r="B170" s="1"/>
      <c r="C170" s="1"/>
      <c r="D170" s="1"/>
      <c r="E170" s="1"/>
      <c r="F170" s="1"/>
      <c r="G170" s="1"/>
      <c r="H170" s="1"/>
      <c r="I170" s="1"/>
      <c r="J170" s="1"/>
      <c r="K170" s="1"/>
      <c r="L170" s="1"/>
      <c r="M170" s="1"/>
      <c r="N170" s="1"/>
      <c r="O170" s="1"/>
      <c r="P170" s="1"/>
      <c r="Q170" s="1"/>
      <c r="R170" s="1"/>
    </row>
    <row r="171" ht="25.5" customHeight="1">
      <c r="A171" s="1"/>
      <c r="B171" s="1"/>
      <c r="C171" s="1"/>
      <c r="D171" s="1"/>
      <c r="E171" s="1"/>
      <c r="F171" s="1"/>
      <c r="G171" s="1"/>
      <c r="H171" s="1"/>
      <c r="I171" s="1"/>
      <c r="J171" s="1"/>
      <c r="K171" s="1"/>
      <c r="L171" s="1"/>
      <c r="M171" s="1"/>
      <c r="N171" s="1"/>
      <c r="O171" s="1"/>
      <c r="P171" s="1"/>
      <c r="Q171" s="1"/>
      <c r="R171" s="1"/>
    </row>
    <row r="172" ht="25.5" customHeight="1">
      <c r="A172" s="1"/>
      <c r="B172" s="1"/>
      <c r="C172" s="1"/>
      <c r="D172" s="1"/>
      <c r="E172" s="1"/>
      <c r="F172" s="1"/>
      <c r="G172" s="1"/>
      <c r="H172" s="1"/>
      <c r="I172" s="1"/>
      <c r="J172" s="1"/>
      <c r="K172" s="1"/>
      <c r="L172" s="1"/>
      <c r="M172" s="1"/>
      <c r="N172" s="1"/>
      <c r="O172" s="1"/>
      <c r="P172" s="1"/>
      <c r="Q172" s="1"/>
      <c r="R172" s="1"/>
    </row>
    <row r="173" ht="25.5" customHeight="1">
      <c r="A173" s="1"/>
      <c r="B173" s="1"/>
      <c r="C173" s="1"/>
      <c r="D173" s="1"/>
      <c r="E173" s="1"/>
      <c r="F173" s="1"/>
      <c r="G173" s="1"/>
      <c r="H173" s="1"/>
      <c r="I173" s="1"/>
      <c r="J173" s="1"/>
      <c r="K173" s="1"/>
      <c r="L173" s="1"/>
      <c r="M173" s="1"/>
      <c r="N173" s="1"/>
      <c r="O173" s="1"/>
      <c r="P173" s="1"/>
      <c r="Q173" s="1"/>
      <c r="R173" s="1"/>
    </row>
    <row r="174" ht="25.5" customHeight="1">
      <c r="A174" s="1"/>
      <c r="B174" s="1"/>
      <c r="C174" s="1"/>
      <c r="D174" s="1"/>
      <c r="E174" s="1"/>
      <c r="F174" s="1"/>
      <c r="G174" s="1"/>
      <c r="H174" s="1"/>
      <c r="I174" s="1"/>
      <c r="J174" s="1"/>
      <c r="K174" s="1"/>
      <c r="L174" s="1"/>
      <c r="M174" s="1"/>
      <c r="N174" s="1"/>
      <c r="O174" s="1"/>
      <c r="P174" s="1"/>
      <c r="Q174" s="1"/>
      <c r="R174" s="1"/>
    </row>
    <row r="175" ht="25.5" customHeight="1">
      <c r="A175" s="1"/>
      <c r="B175" s="1"/>
      <c r="C175" s="1"/>
      <c r="D175" s="1"/>
      <c r="E175" s="1"/>
      <c r="F175" s="1"/>
      <c r="G175" s="1"/>
      <c r="H175" s="1"/>
      <c r="I175" s="1"/>
      <c r="J175" s="1"/>
      <c r="K175" s="1"/>
      <c r="L175" s="1"/>
      <c r="M175" s="1"/>
      <c r="N175" s="1"/>
      <c r="O175" s="1"/>
      <c r="P175" s="1"/>
      <c r="Q175" s="1"/>
      <c r="R175" s="1"/>
    </row>
    <row r="176" ht="25.5" customHeight="1">
      <c r="A176" s="1"/>
      <c r="B176" s="1"/>
      <c r="C176" s="1"/>
      <c r="D176" s="1"/>
      <c r="E176" s="1"/>
      <c r="F176" s="1"/>
      <c r="G176" s="1"/>
      <c r="H176" s="1"/>
      <c r="I176" s="1"/>
      <c r="J176" s="1"/>
      <c r="K176" s="1"/>
      <c r="L176" s="1"/>
      <c r="M176" s="1"/>
      <c r="N176" s="1"/>
      <c r="O176" s="1"/>
      <c r="P176" s="1"/>
      <c r="Q176" s="1"/>
      <c r="R176" s="1"/>
    </row>
    <row r="177" ht="25.5" customHeight="1">
      <c r="A177" s="1"/>
      <c r="B177" s="1"/>
      <c r="C177" s="1"/>
      <c r="D177" s="1"/>
      <c r="E177" s="1"/>
      <c r="F177" s="1"/>
      <c r="G177" s="1"/>
      <c r="H177" s="1"/>
      <c r="I177" s="1"/>
      <c r="J177" s="1"/>
      <c r="K177" s="1"/>
      <c r="L177" s="1"/>
      <c r="M177" s="1"/>
      <c r="N177" s="1"/>
      <c r="O177" s="1"/>
      <c r="P177" s="1"/>
      <c r="Q177" s="1"/>
      <c r="R177" s="1"/>
    </row>
    <row r="178" ht="25.5" customHeight="1">
      <c r="A178" s="1"/>
      <c r="B178" s="1"/>
      <c r="C178" s="1"/>
      <c r="D178" s="1"/>
      <c r="E178" s="1"/>
      <c r="F178" s="1"/>
      <c r="G178" s="1"/>
      <c r="H178" s="1"/>
      <c r="I178" s="1"/>
      <c r="J178" s="1"/>
      <c r="K178" s="1"/>
      <c r="L178" s="1"/>
      <c r="M178" s="1"/>
      <c r="N178" s="1"/>
      <c r="O178" s="1"/>
      <c r="P178" s="1"/>
      <c r="Q178" s="1"/>
      <c r="R178" s="1"/>
    </row>
    <row r="179" ht="25.5" customHeight="1">
      <c r="A179" s="1"/>
      <c r="B179" s="1"/>
      <c r="C179" s="1"/>
      <c r="D179" s="1"/>
      <c r="E179" s="1"/>
      <c r="F179" s="1"/>
      <c r="G179" s="1"/>
      <c r="H179" s="1"/>
      <c r="I179" s="1"/>
      <c r="J179" s="1"/>
      <c r="K179" s="1"/>
      <c r="L179" s="1"/>
      <c r="M179" s="1"/>
      <c r="N179" s="1"/>
      <c r="O179" s="1"/>
      <c r="P179" s="1"/>
      <c r="Q179" s="1"/>
      <c r="R179" s="1"/>
    </row>
    <row r="180" ht="25.5" customHeight="1">
      <c r="A180" s="1"/>
      <c r="B180" s="1"/>
      <c r="C180" s="1"/>
      <c r="D180" s="1"/>
      <c r="E180" s="1"/>
      <c r="F180" s="1"/>
      <c r="G180" s="1"/>
      <c r="H180" s="1"/>
      <c r="I180" s="1"/>
      <c r="J180" s="1"/>
      <c r="K180" s="1"/>
      <c r="L180" s="1"/>
      <c r="M180" s="1"/>
      <c r="N180" s="1"/>
      <c r="O180" s="1"/>
      <c r="P180" s="1"/>
      <c r="Q180" s="1"/>
      <c r="R180" s="1"/>
    </row>
    <row r="181" ht="25.5" customHeight="1">
      <c r="A181" s="1"/>
      <c r="B181" s="1"/>
      <c r="C181" s="1"/>
      <c r="D181" s="1"/>
      <c r="E181" s="1"/>
      <c r="F181" s="1"/>
      <c r="G181" s="1"/>
      <c r="H181" s="1"/>
      <c r="I181" s="1"/>
      <c r="J181" s="1"/>
      <c r="K181" s="1"/>
      <c r="L181" s="1"/>
      <c r="M181" s="1"/>
      <c r="N181" s="1"/>
      <c r="O181" s="1"/>
      <c r="P181" s="1"/>
      <c r="Q181" s="1"/>
      <c r="R181" s="1"/>
    </row>
    <row r="182" ht="25.5" customHeight="1">
      <c r="A182" s="1"/>
      <c r="B182" s="1"/>
      <c r="C182" s="1"/>
      <c r="D182" s="1"/>
      <c r="E182" s="1"/>
      <c r="F182" s="1"/>
      <c r="G182" s="1"/>
      <c r="H182" s="1"/>
      <c r="I182" s="1"/>
      <c r="J182" s="1"/>
      <c r="K182" s="1"/>
      <c r="L182" s="1"/>
      <c r="M182" s="1"/>
      <c r="N182" s="1"/>
      <c r="O182" s="1"/>
      <c r="P182" s="1"/>
      <c r="Q182" s="1"/>
      <c r="R182" s="1"/>
    </row>
    <row r="183" ht="25.5" customHeight="1">
      <c r="A183" s="1"/>
      <c r="B183" s="1"/>
      <c r="C183" s="1"/>
      <c r="D183" s="1"/>
      <c r="E183" s="1"/>
      <c r="F183" s="1"/>
      <c r="G183" s="1"/>
      <c r="H183" s="1"/>
      <c r="I183" s="1"/>
      <c r="J183" s="1"/>
      <c r="K183" s="1"/>
      <c r="L183" s="1"/>
      <c r="M183" s="1"/>
      <c r="N183" s="1"/>
      <c r="O183" s="1"/>
      <c r="P183" s="1"/>
      <c r="Q183" s="1"/>
      <c r="R183" s="1"/>
    </row>
    <row r="184" ht="25.5" customHeight="1">
      <c r="A184" s="1"/>
      <c r="B184" s="1"/>
      <c r="C184" s="1"/>
      <c r="D184" s="1"/>
      <c r="E184" s="1"/>
      <c r="F184" s="1"/>
      <c r="G184" s="1"/>
      <c r="H184" s="1"/>
      <c r="I184" s="1"/>
      <c r="J184" s="1"/>
      <c r="K184" s="1"/>
      <c r="L184" s="1"/>
      <c r="M184" s="1"/>
      <c r="N184" s="1"/>
      <c r="O184" s="1"/>
      <c r="P184" s="1"/>
      <c r="Q184" s="1"/>
      <c r="R184" s="1"/>
    </row>
    <row r="185" ht="25.5" customHeight="1">
      <c r="A185" s="1"/>
      <c r="B185" s="1"/>
      <c r="C185" s="1"/>
      <c r="D185" s="1"/>
      <c r="E185" s="1"/>
      <c r="F185" s="1"/>
      <c r="G185" s="1"/>
      <c r="H185" s="1"/>
      <c r="I185" s="1"/>
      <c r="J185" s="1"/>
      <c r="K185" s="1"/>
      <c r="L185" s="1"/>
      <c r="M185" s="1"/>
      <c r="N185" s="1"/>
      <c r="O185" s="1"/>
      <c r="P185" s="1"/>
      <c r="Q185" s="1"/>
      <c r="R185" s="1"/>
    </row>
    <row r="186" ht="25.5" customHeight="1">
      <c r="A186" s="1"/>
      <c r="B186" s="1"/>
      <c r="C186" s="1"/>
      <c r="D186" s="1"/>
      <c r="E186" s="1"/>
      <c r="F186" s="1"/>
      <c r="G186" s="1"/>
      <c r="H186" s="1"/>
      <c r="I186" s="1"/>
      <c r="J186" s="1"/>
      <c r="K186" s="1"/>
      <c r="L186" s="1"/>
      <c r="M186" s="1"/>
      <c r="N186" s="1"/>
      <c r="O186" s="1"/>
      <c r="P186" s="1"/>
      <c r="Q186" s="1"/>
      <c r="R186" s="1"/>
    </row>
    <row r="187" ht="25.5" customHeight="1">
      <c r="A187" s="1"/>
      <c r="B187" s="1"/>
      <c r="C187" s="1"/>
      <c r="D187" s="1"/>
      <c r="E187" s="1"/>
      <c r="F187" s="1"/>
      <c r="G187" s="1"/>
      <c r="H187" s="1"/>
      <c r="I187" s="1"/>
      <c r="J187" s="1"/>
      <c r="K187" s="1"/>
      <c r="L187" s="1"/>
      <c r="M187" s="1"/>
      <c r="N187" s="1"/>
      <c r="O187" s="1"/>
      <c r="P187" s="1"/>
      <c r="Q187" s="1"/>
      <c r="R187" s="1"/>
    </row>
    <row r="188" ht="25.5" customHeight="1">
      <c r="A188" s="1"/>
      <c r="B188" s="1"/>
      <c r="C188" s="1"/>
      <c r="D188" s="1"/>
      <c r="E188" s="1"/>
      <c r="F188" s="1"/>
      <c r="G188" s="1"/>
      <c r="H188" s="1"/>
      <c r="I188" s="1"/>
      <c r="J188" s="1"/>
      <c r="K188" s="1"/>
      <c r="L188" s="1"/>
      <c r="M188" s="1"/>
      <c r="N188" s="1"/>
      <c r="O188" s="1"/>
      <c r="P188" s="1"/>
      <c r="Q188" s="1"/>
      <c r="R188" s="1"/>
    </row>
    <row r="189" ht="25.5" customHeight="1">
      <c r="A189" s="1"/>
      <c r="B189" s="1"/>
      <c r="C189" s="1"/>
      <c r="D189" s="1"/>
      <c r="E189" s="1"/>
      <c r="F189" s="1"/>
      <c r="G189" s="1"/>
      <c r="H189" s="1"/>
      <c r="I189" s="1"/>
      <c r="J189" s="1"/>
      <c r="K189" s="1"/>
      <c r="L189" s="1"/>
      <c r="M189" s="1"/>
      <c r="N189" s="1"/>
      <c r="O189" s="1"/>
      <c r="P189" s="1"/>
      <c r="Q189" s="1"/>
      <c r="R189" s="1"/>
    </row>
    <row r="190" ht="25.5" customHeight="1">
      <c r="A190" s="1"/>
      <c r="B190" s="1"/>
      <c r="C190" s="1"/>
      <c r="D190" s="1"/>
      <c r="E190" s="1"/>
      <c r="F190" s="1"/>
      <c r="G190" s="1"/>
      <c r="H190" s="1"/>
      <c r="I190" s="1"/>
      <c r="J190" s="1"/>
      <c r="K190" s="1"/>
      <c r="L190" s="1"/>
      <c r="M190" s="1"/>
      <c r="N190" s="1"/>
      <c r="O190" s="1"/>
      <c r="P190" s="1"/>
      <c r="Q190" s="1"/>
      <c r="R190" s="1"/>
    </row>
    <row r="191" ht="25.5" customHeight="1">
      <c r="A191" s="1"/>
      <c r="B191" s="1"/>
      <c r="C191" s="1"/>
      <c r="D191" s="1"/>
      <c r="E191" s="1"/>
      <c r="F191" s="1"/>
      <c r="G191" s="1"/>
      <c r="H191" s="1"/>
      <c r="I191" s="1"/>
      <c r="J191" s="1"/>
      <c r="K191" s="1"/>
      <c r="L191" s="1"/>
      <c r="M191" s="1"/>
      <c r="N191" s="1"/>
      <c r="O191" s="1"/>
      <c r="P191" s="1"/>
      <c r="Q191" s="1"/>
      <c r="R191" s="1"/>
    </row>
    <row r="192" ht="25.5" customHeight="1">
      <c r="A192" s="1"/>
      <c r="B192" s="1"/>
      <c r="C192" s="1"/>
      <c r="D192" s="1"/>
      <c r="E192" s="1"/>
      <c r="F192" s="1"/>
      <c r="G192" s="1"/>
      <c r="H192" s="1"/>
      <c r="I192" s="1"/>
      <c r="J192" s="1"/>
      <c r="K192" s="1"/>
      <c r="L192" s="1"/>
      <c r="M192" s="1"/>
      <c r="N192" s="1"/>
      <c r="O192" s="1"/>
      <c r="P192" s="1"/>
      <c r="Q192" s="1"/>
      <c r="R192" s="1"/>
    </row>
    <row r="193" ht="25.5" customHeight="1">
      <c r="A193" s="1"/>
      <c r="B193" s="1"/>
      <c r="C193" s="1"/>
      <c r="D193" s="1"/>
      <c r="E193" s="1"/>
      <c r="F193" s="1"/>
      <c r="G193" s="1"/>
      <c r="H193" s="1"/>
      <c r="I193" s="1"/>
      <c r="J193" s="1"/>
      <c r="K193" s="1"/>
      <c r="L193" s="1"/>
      <c r="M193" s="1"/>
      <c r="N193" s="1"/>
      <c r="O193" s="1"/>
      <c r="P193" s="1"/>
      <c r="Q193" s="1"/>
      <c r="R193" s="1"/>
    </row>
    <row r="194" ht="25.5" customHeight="1">
      <c r="A194" s="1"/>
      <c r="B194" s="1"/>
      <c r="C194" s="1"/>
      <c r="D194" s="1"/>
      <c r="E194" s="1"/>
      <c r="F194" s="1"/>
      <c r="G194" s="1"/>
      <c r="H194" s="1"/>
      <c r="I194" s="1"/>
      <c r="J194" s="1"/>
      <c r="K194" s="1"/>
      <c r="L194" s="1"/>
      <c r="M194" s="1"/>
      <c r="N194" s="1"/>
      <c r="O194" s="1"/>
      <c r="P194" s="1"/>
      <c r="Q194" s="1"/>
      <c r="R194" s="1"/>
    </row>
    <row r="195" ht="25.5" customHeight="1">
      <c r="A195" s="1"/>
      <c r="B195" s="1"/>
      <c r="C195" s="1"/>
      <c r="D195" s="1"/>
      <c r="E195" s="1"/>
      <c r="F195" s="1"/>
      <c r="G195" s="1"/>
      <c r="H195" s="1"/>
      <c r="I195" s="1"/>
      <c r="J195" s="1"/>
      <c r="K195" s="1"/>
      <c r="L195" s="1"/>
      <c r="M195" s="1"/>
      <c r="N195" s="1"/>
      <c r="O195" s="1"/>
      <c r="P195" s="1"/>
      <c r="Q195" s="1"/>
      <c r="R195" s="1"/>
    </row>
    <row r="196" ht="25.5" customHeight="1">
      <c r="A196" s="1"/>
      <c r="B196" s="1"/>
      <c r="C196" s="1"/>
      <c r="D196" s="1"/>
      <c r="E196" s="1"/>
      <c r="F196" s="1"/>
      <c r="G196" s="1"/>
      <c r="H196" s="1"/>
      <c r="I196" s="1"/>
      <c r="J196" s="1"/>
      <c r="K196" s="1"/>
      <c r="L196" s="1"/>
      <c r="M196" s="1"/>
      <c r="N196" s="1"/>
      <c r="O196" s="1"/>
      <c r="P196" s="1"/>
      <c r="Q196" s="1"/>
      <c r="R196" s="1"/>
    </row>
    <row r="197" ht="25.5" customHeight="1">
      <c r="A197" s="1"/>
      <c r="B197" s="1"/>
      <c r="C197" s="1"/>
      <c r="D197" s="1"/>
      <c r="E197" s="1"/>
      <c r="F197" s="1"/>
      <c r="G197" s="1"/>
      <c r="H197" s="1"/>
      <c r="I197" s="1"/>
      <c r="J197" s="1"/>
      <c r="K197" s="1"/>
      <c r="L197" s="1"/>
      <c r="M197" s="1"/>
      <c r="N197" s="1"/>
      <c r="O197" s="1"/>
      <c r="P197" s="1"/>
      <c r="Q197" s="1"/>
      <c r="R197" s="1"/>
    </row>
    <row r="198" ht="25.5" customHeight="1">
      <c r="A198" s="1"/>
      <c r="B198" s="1"/>
      <c r="C198" s="1"/>
      <c r="D198" s="1"/>
      <c r="E198" s="1"/>
      <c r="F198" s="1"/>
      <c r="G198" s="1"/>
      <c r="H198" s="1"/>
      <c r="I198" s="1"/>
      <c r="J198" s="1"/>
      <c r="K198" s="1"/>
      <c r="L198" s="1"/>
      <c r="M198" s="1"/>
      <c r="N198" s="1"/>
      <c r="O198" s="1"/>
      <c r="P198" s="1"/>
      <c r="Q198" s="1"/>
      <c r="R198" s="1"/>
    </row>
    <row r="199" ht="25.5" customHeight="1">
      <c r="A199" s="1"/>
      <c r="B199" s="1"/>
      <c r="C199" s="1"/>
      <c r="D199" s="1"/>
      <c r="E199" s="1"/>
      <c r="F199" s="1"/>
      <c r="G199" s="1"/>
      <c r="H199" s="1"/>
      <c r="I199" s="1"/>
      <c r="J199" s="1"/>
      <c r="K199" s="1"/>
      <c r="L199" s="1"/>
      <c r="M199" s="1"/>
      <c r="N199" s="1"/>
      <c r="O199" s="1"/>
      <c r="P199" s="1"/>
      <c r="Q199" s="1"/>
      <c r="R199" s="1"/>
    </row>
    <row r="200" ht="25.5" customHeight="1">
      <c r="A200" s="1"/>
      <c r="B200" s="1"/>
      <c r="C200" s="1"/>
      <c r="D200" s="1"/>
      <c r="E200" s="1"/>
      <c r="F200" s="1"/>
      <c r="G200" s="1"/>
      <c r="H200" s="1"/>
      <c r="I200" s="1"/>
      <c r="J200" s="1"/>
      <c r="K200" s="1"/>
      <c r="L200" s="1"/>
      <c r="M200" s="1"/>
      <c r="N200" s="1"/>
      <c r="O200" s="1"/>
      <c r="P200" s="1"/>
      <c r="Q200" s="1"/>
      <c r="R200" s="1"/>
    </row>
    <row r="201" ht="25.5" customHeight="1">
      <c r="A201" s="1"/>
      <c r="B201" s="1"/>
      <c r="C201" s="1"/>
      <c r="D201" s="1"/>
      <c r="E201" s="1"/>
      <c r="F201" s="1"/>
      <c r="G201" s="1"/>
      <c r="H201" s="1"/>
      <c r="I201" s="1"/>
      <c r="J201" s="1"/>
      <c r="K201" s="1"/>
      <c r="L201" s="1"/>
      <c r="M201" s="1"/>
      <c r="N201" s="1"/>
      <c r="O201" s="1"/>
      <c r="P201" s="1"/>
      <c r="Q201" s="1"/>
      <c r="R201" s="1"/>
    </row>
    <row r="202" ht="25.5" customHeight="1">
      <c r="A202" s="1"/>
      <c r="B202" s="1"/>
      <c r="C202" s="1"/>
      <c r="D202" s="1"/>
      <c r="E202" s="1"/>
      <c r="F202" s="1"/>
      <c r="G202" s="1"/>
      <c r="H202" s="1"/>
      <c r="I202" s="1"/>
      <c r="J202" s="1"/>
      <c r="K202" s="1"/>
      <c r="L202" s="1"/>
      <c r="M202" s="1"/>
      <c r="N202" s="1"/>
      <c r="O202" s="1"/>
      <c r="P202" s="1"/>
      <c r="Q202" s="1"/>
      <c r="R202" s="1"/>
    </row>
    <row r="203" ht="25.5" customHeight="1">
      <c r="A203" s="1"/>
      <c r="B203" s="1"/>
      <c r="C203" s="1"/>
      <c r="D203" s="1"/>
      <c r="E203" s="1"/>
      <c r="F203" s="1"/>
      <c r="G203" s="1"/>
      <c r="H203" s="1"/>
      <c r="I203" s="1"/>
      <c r="J203" s="1"/>
      <c r="K203" s="1"/>
      <c r="L203" s="1"/>
      <c r="M203" s="1"/>
      <c r="N203" s="1"/>
      <c r="O203" s="1"/>
      <c r="P203" s="1"/>
      <c r="Q203" s="1"/>
      <c r="R203" s="1"/>
    </row>
    <row r="204" ht="25.5" customHeight="1">
      <c r="A204" s="1"/>
      <c r="B204" s="1"/>
      <c r="C204" s="1"/>
      <c r="D204" s="1"/>
      <c r="E204" s="1"/>
      <c r="F204" s="1"/>
      <c r="G204" s="1"/>
      <c r="H204" s="1"/>
      <c r="I204" s="1"/>
      <c r="J204" s="1"/>
      <c r="K204" s="1"/>
      <c r="L204" s="1"/>
      <c r="M204" s="1"/>
      <c r="N204" s="1"/>
      <c r="O204" s="1"/>
      <c r="P204" s="1"/>
      <c r="Q204" s="1"/>
      <c r="R204" s="1"/>
    </row>
    <row r="205" ht="25.5" customHeight="1">
      <c r="A205" s="1"/>
      <c r="B205" s="1"/>
      <c r="C205" s="1"/>
      <c r="D205" s="1"/>
      <c r="E205" s="1"/>
      <c r="F205" s="1"/>
      <c r="G205" s="1"/>
      <c r="H205" s="1"/>
      <c r="I205" s="1"/>
      <c r="J205" s="1"/>
      <c r="K205" s="1"/>
      <c r="L205" s="1"/>
      <c r="M205" s="1"/>
      <c r="N205" s="1"/>
      <c r="O205" s="1"/>
      <c r="P205" s="1"/>
      <c r="Q205" s="1"/>
      <c r="R205" s="1"/>
    </row>
    <row r="206" ht="25.5" customHeight="1">
      <c r="A206" s="1"/>
      <c r="B206" s="1"/>
      <c r="C206" s="1"/>
      <c r="D206" s="1"/>
      <c r="E206" s="1"/>
      <c r="F206" s="1"/>
      <c r="G206" s="1"/>
      <c r="H206" s="1"/>
      <c r="I206" s="1"/>
      <c r="J206" s="1"/>
      <c r="K206" s="1"/>
      <c r="L206" s="1"/>
      <c r="M206" s="1"/>
      <c r="N206" s="1"/>
      <c r="O206" s="1"/>
      <c r="P206" s="1"/>
      <c r="Q206" s="1"/>
      <c r="R206" s="1"/>
    </row>
    <row r="207" ht="25.5" customHeight="1">
      <c r="A207" s="1"/>
      <c r="B207" s="1"/>
      <c r="C207" s="1"/>
      <c r="D207" s="1"/>
      <c r="E207" s="1"/>
      <c r="F207" s="1"/>
      <c r="G207" s="1"/>
      <c r="H207" s="1"/>
      <c r="I207" s="1"/>
      <c r="J207" s="1"/>
      <c r="K207" s="1"/>
      <c r="L207" s="1"/>
      <c r="M207" s="1"/>
      <c r="N207" s="1"/>
      <c r="O207" s="1"/>
      <c r="P207" s="1"/>
      <c r="Q207" s="1"/>
      <c r="R207" s="1"/>
    </row>
    <row r="208" ht="25.5" customHeight="1">
      <c r="A208" s="1"/>
      <c r="B208" s="1"/>
      <c r="C208" s="1"/>
      <c r="D208" s="1"/>
      <c r="E208" s="1"/>
      <c r="F208" s="1"/>
      <c r="G208" s="1"/>
      <c r="H208" s="1"/>
      <c r="I208" s="1"/>
      <c r="J208" s="1"/>
      <c r="K208" s="1"/>
      <c r="L208" s="1"/>
      <c r="M208" s="1"/>
      <c r="N208" s="1"/>
      <c r="O208" s="1"/>
      <c r="P208" s="1"/>
      <c r="Q208" s="1"/>
      <c r="R208" s="1"/>
    </row>
    <row r="209" ht="25.5" customHeight="1">
      <c r="A209" s="1"/>
      <c r="B209" s="1"/>
      <c r="C209" s="1"/>
      <c r="D209" s="1"/>
      <c r="E209" s="1"/>
      <c r="F209" s="1"/>
      <c r="G209" s="1"/>
      <c r="H209" s="1"/>
      <c r="I209" s="1"/>
      <c r="J209" s="1"/>
      <c r="K209" s="1"/>
      <c r="L209" s="1"/>
      <c r="M209" s="1"/>
      <c r="N209" s="1"/>
      <c r="O209" s="1"/>
      <c r="P209" s="1"/>
      <c r="Q209" s="1"/>
      <c r="R209" s="1"/>
    </row>
    <row r="210" ht="25.5" customHeight="1">
      <c r="A210" s="1"/>
      <c r="B210" s="1"/>
      <c r="C210" s="1"/>
      <c r="D210" s="1"/>
      <c r="E210" s="1"/>
      <c r="F210" s="1"/>
      <c r="G210" s="1"/>
      <c r="H210" s="1"/>
      <c r="I210" s="1"/>
      <c r="J210" s="1"/>
      <c r="K210" s="1"/>
      <c r="L210" s="1"/>
      <c r="M210" s="1"/>
      <c r="N210" s="1"/>
      <c r="O210" s="1"/>
      <c r="P210" s="1"/>
      <c r="Q210" s="1"/>
      <c r="R210" s="1"/>
    </row>
    <row r="211" ht="25.5" customHeight="1">
      <c r="A211" s="1"/>
      <c r="B211" s="1"/>
      <c r="C211" s="1"/>
      <c r="D211" s="1"/>
      <c r="E211" s="1"/>
      <c r="F211" s="1"/>
      <c r="G211" s="1"/>
      <c r="H211" s="1"/>
      <c r="I211" s="1"/>
      <c r="J211" s="1"/>
      <c r="K211" s="1"/>
      <c r="L211" s="1"/>
      <c r="M211" s="1"/>
      <c r="N211" s="1"/>
      <c r="O211" s="1"/>
      <c r="P211" s="1"/>
      <c r="Q211" s="1"/>
      <c r="R211" s="1"/>
    </row>
    <row r="212" ht="25.5" customHeight="1">
      <c r="A212" s="1"/>
      <c r="B212" s="1"/>
      <c r="C212" s="1"/>
      <c r="D212" s="1"/>
      <c r="E212" s="1"/>
      <c r="F212" s="1"/>
      <c r="G212" s="1"/>
      <c r="H212" s="1"/>
      <c r="I212" s="1"/>
      <c r="J212" s="1"/>
      <c r="K212" s="1"/>
      <c r="L212" s="1"/>
      <c r="M212" s="1"/>
      <c r="N212" s="1"/>
      <c r="O212" s="1"/>
      <c r="P212" s="1"/>
      <c r="Q212" s="1"/>
      <c r="R212" s="1"/>
    </row>
    <row r="213" ht="25.5" customHeight="1">
      <c r="A213" s="1"/>
      <c r="B213" s="1"/>
      <c r="C213" s="1"/>
      <c r="D213" s="1"/>
      <c r="E213" s="1"/>
      <c r="F213" s="1"/>
      <c r="G213" s="1"/>
      <c r="H213" s="1"/>
      <c r="I213" s="1"/>
      <c r="J213" s="1"/>
      <c r="K213" s="1"/>
      <c r="L213" s="1"/>
      <c r="M213" s="1"/>
      <c r="N213" s="1"/>
      <c r="O213" s="1"/>
      <c r="P213" s="1"/>
      <c r="Q213" s="1"/>
      <c r="R213" s="1"/>
    </row>
    <row r="214" ht="25.5" customHeight="1">
      <c r="A214" s="1"/>
      <c r="B214" s="1"/>
      <c r="C214" s="1"/>
      <c r="D214" s="1"/>
      <c r="E214" s="1"/>
      <c r="F214" s="1"/>
      <c r="G214" s="1"/>
      <c r="H214" s="1"/>
      <c r="I214" s="1"/>
      <c r="J214" s="1"/>
      <c r="K214" s="1"/>
      <c r="L214" s="1"/>
      <c r="M214" s="1"/>
      <c r="N214" s="1"/>
      <c r="O214" s="1"/>
      <c r="P214" s="1"/>
      <c r="Q214" s="1"/>
      <c r="R214" s="1"/>
    </row>
    <row r="215" ht="25.5" customHeight="1">
      <c r="A215" s="1"/>
      <c r="B215" s="1"/>
      <c r="C215" s="1"/>
      <c r="D215" s="1"/>
      <c r="E215" s="1"/>
      <c r="F215" s="1"/>
      <c r="G215" s="1"/>
      <c r="H215" s="1"/>
      <c r="I215" s="1"/>
      <c r="J215" s="1"/>
      <c r="K215" s="1"/>
      <c r="L215" s="1"/>
      <c r="M215" s="1"/>
      <c r="N215" s="1"/>
      <c r="O215" s="1"/>
      <c r="P215" s="1"/>
      <c r="Q215" s="1"/>
      <c r="R215" s="1"/>
    </row>
    <row r="216" ht="25.5" customHeight="1">
      <c r="A216" s="1"/>
      <c r="B216" s="1"/>
      <c r="C216" s="1"/>
      <c r="D216" s="1"/>
      <c r="E216" s="1"/>
      <c r="F216" s="1"/>
      <c r="G216" s="1"/>
      <c r="H216" s="1"/>
      <c r="I216" s="1"/>
      <c r="J216" s="1"/>
      <c r="K216" s="1"/>
      <c r="L216" s="1"/>
      <c r="M216" s="1"/>
      <c r="N216" s="1"/>
      <c r="O216" s="1"/>
      <c r="P216" s="1"/>
      <c r="Q216" s="1"/>
      <c r="R216" s="1"/>
    </row>
    <row r="217" ht="25.5" customHeight="1">
      <c r="A217" s="1"/>
      <c r="B217" s="1"/>
      <c r="C217" s="1"/>
      <c r="D217" s="1"/>
      <c r="E217" s="1"/>
      <c r="F217" s="1"/>
      <c r="G217" s="1"/>
      <c r="H217" s="1"/>
      <c r="I217" s="1"/>
      <c r="J217" s="1"/>
      <c r="K217" s="1"/>
      <c r="L217" s="1"/>
      <c r="M217" s="1"/>
      <c r="N217" s="1"/>
      <c r="O217" s="1"/>
      <c r="P217" s="1"/>
      <c r="Q217" s="1"/>
      <c r="R217" s="1"/>
    </row>
    <row r="218" ht="25.5" customHeight="1">
      <c r="A218" s="1"/>
      <c r="B218" s="1"/>
      <c r="C218" s="1"/>
      <c r="D218" s="1"/>
      <c r="E218" s="1"/>
      <c r="F218" s="1"/>
      <c r="G218" s="1"/>
      <c r="H218" s="1"/>
      <c r="I218" s="1"/>
      <c r="J218" s="1"/>
      <c r="K218" s="1"/>
      <c r="L218" s="1"/>
      <c r="M218" s="1"/>
      <c r="N218" s="1"/>
      <c r="O218" s="1"/>
      <c r="P218" s="1"/>
      <c r="Q218" s="1"/>
      <c r="R218" s="1"/>
    </row>
    <row r="219" ht="25.5" customHeight="1">
      <c r="A219" s="1"/>
      <c r="B219" s="1"/>
      <c r="C219" s="1"/>
      <c r="D219" s="1"/>
      <c r="E219" s="1"/>
      <c r="F219" s="1"/>
      <c r="G219" s="1"/>
      <c r="H219" s="1"/>
      <c r="I219" s="1"/>
      <c r="J219" s="1"/>
      <c r="K219" s="1"/>
      <c r="L219" s="1"/>
      <c r="M219" s="1"/>
      <c r="N219" s="1"/>
      <c r="O219" s="1"/>
      <c r="P219" s="1"/>
      <c r="Q219" s="1"/>
      <c r="R219" s="1"/>
    </row>
    <row r="220" ht="25.5" customHeight="1">
      <c r="A220" s="1"/>
      <c r="B220" s="1"/>
      <c r="C220" s="1"/>
      <c r="D220" s="1"/>
      <c r="E220" s="1"/>
      <c r="F220" s="1"/>
      <c r="G220" s="1"/>
      <c r="H220" s="1"/>
      <c r="I220" s="1"/>
      <c r="J220" s="1"/>
      <c r="K220" s="1"/>
      <c r="L220" s="1"/>
      <c r="M220" s="1"/>
      <c r="N220" s="1"/>
      <c r="O220" s="1"/>
      <c r="P220" s="1"/>
      <c r="Q220" s="1"/>
      <c r="R220" s="1"/>
    </row>
    <row r="221" ht="25.5" customHeight="1">
      <c r="A221" s="1"/>
      <c r="B221" s="1"/>
      <c r="C221" s="1"/>
      <c r="D221" s="1"/>
      <c r="E221" s="1"/>
      <c r="F221" s="1"/>
      <c r="G221" s="1"/>
      <c r="H221" s="1"/>
      <c r="I221" s="1"/>
      <c r="J221" s="1"/>
      <c r="K221" s="1"/>
      <c r="L221" s="1"/>
      <c r="M221" s="1"/>
      <c r="N221" s="1"/>
      <c r="O221" s="1"/>
      <c r="P221" s="1"/>
      <c r="Q221" s="1"/>
      <c r="R221" s="1"/>
    </row>
    <row r="222" ht="25.5" customHeight="1">
      <c r="A222" s="1"/>
      <c r="B222" s="1"/>
      <c r="C222" s="1"/>
      <c r="D222" s="1"/>
      <c r="E222" s="1"/>
      <c r="F222" s="1"/>
      <c r="G222" s="1"/>
      <c r="H222" s="1"/>
      <c r="I222" s="1"/>
      <c r="J222" s="1"/>
      <c r="K222" s="1"/>
      <c r="L222" s="1"/>
      <c r="M222" s="1"/>
      <c r="N222" s="1"/>
      <c r="O222" s="1"/>
      <c r="P222" s="1"/>
      <c r="Q222" s="1"/>
      <c r="R222" s="1"/>
    </row>
    <row r="223" ht="25.5" customHeight="1">
      <c r="A223" s="1"/>
      <c r="B223" s="1"/>
      <c r="C223" s="1"/>
      <c r="D223" s="1"/>
      <c r="E223" s="1"/>
      <c r="F223" s="1"/>
      <c r="G223" s="1"/>
      <c r="H223" s="1"/>
      <c r="I223" s="1"/>
      <c r="J223" s="1"/>
      <c r="K223" s="1"/>
      <c r="L223" s="1"/>
      <c r="M223" s="1"/>
      <c r="N223" s="1"/>
      <c r="O223" s="1"/>
      <c r="P223" s="1"/>
      <c r="Q223" s="1"/>
      <c r="R223" s="1"/>
    </row>
    <row r="224" ht="25.5" customHeight="1">
      <c r="A224" s="1"/>
      <c r="B224" s="1"/>
      <c r="C224" s="1"/>
      <c r="D224" s="1"/>
      <c r="E224" s="1"/>
      <c r="F224" s="1"/>
      <c r="G224" s="1"/>
      <c r="H224" s="1"/>
      <c r="I224" s="1"/>
      <c r="J224" s="1"/>
      <c r="K224" s="1"/>
      <c r="L224" s="1"/>
      <c r="M224" s="1"/>
      <c r="N224" s="1"/>
      <c r="O224" s="1"/>
      <c r="P224" s="1"/>
      <c r="Q224" s="1"/>
      <c r="R224" s="1"/>
    </row>
    <row r="225" ht="25.5" customHeight="1">
      <c r="A225" s="1"/>
      <c r="B225" s="1"/>
      <c r="C225" s="1"/>
      <c r="D225" s="1"/>
      <c r="E225" s="1"/>
      <c r="F225" s="1"/>
      <c r="G225" s="1"/>
      <c r="H225" s="1"/>
      <c r="I225" s="1"/>
      <c r="J225" s="1"/>
      <c r="K225" s="1"/>
      <c r="L225" s="1"/>
      <c r="M225" s="1"/>
      <c r="N225" s="1"/>
      <c r="O225" s="1"/>
      <c r="P225" s="1"/>
      <c r="Q225" s="1"/>
      <c r="R225" s="1"/>
    </row>
    <row r="226" ht="25.5" customHeight="1">
      <c r="A226" s="1"/>
      <c r="B226" s="1"/>
      <c r="C226" s="1"/>
      <c r="D226" s="1"/>
      <c r="E226" s="1"/>
      <c r="F226" s="1"/>
      <c r="G226" s="1"/>
      <c r="H226" s="1"/>
      <c r="I226" s="1"/>
      <c r="J226" s="1"/>
      <c r="K226" s="1"/>
      <c r="L226" s="1"/>
      <c r="M226" s="1"/>
      <c r="N226" s="1"/>
      <c r="O226" s="1"/>
      <c r="P226" s="1"/>
      <c r="Q226" s="1"/>
      <c r="R226" s="1"/>
    </row>
    <row r="227" ht="25.5" customHeight="1">
      <c r="A227" s="1"/>
      <c r="B227" s="1"/>
      <c r="C227" s="1"/>
      <c r="D227" s="1"/>
      <c r="E227" s="1"/>
      <c r="F227" s="1"/>
      <c r="G227" s="1"/>
      <c r="H227" s="1"/>
      <c r="I227" s="1"/>
      <c r="J227" s="1"/>
      <c r="K227" s="1"/>
      <c r="L227" s="1"/>
      <c r="M227" s="1"/>
      <c r="N227" s="1"/>
      <c r="O227" s="1"/>
      <c r="P227" s="1"/>
      <c r="Q227" s="1"/>
      <c r="R227" s="1"/>
    </row>
    <row r="228" ht="25.5" customHeight="1">
      <c r="A228" s="1"/>
      <c r="B228" s="1"/>
      <c r="C228" s="1"/>
      <c r="D228" s="1"/>
      <c r="E228" s="1"/>
      <c r="F228" s="1"/>
      <c r="G228" s="1"/>
      <c r="H228" s="1"/>
      <c r="I228" s="1"/>
      <c r="J228" s="1"/>
      <c r="K228" s="1"/>
      <c r="L228" s="1"/>
      <c r="M228" s="1"/>
      <c r="N228" s="1"/>
      <c r="O228" s="1"/>
      <c r="P228" s="1"/>
      <c r="Q228" s="1"/>
      <c r="R228" s="1"/>
    </row>
    <row r="229" ht="25.5" customHeight="1">
      <c r="A229" s="1"/>
      <c r="B229" s="1"/>
      <c r="C229" s="1"/>
      <c r="D229" s="1"/>
      <c r="E229" s="1"/>
      <c r="F229" s="1"/>
      <c r="G229" s="1"/>
      <c r="H229" s="1"/>
      <c r="I229" s="1"/>
      <c r="J229" s="1"/>
      <c r="K229" s="1"/>
      <c r="L229" s="1"/>
      <c r="M229" s="1"/>
      <c r="N229" s="1"/>
      <c r="O229" s="1"/>
      <c r="P229" s="1"/>
      <c r="Q229" s="1"/>
      <c r="R229" s="1"/>
    </row>
    <row r="230" ht="25.5" customHeight="1">
      <c r="A230" s="1"/>
      <c r="B230" s="1"/>
      <c r="C230" s="1"/>
      <c r="D230" s="1"/>
      <c r="E230" s="1"/>
      <c r="F230" s="1"/>
      <c r="G230" s="1"/>
      <c r="H230" s="1"/>
      <c r="I230" s="1"/>
      <c r="J230" s="1"/>
      <c r="K230" s="1"/>
      <c r="L230" s="1"/>
      <c r="M230" s="1"/>
      <c r="N230" s="1"/>
      <c r="O230" s="1"/>
      <c r="P230" s="1"/>
      <c r="Q230" s="1"/>
      <c r="R230" s="1"/>
    </row>
    <row r="231" ht="25.5" customHeight="1">
      <c r="A231" s="1"/>
      <c r="B231" s="1"/>
      <c r="C231" s="1"/>
      <c r="D231" s="1"/>
      <c r="E231" s="1"/>
      <c r="F231" s="1"/>
      <c r="G231" s="1"/>
      <c r="H231" s="1"/>
      <c r="I231" s="1"/>
      <c r="J231" s="1"/>
      <c r="K231" s="1"/>
      <c r="L231" s="1"/>
      <c r="M231" s="1"/>
      <c r="N231" s="1"/>
      <c r="O231" s="1"/>
      <c r="P231" s="1"/>
      <c r="Q231" s="1"/>
      <c r="R231" s="1"/>
    </row>
    <row r="232" ht="15.75" customHeight="1">
      <c r="A232" s="5"/>
      <c r="B232" s="5"/>
      <c r="C232" s="5"/>
      <c r="D232" s="5"/>
      <c r="E232" s="5"/>
      <c r="F232" s="5"/>
      <c r="G232" s="5"/>
      <c r="H232" s="5"/>
      <c r="I232" s="5"/>
      <c r="J232" s="5"/>
      <c r="K232" s="5"/>
      <c r="L232" s="5"/>
      <c r="M232" s="5"/>
      <c r="N232" s="5"/>
      <c r="O232" s="5"/>
      <c r="P232" s="5"/>
      <c r="Q232" s="5"/>
      <c r="R232" s="5"/>
    </row>
    <row r="233" ht="15.75" customHeight="1">
      <c r="A233" s="5"/>
      <c r="B233" s="5"/>
      <c r="C233" s="5"/>
      <c r="D233" s="5"/>
      <c r="E233" s="5"/>
      <c r="F233" s="5"/>
      <c r="G233" s="5"/>
      <c r="H233" s="5"/>
      <c r="I233" s="5"/>
      <c r="J233" s="5"/>
      <c r="K233" s="5"/>
      <c r="L233" s="5"/>
      <c r="M233" s="5"/>
      <c r="N233" s="5"/>
      <c r="O233" s="5"/>
      <c r="P233" s="5"/>
      <c r="Q233" s="5"/>
      <c r="R233" s="5"/>
    </row>
    <row r="234" ht="15.75" customHeight="1">
      <c r="A234" s="5"/>
      <c r="B234" s="5"/>
      <c r="C234" s="5"/>
      <c r="D234" s="5"/>
      <c r="E234" s="5"/>
      <c r="F234" s="5"/>
      <c r="G234" s="5"/>
      <c r="H234" s="5"/>
      <c r="I234" s="5"/>
      <c r="J234" s="5"/>
      <c r="K234" s="5"/>
      <c r="L234" s="5"/>
      <c r="M234" s="5"/>
      <c r="N234" s="5"/>
      <c r="O234" s="5"/>
      <c r="P234" s="5"/>
      <c r="Q234" s="5"/>
      <c r="R234" s="5"/>
    </row>
    <row r="235" ht="15.75" customHeight="1">
      <c r="A235" s="5"/>
      <c r="B235" s="5"/>
      <c r="C235" s="5"/>
      <c r="D235" s="5"/>
      <c r="E235" s="5"/>
      <c r="F235" s="5"/>
      <c r="G235" s="5"/>
      <c r="H235" s="5"/>
      <c r="I235" s="5"/>
      <c r="J235" s="5"/>
      <c r="K235" s="5"/>
      <c r="L235" s="5"/>
      <c r="M235" s="5"/>
      <c r="N235" s="5"/>
      <c r="O235" s="5"/>
      <c r="P235" s="5"/>
      <c r="Q235" s="5"/>
      <c r="R235" s="5"/>
    </row>
    <row r="236" ht="15.75" customHeight="1">
      <c r="A236" s="5"/>
      <c r="B236" s="5"/>
      <c r="C236" s="5"/>
      <c r="D236" s="5"/>
      <c r="E236" s="5"/>
      <c r="F236" s="5"/>
      <c r="G236" s="5"/>
      <c r="H236" s="5"/>
      <c r="I236" s="5"/>
      <c r="J236" s="5"/>
      <c r="K236" s="5"/>
      <c r="L236" s="5"/>
      <c r="M236" s="5"/>
      <c r="N236" s="5"/>
      <c r="O236" s="5"/>
      <c r="P236" s="5"/>
      <c r="Q236" s="5"/>
      <c r="R236" s="5"/>
    </row>
    <row r="237" ht="15.75" customHeight="1">
      <c r="A237" s="5"/>
      <c r="B237" s="5"/>
      <c r="C237" s="5"/>
      <c r="D237" s="5"/>
      <c r="E237" s="5"/>
      <c r="F237" s="5"/>
      <c r="G237" s="5"/>
      <c r="H237" s="5"/>
      <c r="I237" s="5"/>
      <c r="J237" s="5"/>
      <c r="K237" s="5"/>
      <c r="L237" s="5"/>
      <c r="M237" s="5"/>
      <c r="N237" s="5"/>
      <c r="O237" s="5"/>
      <c r="P237" s="5"/>
      <c r="Q237" s="5"/>
      <c r="R237" s="5"/>
    </row>
    <row r="238" ht="15.75" customHeight="1">
      <c r="A238" s="5"/>
      <c r="B238" s="5"/>
      <c r="C238" s="5"/>
      <c r="D238" s="5"/>
      <c r="E238" s="5"/>
      <c r="F238" s="5"/>
      <c r="G238" s="5"/>
      <c r="H238" s="5"/>
      <c r="I238" s="5"/>
      <c r="J238" s="5"/>
      <c r="K238" s="5"/>
      <c r="L238" s="5"/>
      <c r="M238" s="5"/>
      <c r="N238" s="5"/>
      <c r="O238" s="5"/>
      <c r="P238" s="5"/>
      <c r="Q238" s="5"/>
      <c r="R238" s="5"/>
    </row>
    <row r="239" ht="15.75" customHeight="1">
      <c r="A239" s="5"/>
      <c r="B239" s="5"/>
      <c r="C239" s="5"/>
      <c r="D239" s="5"/>
      <c r="E239" s="5"/>
      <c r="F239" s="5"/>
      <c r="G239" s="5"/>
      <c r="H239" s="5"/>
      <c r="I239" s="5"/>
      <c r="J239" s="5"/>
      <c r="K239" s="5"/>
      <c r="L239" s="5"/>
      <c r="M239" s="5"/>
      <c r="N239" s="5"/>
      <c r="O239" s="5"/>
      <c r="P239" s="5"/>
      <c r="Q239" s="5"/>
      <c r="R239" s="5"/>
    </row>
    <row r="240" ht="15.75" customHeight="1">
      <c r="A240" s="5"/>
      <c r="B240" s="5"/>
      <c r="C240" s="5"/>
      <c r="D240" s="5"/>
      <c r="E240" s="5"/>
      <c r="F240" s="5"/>
      <c r="G240" s="5"/>
      <c r="H240" s="5"/>
      <c r="I240" s="5"/>
      <c r="J240" s="5"/>
      <c r="K240" s="5"/>
      <c r="L240" s="5"/>
      <c r="M240" s="5"/>
      <c r="N240" s="5"/>
      <c r="O240" s="5"/>
      <c r="P240" s="5"/>
      <c r="Q240" s="5"/>
      <c r="R240" s="5"/>
    </row>
    <row r="241" ht="15.75" customHeight="1">
      <c r="A241" s="5"/>
      <c r="B241" s="5"/>
      <c r="C241" s="5"/>
      <c r="D241" s="5"/>
      <c r="E241" s="5"/>
      <c r="F241" s="5"/>
      <c r="G241" s="5"/>
      <c r="H241" s="5"/>
      <c r="I241" s="5"/>
      <c r="J241" s="5"/>
      <c r="K241" s="5"/>
      <c r="L241" s="5"/>
      <c r="M241" s="5"/>
      <c r="N241" s="5"/>
      <c r="O241" s="5"/>
      <c r="P241" s="5"/>
      <c r="Q241" s="5"/>
      <c r="R241" s="5"/>
    </row>
    <row r="242" ht="15.75" customHeight="1">
      <c r="A242" s="5"/>
      <c r="B242" s="5"/>
      <c r="C242" s="5"/>
      <c r="D242" s="5"/>
      <c r="E242" s="5"/>
      <c r="F242" s="5"/>
      <c r="G242" s="5"/>
      <c r="H242" s="5"/>
      <c r="I242" s="5"/>
      <c r="J242" s="5"/>
      <c r="K242" s="5"/>
      <c r="L242" s="5"/>
      <c r="M242" s="5"/>
      <c r="N242" s="5"/>
      <c r="O242" s="5"/>
      <c r="P242" s="5"/>
      <c r="Q242" s="5"/>
      <c r="R242" s="5"/>
    </row>
    <row r="243" ht="15.75" customHeight="1">
      <c r="A243" s="5"/>
      <c r="B243" s="5"/>
      <c r="C243" s="5"/>
      <c r="D243" s="5"/>
      <c r="E243" s="5"/>
      <c r="F243" s="5"/>
      <c r="G243" s="5"/>
      <c r="H243" s="5"/>
      <c r="I243" s="5"/>
      <c r="J243" s="5"/>
      <c r="K243" s="5"/>
      <c r="L243" s="5"/>
      <c r="M243" s="5"/>
      <c r="N243" s="5"/>
      <c r="O243" s="5"/>
      <c r="P243" s="5"/>
      <c r="Q243" s="5"/>
      <c r="R243" s="5"/>
    </row>
    <row r="244" ht="15.75" customHeight="1">
      <c r="A244" s="5"/>
      <c r="B244" s="5"/>
      <c r="C244" s="5"/>
      <c r="D244" s="5"/>
      <c r="E244" s="5"/>
      <c r="F244" s="5"/>
      <c r="G244" s="5"/>
      <c r="H244" s="5"/>
      <c r="I244" s="5"/>
      <c r="J244" s="5"/>
      <c r="K244" s="5"/>
      <c r="L244" s="5"/>
      <c r="M244" s="5"/>
      <c r="N244" s="5"/>
      <c r="O244" s="5"/>
      <c r="P244" s="5"/>
      <c r="Q244" s="5"/>
      <c r="R244" s="5"/>
    </row>
    <row r="245" ht="15.75" customHeight="1">
      <c r="A245" s="5"/>
      <c r="B245" s="5"/>
      <c r="C245" s="5"/>
      <c r="D245" s="5"/>
      <c r="E245" s="5"/>
      <c r="F245" s="5"/>
      <c r="G245" s="5"/>
      <c r="H245" s="5"/>
      <c r="I245" s="5"/>
      <c r="J245" s="5"/>
      <c r="K245" s="5"/>
      <c r="L245" s="5"/>
      <c r="M245" s="5"/>
      <c r="N245" s="5"/>
      <c r="O245" s="5"/>
      <c r="P245" s="5"/>
      <c r="Q245" s="5"/>
      <c r="R245" s="5"/>
    </row>
    <row r="246" ht="15.75" customHeight="1">
      <c r="A246" s="5"/>
      <c r="B246" s="5"/>
      <c r="C246" s="5"/>
      <c r="D246" s="5"/>
      <c r="E246" s="5"/>
      <c r="F246" s="5"/>
      <c r="G246" s="5"/>
      <c r="H246" s="5"/>
      <c r="I246" s="5"/>
      <c r="J246" s="5"/>
      <c r="K246" s="5"/>
      <c r="L246" s="5"/>
      <c r="M246" s="5"/>
      <c r="N246" s="5"/>
      <c r="O246" s="5"/>
      <c r="P246" s="5"/>
      <c r="Q246" s="5"/>
      <c r="R246" s="5"/>
    </row>
    <row r="247" ht="15.75" customHeight="1">
      <c r="A247" s="5"/>
      <c r="B247" s="5"/>
      <c r="C247" s="5"/>
      <c r="D247" s="5"/>
      <c r="E247" s="5"/>
      <c r="F247" s="5"/>
      <c r="G247" s="5"/>
      <c r="H247" s="5"/>
      <c r="I247" s="5"/>
      <c r="J247" s="5"/>
      <c r="K247" s="5"/>
      <c r="L247" s="5"/>
      <c r="M247" s="5"/>
      <c r="N247" s="5"/>
      <c r="O247" s="5"/>
      <c r="P247" s="5"/>
      <c r="Q247" s="5"/>
      <c r="R247" s="5"/>
    </row>
    <row r="248" ht="15.75" customHeight="1">
      <c r="A248" s="5"/>
      <c r="B248" s="5"/>
      <c r="C248" s="5"/>
      <c r="D248" s="5"/>
      <c r="E248" s="5"/>
      <c r="F248" s="5"/>
      <c r="G248" s="5"/>
      <c r="H248" s="5"/>
      <c r="I248" s="5"/>
      <c r="J248" s="5"/>
      <c r="K248" s="5"/>
      <c r="L248" s="5"/>
      <c r="M248" s="5"/>
      <c r="N248" s="5"/>
      <c r="O248" s="5"/>
      <c r="P248" s="5"/>
      <c r="Q248" s="5"/>
      <c r="R248" s="5"/>
    </row>
    <row r="249" ht="15.75" customHeight="1">
      <c r="A249" s="5"/>
      <c r="B249" s="5"/>
      <c r="C249" s="5"/>
      <c r="D249" s="5"/>
      <c r="E249" s="5"/>
      <c r="F249" s="5"/>
      <c r="G249" s="5"/>
      <c r="H249" s="5"/>
      <c r="I249" s="5"/>
      <c r="J249" s="5"/>
      <c r="K249" s="5"/>
      <c r="L249" s="5"/>
      <c r="M249" s="5"/>
      <c r="N249" s="5"/>
      <c r="O249" s="5"/>
      <c r="P249" s="5"/>
      <c r="Q249" s="5"/>
      <c r="R249" s="5"/>
    </row>
    <row r="250" ht="15.75" customHeight="1">
      <c r="A250" s="5"/>
      <c r="B250" s="5"/>
      <c r="C250" s="5"/>
      <c r="D250" s="5"/>
      <c r="E250" s="5"/>
      <c r="F250" s="5"/>
      <c r="G250" s="5"/>
      <c r="H250" s="5"/>
      <c r="I250" s="5"/>
      <c r="J250" s="5"/>
      <c r="K250" s="5"/>
      <c r="L250" s="5"/>
      <c r="M250" s="5"/>
      <c r="N250" s="5"/>
      <c r="O250" s="5"/>
      <c r="P250" s="5"/>
      <c r="Q250" s="5"/>
      <c r="R250" s="5"/>
    </row>
    <row r="251" ht="15.75" customHeight="1">
      <c r="A251" s="5"/>
      <c r="B251" s="5"/>
      <c r="C251" s="5"/>
      <c r="D251" s="5"/>
      <c r="E251" s="5"/>
      <c r="F251" s="5"/>
      <c r="G251" s="5"/>
      <c r="H251" s="5"/>
      <c r="I251" s="5"/>
      <c r="J251" s="5"/>
      <c r="K251" s="5"/>
      <c r="L251" s="5"/>
      <c r="M251" s="5"/>
      <c r="N251" s="5"/>
      <c r="O251" s="5"/>
      <c r="P251" s="5"/>
      <c r="Q251" s="5"/>
      <c r="R251" s="5"/>
    </row>
    <row r="252" ht="15.75" customHeight="1">
      <c r="A252" s="5"/>
      <c r="B252" s="5"/>
      <c r="C252" s="5"/>
      <c r="D252" s="5"/>
      <c r="E252" s="5"/>
      <c r="F252" s="5"/>
      <c r="G252" s="5"/>
      <c r="H252" s="5"/>
      <c r="I252" s="5"/>
      <c r="J252" s="5"/>
      <c r="K252" s="5"/>
      <c r="L252" s="5"/>
      <c r="M252" s="5"/>
      <c r="N252" s="5"/>
      <c r="O252" s="5"/>
      <c r="P252" s="5"/>
      <c r="Q252" s="5"/>
      <c r="R252" s="5"/>
    </row>
    <row r="253" ht="15.75" customHeight="1">
      <c r="A253" s="5"/>
      <c r="B253" s="5"/>
      <c r="C253" s="5"/>
      <c r="D253" s="5"/>
      <c r="E253" s="5"/>
      <c r="F253" s="5"/>
      <c r="G253" s="5"/>
      <c r="H253" s="5"/>
      <c r="I253" s="5"/>
      <c r="J253" s="5"/>
      <c r="K253" s="5"/>
      <c r="L253" s="5"/>
      <c r="M253" s="5"/>
      <c r="N253" s="5"/>
      <c r="O253" s="5"/>
      <c r="P253" s="5"/>
      <c r="Q253" s="5"/>
      <c r="R253" s="5"/>
    </row>
    <row r="254" ht="15.75" customHeight="1">
      <c r="A254" s="5"/>
      <c r="B254" s="5"/>
      <c r="C254" s="5"/>
      <c r="D254" s="5"/>
      <c r="E254" s="5"/>
      <c r="F254" s="5"/>
      <c r="G254" s="5"/>
      <c r="H254" s="5"/>
      <c r="I254" s="5"/>
      <c r="J254" s="5"/>
      <c r="K254" s="5"/>
      <c r="L254" s="5"/>
      <c r="M254" s="5"/>
      <c r="N254" s="5"/>
      <c r="O254" s="5"/>
      <c r="P254" s="5"/>
      <c r="Q254" s="5"/>
      <c r="R254" s="5"/>
    </row>
    <row r="255" ht="15.75" customHeight="1">
      <c r="A255" s="5"/>
      <c r="B255" s="5"/>
      <c r="C255" s="5"/>
      <c r="D255" s="5"/>
      <c r="E255" s="5"/>
      <c r="F255" s="5"/>
      <c r="G255" s="5"/>
      <c r="H255" s="5"/>
      <c r="I255" s="5"/>
      <c r="J255" s="5"/>
      <c r="K255" s="5"/>
      <c r="L255" s="5"/>
      <c r="M255" s="5"/>
      <c r="N255" s="5"/>
      <c r="O255" s="5"/>
      <c r="P255" s="5"/>
      <c r="Q255" s="5"/>
      <c r="R255" s="5"/>
    </row>
    <row r="256" ht="15.75" customHeight="1">
      <c r="A256" s="5"/>
      <c r="B256" s="5"/>
      <c r="C256" s="5"/>
      <c r="D256" s="5"/>
      <c r="E256" s="5"/>
      <c r="F256" s="5"/>
      <c r="G256" s="5"/>
      <c r="H256" s="5"/>
      <c r="I256" s="5"/>
      <c r="J256" s="5"/>
      <c r="K256" s="5"/>
      <c r="L256" s="5"/>
      <c r="M256" s="5"/>
      <c r="N256" s="5"/>
      <c r="O256" s="5"/>
      <c r="P256" s="5"/>
      <c r="Q256" s="5"/>
      <c r="R256" s="5"/>
    </row>
    <row r="257" ht="15.75" customHeight="1">
      <c r="A257" s="5"/>
      <c r="B257" s="5"/>
      <c r="C257" s="5"/>
      <c r="D257" s="5"/>
      <c r="E257" s="5"/>
      <c r="F257" s="5"/>
      <c r="G257" s="5"/>
      <c r="H257" s="5"/>
      <c r="I257" s="5"/>
      <c r="J257" s="5"/>
      <c r="K257" s="5"/>
      <c r="L257" s="5"/>
      <c r="M257" s="5"/>
      <c r="N257" s="5"/>
      <c r="O257" s="5"/>
      <c r="P257" s="5"/>
      <c r="Q257" s="5"/>
      <c r="R257" s="5"/>
    </row>
    <row r="258" ht="15.75" customHeight="1">
      <c r="A258" s="5"/>
      <c r="B258" s="5"/>
      <c r="C258" s="5"/>
      <c r="D258" s="5"/>
      <c r="E258" s="5"/>
      <c r="F258" s="5"/>
      <c r="G258" s="5"/>
      <c r="H258" s="5"/>
      <c r="I258" s="5"/>
      <c r="J258" s="5"/>
      <c r="K258" s="5"/>
      <c r="L258" s="5"/>
      <c r="M258" s="5"/>
      <c r="N258" s="5"/>
      <c r="O258" s="5"/>
      <c r="P258" s="5"/>
      <c r="Q258" s="5"/>
      <c r="R258" s="5"/>
    </row>
    <row r="259" ht="15.75" customHeight="1">
      <c r="A259" s="5"/>
      <c r="B259" s="5"/>
      <c r="C259" s="5"/>
      <c r="D259" s="5"/>
      <c r="E259" s="5"/>
      <c r="F259" s="5"/>
      <c r="G259" s="5"/>
      <c r="H259" s="5"/>
      <c r="I259" s="5"/>
      <c r="J259" s="5"/>
      <c r="K259" s="5"/>
      <c r="L259" s="5"/>
      <c r="M259" s="5"/>
      <c r="N259" s="5"/>
      <c r="O259" s="5"/>
      <c r="P259" s="5"/>
      <c r="Q259" s="5"/>
      <c r="R259" s="5"/>
    </row>
    <row r="260" ht="15.75" customHeight="1">
      <c r="A260" s="5"/>
      <c r="B260" s="5"/>
      <c r="C260" s="5"/>
      <c r="D260" s="5"/>
      <c r="E260" s="5"/>
      <c r="F260" s="5"/>
      <c r="G260" s="5"/>
      <c r="H260" s="5"/>
      <c r="I260" s="5"/>
      <c r="J260" s="5"/>
      <c r="K260" s="5"/>
      <c r="L260" s="5"/>
      <c r="M260" s="5"/>
      <c r="N260" s="5"/>
      <c r="O260" s="5"/>
      <c r="P260" s="5"/>
      <c r="Q260" s="5"/>
      <c r="R260" s="5"/>
    </row>
    <row r="261" ht="15.75" customHeight="1">
      <c r="A261" s="5"/>
      <c r="B261" s="5"/>
      <c r="C261" s="5"/>
      <c r="D261" s="5"/>
      <c r="E261" s="5"/>
      <c r="F261" s="5"/>
      <c r="G261" s="5"/>
      <c r="H261" s="5"/>
      <c r="I261" s="5"/>
      <c r="J261" s="5"/>
      <c r="K261" s="5"/>
      <c r="L261" s="5"/>
      <c r="M261" s="5"/>
      <c r="N261" s="5"/>
      <c r="O261" s="5"/>
      <c r="P261" s="5"/>
      <c r="Q261" s="5"/>
      <c r="R261" s="5"/>
    </row>
    <row r="262" ht="15.75" customHeight="1">
      <c r="A262" s="5"/>
      <c r="B262" s="5"/>
      <c r="C262" s="5"/>
      <c r="D262" s="5"/>
      <c r="E262" s="5"/>
      <c r="F262" s="5"/>
      <c r="G262" s="5"/>
      <c r="H262" s="5"/>
      <c r="I262" s="5"/>
      <c r="J262" s="5"/>
      <c r="K262" s="5"/>
      <c r="L262" s="5"/>
      <c r="M262" s="5"/>
      <c r="N262" s="5"/>
      <c r="O262" s="5"/>
      <c r="P262" s="5"/>
      <c r="Q262" s="5"/>
      <c r="R262" s="5"/>
    </row>
    <row r="263" ht="15.75" customHeight="1">
      <c r="A263" s="5"/>
      <c r="B263" s="5"/>
      <c r="C263" s="5"/>
      <c r="D263" s="5"/>
      <c r="E263" s="5"/>
      <c r="F263" s="5"/>
      <c r="G263" s="5"/>
      <c r="H263" s="5"/>
      <c r="I263" s="5"/>
      <c r="J263" s="5"/>
      <c r="K263" s="5"/>
      <c r="L263" s="5"/>
      <c r="M263" s="5"/>
      <c r="N263" s="5"/>
      <c r="O263" s="5"/>
      <c r="P263" s="5"/>
      <c r="Q263" s="5"/>
      <c r="R263" s="5"/>
    </row>
    <row r="264" ht="15.75" customHeight="1">
      <c r="A264" s="5"/>
      <c r="B264" s="5"/>
      <c r="C264" s="5"/>
      <c r="D264" s="5"/>
      <c r="E264" s="5"/>
      <c r="F264" s="5"/>
      <c r="G264" s="5"/>
      <c r="H264" s="5"/>
      <c r="I264" s="5"/>
      <c r="J264" s="5"/>
      <c r="K264" s="5"/>
      <c r="L264" s="5"/>
      <c r="M264" s="5"/>
      <c r="N264" s="5"/>
      <c r="O264" s="5"/>
      <c r="P264" s="5"/>
      <c r="Q264" s="5"/>
      <c r="R264" s="5"/>
    </row>
    <row r="265" ht="15.75" customHeight="1">
      <c r="A265" s="5"/>
      <c r="B265" s="5"/>
      <c r="C265" s="5"/>
      <c r="D265" s="5"/>
      <c r="E265" s="5"/>
      <c r="F265" s="5"/>
      <c r="G265" s="5"/>
      <c r="H265" s="5"/>
      <c r="I265" s="5"/>
      <c r="J265" s="5"/>
      <c r="K265" s="5"/>
      <c r="L265" s="5"/>
      <c r="M265" s="5"/>
      <c r="N265" s="5"/>
      <c r="O265" s="5"/>
      <c r="P265" s="5"/>
      <c r="Q265" s="5"/>
      <c r="R265" s="5"/>
    </row>
    <row r="266" ht="15.75" customHeight="1">
      <c r="A266" s="5"/>
      <c r="B266" s="5"/>
      <c r="C266" s="5"/>
      <c r="D266" s="5"/>
      <c r="E266" s="5"/>
      <c r="F266" s="5"/>
      <c r="G266" s="5"/>
      <c r="H266" s="5"/>
      <c r="I266" s="5"/>
      <c r="J266" s="5"/>
      <c r="K266" s="5"/>
      <c r="L266" s="5"/>
      <c r="M266" s="5"/>
      <c r="N266" s="5"/>
      <c r="O266" s="5"/>
      <c r="P266" s="5"/>
      <c r="Q266" s="5"/>
      <c r="R266" s="5"/>
    </row>
    <row r="267" ht="15.75" customHeight="1">
      <c r="A267" s="5"/>
      <c r="B267" s="5"/>
      <c r="C267" s="5"/>
      <c r="D267" s="5"/>
      <c r="E267" s="5"/>
      <c r="F267" s="5"/>
      <c r="G267" s="5"/>
      <c r="H267" s="5"/>
      <c r="I267" s="5"/>
      <c r="J267" s="5"/>
      <c r="K267" s="5"/>
      <c r="L267" s="5"/>
      <c r="M267" s="5"/>
      <c r="N267" s="5"/>
      <c r="O267" s="5"/>
      <c r="P267" s="5"/>
      <c r="Q267" s="5"/>
      <c r="R267" s="5"/>
    </row>
    <row r="268" ht="15.75" customHeight="1">
      <c r="A268" s="5"/>
      <c r="B268" s="5"/>
      <c r="C268" s="5"/>
      <c r="D268" s="5"/>
      <c r="E268" s="5"/>
      <c r="F268" s="5"/>
      <c r="G268" s="5"/>
      <c r="H268" s="5"/>
      <c r="I268" s="5"/>
      <c r="J268" s="5"/>
      <c r="K268" s="5"/>
      <c r="L268" s="5"/>
      <c r="M268" s="5"/>
      <c r="N268" s="5"/>
      <c r="O268" s="5"/>
      <c r="P268" s="5"/>
      <c r="Q268" s="5"/>
      <c r="R268" s="5"/>
    </row>
    <row r="269" ht="15.75" customHeight="1">
      <c r="A269" s="5"/>
      <c r="B269" s="5"/>
      <c r="C269" s="5"/>
      <c r="D269" s="5"/>
      <c r="E269" s="5"/>
      <c r="F269" s="5"/>
      <c r="G269" s="5"/>
      <c r="H269" s="5"/>
      <c r="I269" s="5"/>
      <c r="J269" s="5"/>
      <c r="K269" s="5"/>
      <c r="L269" s="5"/>
      <c r="M269" s="5"/>
      <c r="N269" s="5"/>
      <c r="O269" s="5"/>
      <c r="P269" s="5"/>
      <c r="Q269" s="5"/>
      <c r="R269" s="5"/>
    </row>
    <row r="270" ht="15.75" customHeight="1">
      <c r="A270" s="5"/>
      <c r="B270" s="5"/>
      <c r="C270" s="5"/>
      <c r="D270" s="5"/>
      <c r="E270" s="5"/>
      <c r="F270" s="5"/>
      <c r="G270" s="5"/>
      <c r="H270" s="5"/>
      <c r="I270" s="5"/>
      <c r="J270" s="5"/>
      <c r="K270" s="5"/>
      <c r="L270" s="5"/>
      <c r="M270" s="5"/>
      <c r="N270" s="5"/>
      <c r="O270" s="5"/>
      <c r="P270" s="5"/>
      <c r="Q270" s="5"/>
      <c r="R270" s="5"/>
    </row>
    <row r="271" ht="15.75" customHeight="1">
      <c r="A271" s="5"/>
      <c r="B271" s="5"/>
      <c r="C271" s="5"/>
      <c r="D271" s="5"/>
      <c r="E271" s="5"/>
      <c r="F271" s="5"/>
      <c r="G271" s="5"/>
      <c r="H271" s="5"/>
      <c r="I271" s="5"/>
      <c r="J271" s="5"/>
      <c r="K271" s="5"/>
      <c r="L271" s="5"/>
      <c r="M271" s="5"/>
      <c r="N271" s="5"/>
      <c r="O271" s="5"/>
      <c r="P271" s="5"/>
      <c r="Q271" s="5"/>
      <c r="R271" s="5"/>
    </row>
    <row r="272" ht="15.75" customHeight="1">
      <c r="A272" s="5"/>
      <c r="B272" s="5"/>
      <c r="C272" s="5"/>
      <c r="D272" s="5"/>
      <c r="E272" s="5"/>
      <c r="F272" s="5"/>
      <c r="G272" s="5"/>
      <c r="H272" s="5"/>
      <c r="I272" s="5"/>
      <c r="J272" s="5"/>
      <c r="K272" s="5"/>
      <c r="L272" s="5"/>
      <c r="M272" s="5"/>
      <c r="N272" s="5"/>
      <c r="O272" s="5"/>
      <c r="P272" s="5"/>
      <c r="Q272" s="5"/>
      <c r="R272" s="5"/>
    </row>
    <row r="273" ht="15.75" customHeight="1">
      <c r="A273" s="5"/>
      <c r="B273" s="5"/>
      <c r="C273" s="5"/>
      <c r="D273" s="5"/>
      <c r="E273" s="5"/>
      <c r="F273" s="5"/>
      <c r="G273" s="5"/>
      <c r="H273" s="5"/>
      <c r="I273" s="5"/>
      <c r="J273" s="5"/>
      <c r="K273" s="5"/>
      <c r="L273" s="5"/>
      <c r="M273" s="5"/>
      <c r="N273" s="5"/>
      <c r="O273" s="5"/>
      <c r="P273" s="5"/>
      <c r="Q273" s="5"/>
      <c r="R273" s="5"/>
    </row>
    <row r="274" ht="15.75" customHeight="1">
      <c r="A274" s="5"/>
      <c r="B274" s="5"/>
      <c r="C274" s="5"/>
      <c r="D274" s="5"/>
      <c r="E274" s="5"/>
      <c r="F274" s="5"/>
      <c r="G274" s="5"/>
      <c r="H274" s="5"/>
      <c r="I274" s="5"/>
      <c r="J274" s="5"/>
      <c r="K274" s="5"/>
      <c r="L274" s="5"/>
      <c r="M274" s="5"/>
      <c r="N274" s="5"/>
      <c r="O274" s="5"/>
      <c r="P274" s="5"/>
      <c r="Q274" s="5"/>
      <c r="R274" s="5"/>
    </row>
    <row r="275" ht="15.75" customHeight="1">
      <c r="A275" s="5"/>
      <c r="B275" s="5"/>
      <c r="C275" s="5"/>
      <c r="D275" s="5"/>
      <c r="E275" s="5"/>
      <c r="F275" s="5"/>
      <c r="G275" s="5"/>
      <c r="H275" s="5"/>
      <c r="I275" s="5"/>
      <c r="J275" s="5"/>
      <c r="K275" s="5"/>
      <c r="L275" s="5"/>
      <c r="M275" s="5"/>
      <c r="N275" s="5"/>
      <c r="O275" s="5"/>
      <c r="P275" s="5"/>
      <c r="Q275" s="5"/>
      <c r="R275" s="5"/>
    </row>
    <row r="276" ht="15.75" customHeight="1">
      <c r="A276" s="5"/>
      <c r="B276" s="5"/>
      <c r="C276" s="5"/>
      <c r="D276" s="5"/>
      <c r="E276" s="5"/>
      <c r="F276" s="5"/>
      <c r="G276" s="5"/>
      <c r="H276" s="5"/>
      <c r="I276" s="5"/>
      <c r="J276" s="5"/>
      <c r="K276" s="5"/>
      <c r="L276" s="5"/>
      <c r="M276" s="5"/>
      <c r="N276" s="5"/>
      <c r="O276" s="5"/>
      <c r="P276" s="5"/>
      <c r="Q276" s="5"/>
      <c r="R276" s="5"/>
    </row>
    <row r="277" ht="15.75" customHeight="1">
      <c r="A277" s="5"/>
      <c r="B277" s="5"/>
      <c r="C277" s="5"/>
      <c r="D277" s="5"/>
      <c r="E277" s="5"/>
      <c r="F277" s="5"/>
      <c r="G277" s="5"/>
      <c r="H277" s="5"/>
      <c r="I277" s="5"/>
      <c r="J277" s="5"/>
      <c r="K277" s="5"/>
      <c r="L277" s="5"/>
      <c r="M277" s="5"/>
      <c r="N277" s="5"/>
      <c r="O277" s="5"/>
      <c r="P277" s="5"/>
      <c r="Q277" s="5"/>
      <c r="R277" s="5"/>
    </row>
    <row r="278" ht="15.75" customHeight="1">
      <c r="A278" s="5"/>
      <c r="B278" s="5"/>
      <c r="C278" s="5"/>
      <c r="D278" s="5"/>
      <c r="E278" s="5"/>
      <c r="F278" s="5"/>
      <c r="G278" s="5"/>
      <c r="H278" s="5"/>
      <c r="I278" s="5"/>
      <c r="J278" s="5"/>
      <c r="K278" s="5"/>
      <c r="L278" s="5"/>
      <c r="M278" s="5"/>
      <c r="N278" s="5"/>
      <c r="O278" s="5"/>
      <c r="P278" s="5"/>
      <c r="Q278" s="5"/>
      <c r="R278" s="5"/>
    </row>
    <row r="279" ht="15.75" customHeight="1">
      <c r="A279" s="5"/>
      <c r="B279" s="5"/>
      <c r="C279" s="5"/>
      <c r="D279" s="5"/>
      <c r="E279" s="5"/>
      <c r="F279" s="5"/>
      <c r="G279" s="5"/>
      <c r="H279" s="5"/>
      <c r="I279" s="5"/>
      <c r="J279" s="5"/>
      <c r="K279" s="5"/>
      <c r="L279" s="5"/>
      <c r="M279" s="5"/>
      <c r="N279" s="5"/>
      <c r="O279" s="5"/>
      <c r="P279" s="5"/>
      <c r="Q279" s="5"/>
      <c r="R279" s="5"/>
    </row>
    <row r="280" ht="15.75" customHeight="1">
      <c r="A280" s="5"/>
      <c r="B280" s="5"/>
      <c r="C280" s="5"/>
      <c r="D280" s="5"/>
      <c r="E280" s="5"/>
      <c r="F280" s="5"/>
      <c r="G280" s="5"/>
      <c r="H280" s="5"/>
      <c r="I280" s="5"/>
      <c r="J280" s="5"/>
      <c r="K280" s="5"/>
      <c r="L280" s="5"/>
      <c r="M280" s="5"/>
      <c r="N280" s="5"/>
      <c r="O280" s="5"/>
      <c r="P280" s="5"/>
      <c r="Q280" s="5"/>
      <c r="R280" s="5"/>
    </row>
    <row r="281" ht="15.75" customHeight="1">
      <c r="A281" s="5"/>
      <c r="B281" s="5"/>
      <c r="C281" s="5"/>
      <c r="D281" s="5"/>
      <c r="E281" s="5"/>
      <c r="F281" s="5"/>
      <c r="G281" s="5"/>
      <c r="H281" s="5"/>
      <c r="I281" s="5"/>
      <c r="J281" s="5"/>
      <c r="K281" s="5"/>
      <c r="L281" s="5"/>
      <c r="M281" s="5"/>
      <c r="N281" s="5"/>
      <c r="O281" s="5"/>
      <c r="P281" s="5"/>
      <c r="Q281" s="5"/>
      <c r="R281" s="5"/>
    </row>
    <row r="282" ht="15.75" customHeight="1">
      <c r="A282" s="5"/>
      <c r="B282" s="5"/>
      <c r="C282" s="5"/>
      <c r="D282" s="5"/>
      <c r="E282" s="5"/>
      <c r="F282" s="5"/>
      <c r="G282" s="5"/>
      <c r="H282" s="5"/>
      <c r="I282" s="5"/>
      <c r="J282" s="5"/>
      <c r="K282" s="5"/>
      <c r="L282" s="5"/>
      <c r="M282" s="5"/>
      <c r="N282" s="5"/>
      <c r="O282" s="5"/>
      <c r="P282" s="5"/>
      <c r="Q282" s="5"/>
      <c r="R282" s="5"/>
    </row>
    <row r="283" ht="15.75" customHeight="1">
      <c r="A283" s="5"/>
      <c r="B283" s="5"/>
      <c r="C283" s="5"/>
      <c r="D283" s="5"/>
      <c r="E283" s="5"/>
      <c r="F283" s="5"/>
      <c r="G283" s="5"/>
      <c r="H283" s="5"/>
      <c r="I283" s="5"/>
      <c r="J283" s="5"/>
      <c r="K283" s="5"/>
      <c r="L283" s="5"/>
      <c r="M283" s="5"/>
      <c r="N283" s="5"/>
      <c r="O283" s="5"/>
      <c r="P283" s="5"/>
      <c r="Q283" s="5"/>
      <c r="R283" s="5"/>
    </row>
    <row r="284" ht="15.75" customHeight="1">
      <c r="A284" s="5"/>
      <c r="B284" s="5"/>
      <c r="C284" s="5"/>
      <c r="D284" s="5"/>
      <c r="E284" s="5"/>
      <c r="F284" s="5"/>
      <c r="G284" s="5"/>
      <c r="H284" s="5"/>
      <c r="I284" s="5"/>
      <c r="J284" s="5"/>
      <c r="K284" s="5"/>
      <c r="L284" s="5"/>
      <c r="M284" s="5"/>
      <c r="N284" s="5"/>
      <c r="O284" s="5"/>
      <c r="P284" s="5"/>
      <c r="Q284" s="5"/>
      <c r="R284" s="5"/>
    </row>
    <row r="285" ht="15.75" customHeight="1">
      <c r="A285" s="5"/>
      <c r="B285" s="5"/>
      <c r="C285" s="5"/>
      <c r="D285" s="5"/>
      <c r="E285" s="5"/>
      <c r="F285" s="5"/>
      <c r="G285" s="5"/>
      <c r="H285" s="5"/>
      <c r="I285" s="5"/>
      <c r="J285" s="5"/>
      <c r="K285" s="5"/>
      <c r="L285" s="5"/>
      <c r="M285" s="5"/>
      <c r="N285" s="5"/>
      <c r="O285" s="5"/>
      <c r="P285" s="5"/>
      <c r="Q285" s="5"/>
      <c r="R285" s="5"/>
    </row>
    <row r="286" ht="15.75" customHeight="1">
      <c r="A286" s="5"/>
      <c r="B286" s="5"/>
      <c r="C286" s="5"/>
      <c r="D286" s="5"/>
      <c r="E286" s="5"/>
      <c r="F286" s="5"/>
      <c r="G286" s="5"/>
      <c r="H286" s="5"/>
      <c r="I286" s="5"/>
      <c r="J286" s="5"/>
      <c r="K286" s="5"/>
      <c r="L286" s="5"/>
      <c r="M286" s="5"/>
      <c r="N286" s="5"/>
      <c r="O286" s="5"/>
      <c r="P286" s="5"/>
      <c r="Q286" s="5"/>
      <c r="R286" s="5"/>
    </row>
    <row r="287" ht="15.75" customHeight="1">
      <c r="A287" s="5"/>
      <c r="B287" s="5"/>
      <c r="C287" s="5"/>
      <c r="D287" s="5"/>
      <c r="E287" s="5"/>
      <c r="F287" s="5"/>
      <c r="G287" s="5"/>
      <c r="H287" s="5"/>
      <c r="I287" s="5"/>
      <c r="J287" s="5"/>
      <c r="K287" s="5"/>
      <c r="L287" s="5"/>
      <c r="M287" s="5"/>
      <c r="N287" s="5"/>
      <c r="O287" s="5"/>
      <c r="P287" s="5"/>
      <c r="Q287" s="5"/>
      <c r="R287" s="5"/>
    </row>
    <row r="288" ht="15.75" customHeight="1">
      <c r="A288" s="5"/>
      <c r="B288" s="5"/>
      <c r="C288" s="5"/>
      <c r="D288" s="5"/>
      <c r="E288" s="5"/>
      <c r="F288" s="5"/>
      <c r="G288" s="5"/>
      <c r="H288" s="5"/>
      <c r="I288" s="5"/>
      <c r="J288" s="5"/>
      <c r="K288" s="5"/>
      <c r="L288" s="5"/>
      <c r="M288" s="5"/>
      <c r="N288" s="5"/>
      <c r="O288" s="5"/>
      <c r="P288" s="5"/>
      <c r="Q288" s="5"/>
      <c r="R288" s="5"/>
    </row>
    <row r="289" ht="15.75" customHeight="1">
      <c r="A289" s="5"/>
      <c r="B289" s="5"/>
      <c r="C289" s="5"/>
      <c r="D289" s="5"/>
      <c r="E289" s="5"/>
      <c r="F289" s="5"/>
      <c r="G289" s="5"/>
      <c r="H289" s="5"/>
      <c r="I289" s="5"/>
      <c r="J289" s="5"/>
      <c r="K289" s="5"/>
      <c r="L289" s="5"/>
      <c r="M289" s="5"/>
      <c r="N289" s="5"/>
      <c r="O289" s="5"/>
      <c r="P289" s="5"/>
      <c r="Q289" s="5"/>
      <c r="R289" s="5"/>
    </row>
    <row r="290" ht="15.75" customHeight="1">
      <c r="A290" s="5"/>
      <c r="B290" s="5"/>
      <c r="C290" s="5"/>
      <c r="D290" s="5"/>
      <c r="E290" s="5"/>
      <c r="F290" s="5"/>
      <c r="G290" s="5"/>
      <c r="H290" s="5"/>
      <c r="I290" s="5"/>
      <c r="J290" s="5"/>
      <c r="K290" s="5"/>
      <c r="L290" s="5"/>
      <c r="M290" s="5"/>
      <c r="N290" s="5"/>
      <c r="O290" s="5"/>
      <c r="P290" s="5"/>
      <c r="Q290" s="5"/>
      <c r="R290" s="5"/>
    </row>
    <row r="291" ht="15.75" customHeight="1">
      <c r="A291" s="5"/>
      <c r="B291" s="5"/>
      <c r="C291" s="5"/>
      <c r="D291" s="5"/>
      <c r="E291" s="5"/>
      <c r="F291" s="5"/>
      <c r="G291" s="5"/>
      <c r="H291" s="5"/>
      <c r="I291" s="5"/>
      <c r="J291" s="5"/>
      <c r="K291" s="5"/>
      <c r="L291" s="5"/>
      <c r="M291" s="5"/>
      <c r="N291" s="5"/>
      <c r="O291" s="5"/>
      <c r="P291" s="5"/>
      <c r="Q291" s="5"/>
      <c r="R291" s="5"/>
    </row>
    <row r="292" ht="15.75" customHeight="1">
      <c r="A292" s="5"/>
      <c r="B292" s="5"/>
      <c r="C292" s="5"/>
      <c r="D292" s="5"/>
      <c r="E292" s="5"/>
      <c r="F292" s="5"/>
      <c r="G292" s="5"/>
      <c r="H292" s="5"/>
      <c r="I292" s="5"/>
      <c r="J292" s="5"/>
      <c r="K292" s="5"/>
      <c r="L292" s="5"/>
      <c r="M292" s="5"/>
      <c r="N292" s="5"/>
      <c r="O292" s="5"/>
      <c r="P292" s="5"/>
      <c r="Q292" s="5"/>
      <c r="R292" s="5"/>
    </row>
    <row r="293" ht="15.75" customHeight="1">
      <c r="A293" s="5"/>
      <c r="B293" s="5"/>
      <c r="C293" s="5"/>
      <c r="D293" s="5"/>
      <c r="E293" s="5"/>
      <c r="F293" s="5"/>
      <c r="G293" s="5"/>
      <c r="H293" s="5"/>
      <c r="I293" s="5"/>
      <c r="J293" s="5"/>
      <c r="K293" s="5"/>
      <c r="L293" s="5"/>
      <c r="M293" s="5"/>
      <c r="N293" s="5"/>
      <c r="O293" s="5"/>
      <c r="P293" s="5"/>
      <c r="Q293" s="5"/>
      <c r="R293" s="5"/>
    </row>
    <row r="294" ht="15.75" customHeight="1">
      <c r="A294" s="5"/>
      <c r="B294" s="5"/>
      <c r="C294" s="5"/>
      <c r="D294" s="5"/>
      <c r="E294" s="5"/>
      <c r="F294" s="5"/>
      <c r="G294" s="5"/>
      <c r="H294" s="5"/>
      <c r="I294" s="5"/>
      <c r="J294" s="5"/>
      <c r="K294" s="5"/>
      <c r="L294" s="5"/>
      <c r="M294" s="5"/>
      <c r="N294" s="5"/>
      <c r="O294" s="5"/>
      <c r="P294" s="5"/>
      <c r="Q294" s="5"/>
      <c r="R294" s="5"/>
    </row>
    <row r="295" ht="15.75" customHeight="1">
      <c r="A295" s="5"/>
      <c r="B295" s="5"/>
      <c r="C295" s="5"/>
      <c r="D295" s="5"/>
      <c r="E295" s="5"/>
      <c r="F295" s="5"/>
      <c r="G295" s="5"/>
      <c r="H295" s="5"/>
      <c r="I295" s="5"/>
      <c r="J295" s="5"/>
      <c r="K295" s="5"/>
      <c r="L295" s="5"/>
      <c r="M295" s="5"/>
      <c r="N295" s="5"/>
      <c r="O295" s="5"/>
      <c r="P295" s="5"/>
      <c r="Q295" s="5"/>
      <c r="R295" s="5"/>
    </row>
    <row r="296" ht="15.75" customHeight="1">
      <c r="A296" s="5"/>
      <c r="B296" s="5"/>
      <c r="C296" s="5"/>
      <c r="D296" s="5"/>
      <c r="E296" s="5"/>
      <c r="F296" s="5"/>
      <c r="G296" s="5"/>
      <c r="H296" s="5"/>
      <c r="I296" s="5"/>
      <c r="J296" s="5"/>
      <c r="K296" s="5"/>
      <c r="L296" s="5"/>
      <c r="M296" s="5"/>
      <c r="N296" s="5"/>
      <c r="O296" s="5"/>
      <c r="P296" s="5"/>
      <c r="Q296" s="5"/>
      <c r="R296" s="5"/>
    </row>
    <row r="297" ht="15.75" customHeight="1">
      <c r="A297" s="5"/>
      <c r="B297" s="5"/>
      <c r="C297" s="5"/>
      <c r="D297" s="5"/>
      <c r="E297" s="5"/>
      <c r="F297" s="5"/>
      <c r="G297" s="5"/>
      <c r="H297" s="5"/>
      <c r="I297" s="5"/>
      <c r="J297" s="5"/>
      <c r="K297" s="5"/>
      <c r="L297" s="5"/>
      <c r="M297" s="5"/>
      <c r="N297" s="5"/>
      <c r="O297" s="5"/>
      <c r="P297" s="5"/>
      <c r="Q297" s="5"/>
      <c r="R297" s="5"/>
    </row>
    <row r="298" ht="15.75" customHeight="1">
      <c r="A298" s="5"/>
      <c r="B298" s="5"/>
      <c r="C298" s="5"/>
      <c r="D298" s="5"/>
      <c r="E298" s="5"/>
      <c r="F298" s="5"/>
      <c r="G298" s="5"/>
      <c r="H298" s="5"/>
      <c r="I298" s="5"/>
      <c r="J298" s="5"/>
      <c r="K298" s="5"/>
      <c r="L298" s="5"/>
      <c r="M298" s="5"/>
      <c r="N298" s="5"/>
      <c r="O298" s="5"/>
      <c r="P298" s="5"/>
      <c r="Q298" s="5"/>
      <c r="R298" s="5"/>
    </row>
    <row r="299" ht="15.75" customHeight="1">
      <c r="A299" s="5"/>
      <c r="B299" s="5"/>
      <c r="C299" s="5"/>
      <c r="D299" s="5"/>
      <c r="E299" s="5"/>
      <c r="F299" s="5"/>
      <c r="G299" s="5"/>
      <c r="H299" s="5"/>
      <c r="I299" s="5"/>
      <c r="J299" s="5"/>
      <c r="K299" s="5"/>
      <c r="L299" s="5"/>
      <c r="M299" s="5"/>
      <c r="N299" s="5"/>
      <c r="O299" s="5"/>
      <c r="P299" s="5"/>
      <c r="Q299" s="5"/>
      <c r="R299" s="5"/>
    </row>
    <row r="300" ht="15.75" customHeight="1">
      <c r="A300" s="5"/>
      <c r="B300" s="5"/>
      <c r="C300" s="5"/>
      <c r="D300" s="5"/>
      <c r="E300" s="5"/>
      <c r="F300" s="5"/>
      <c r="G300" s="5"/>
      <c r="H300" s="5"/>
      <c r="I300" s="5"/>
      <c r="J300" s="5"/>
      <c r="K300" s="5"/>
      <c r="L300" s="5"/>
      <c r="M300" s="5"/>
      <c r="N300" s="5"/>
      <c r="O300" s="5"/>
      <c r="P300" s="5"/>
      <c r="Q300" s="5"/>
      <c r="R300" s="5"/>
    </row>
    <row r="301" ht="15.75" customHeight="1">
      <c r="A301" s="5"/>
      <c r="B301" s="5"/>
      <c r="C301" s="5"/>
      <c r="D301" s="5"/>
      <c r="E301" s="5"/>
      <c r="F301" s="5"/>
      <c r="G301" s="5"/>
      <c r="H301" s="5"/>
      <c r="I301" s="5"/>
      <c r="J301" s="5"/>
      <c r="K301" s="5"/>
      <c r="L301" s="5"/>
      <c r="M301" s="5"/>
      <c r="N301" s="5"/>
      <c r="O301" s="5"/>
      <c r="P301" s="5"/>
      <c r="Q301" s="5"/>
      <c r="R301" s="5"/>
    </row>
    <row r="302" ht="15.75" customHeight="1">
      <c r="A302" s="5"/>
      <c r="B302" s="5"/>
      <c r="C302" s="5"/>
      <c r="D302" s="5"/>
      <c r="E302" s="5"/>
      <c r="F302" s="5"/>
      <c r="G302" s="5"/>
      <c r="H302" s="5"/>
      <c r="I302" s="5"/>
      <c r="J302" s="5"/>
      <c r="K302" s="5"/>
      <c r="L302" s="5"/>
      <c r="M302" s="5"/>
      <c r="N302" s="5"/>
      <c r="O302" s="5"/>
      <c r="P302" s="5"/>
      <c r="Q302" s="5"/>
      <c r="R302" s="5"/>
    </row>
    <row r="303" ht="15.75" customHeight="1">
      <c r="A303" s="5"/>
      <c r="B303" s="5"/>
      <c r="C303" s="5"/>
      <c r="D303" s="5"/>
      <c r="E303" s="5"/>
      <c r="F303" s="5"/>
      <c r="G303" s="5"/>
      <c r="H303" s="5"/>
      <c r="I303" s="5"/>
      <c r="J303" s="5"/>
      <c r="K303" s="5"/>
      <c r="L303" s="5"/>
      <c r="M303" s="5"/>
      <c r="N303" s="5"/>
      <c r="O303" s="5"/>
      <c r="P303" s="5"/>
      <c r="Q303" s="5"/>
      <c r="R303" s="5"/>
    </row>
    <row r="304" ht="15.75" customHeight="1">
      <c r="A304" s="5"/>
      <c r="B304" s="5"/>
      <c r="C304" s="5"/>
      <c r="D304" s="5"/>
      <c r="E304" s="5"/>
      <c r="F304" s="5"/>
      <c r="G304" s="5"/>
      <c r="H304" s="5"/>
      <c r="I304" s="5"/>
      <c r="J304" s="5"/>
      <c r="K304" s="5"/>
      <c r="L304" s="5"/>
      <c r="M304" s="5"/>
      <c r="N304" s="5"/>
      <c r="O304" s="5"/>
      <c r="P304" s="5"/>
      <c r="Q304" s="5"/>
      <c r="R304" s="5"/>
    </row>
    <row r="305" ht="15.75" customHeight="1">
      <c r="A305" s="5"/>
      <c r="B305" s="5"/>
      <c r="C305" s="5"/>
      <c r="D305" s="5"/>
      <c r="E305" s="5"/>
      <c r="F305" s="5"/>
      <c r="G305" s="5"/>
      <c r="H305" s="5"/>
      <c r="I305" s="5"/>
      <c r="J305" s="5"/>
      <c r="K305" s="5"/>
      <c r="L305" s="5"/>
      <c r="M305" s="5"/>
      <c r="N305" s="5"/>
      <c r="O305" s="5"/>
      <c r="P305" s="5"/>
      <c r="Q305" s="5"/>
      <c r="R305" s="5"/>
    </row>
    <row r="306" ht="15.75" customHeight="1">
      <c r="A306" s="5"/>
      <c r="B306" s="5"/>
      <c r="C306" s="5"/>
      <c r="D306" s="5"/>
      <c r="E306" s="5"/>
      <c r="F306" s="5"/>
      <c r="G306" s="5"/>
      <c r="H306" s="5"/>
      <c r="I306" s="5"/>
      <c r="J306" s="5"/>
      <c r="K306" s="5"/>
      <c r="L306" s="5"/>
      <c r="M306" s="5"/>
      <c r="N306" s="5"/>
      <c r="O306" s="5"/>
      <c r="P306" s="5"/>
      <c r="Q306" s="5"/>
      <c r="R306" s="5"/>
    </row>
    <row r="307" ht="15.75" customHeight="1">
      <c r="A307" s="5"/>
      <c r="B307" s="5"/>
      <c r="C307" s="5"/>
      <c r="D307" s="5"/>
      <c r="E307" s="5"/>
      <c r="F307" s="5"/>
      <c r="G307" s="5"/>
      <c r="H307" s="5"/>
      <c r="I307" s="5"/>
      <c r="J307" s="5"/>
      <c r="K307" s="5"/>
      <c r="L307" s="5"/>
      <c r="M307" s="5"/>
      <c r="N307" s="5"/>
      <c r="O307" s="5"/>
      <c r="P307" s="5"/>
      <c r="Q307" s="5"/>
      <c r="R307" s="5"/>
    </row>
    <row r="308" ht="15.75" customHeight="1">
      <c r="A308" s="5"/>
      <c r="B308" s="5"/>
      <c r="C308" s="5"/>
      <c r="D308" s="5"/>
      <c r="E308" s="5"/>
      <c r="F308" s="5"/>
      <c r="G308" s="5"/>
      <c r="H308" s="5"/>
      <c r="I308" s="5"/>
      <c r="J308" s="5"/>
      <c r="K308" s="5"/>
      <c r="L308" s="5"/>
      <c r="M308" s="5"/>
      <c r="N308" s="5"/>
      <c r="O308" s="5"/>
      <c r="P308" s="5"/>
      <c r="Q308" s="5"/>
      <c r="R308" s="5"/>
    </row>
    <row r="309" ht="15.75" customHeight="1">
      <c r="A309" s="5"/>
      <c r="B309" s="5"/>
      <c r="C309" s="5"/>
      <c r="D309" s="5"/>
      <c r="E309" s="5"/>
      <c r="F309" s="5"/>
      <c r="G309" s="5"/>
      <c r="H309" s="5"/>
      <c r="I309" s="5"/>
      <c r="J309" s="5"/>
      <c r="K309" s="5"/>
      <c r="L309" s="5"/>
      <c r="M309" s="5"/>
      <c r="N309" s="5"/>
      <c r="O309" s="5"/>
      <c r="P309" s="5"/>
      <c r="Q309" s="5"/>
      <c r="R309" s="5"/>
    </row>
    <row r="310" ht="15.75" customHeight="1">
      <c r="A310" s="5"/>
      <c r="B310" s="5"/>
      <c r="C310" s="5"/>
      <c r="D310" s="5"/>
      <c r="E310" s="5"/>
      <c r="F310" s="5"/>
      <c r="G310" s="5"/>
      <c r="H310" s="5"/>
      <c r="I310" s="5"/>
      <c r="J310" s="5"/>
      <c r="K310" s="5"/>
      <c r="L310" s="5"/>
      <c r="M310" s="5"/>
      <c r="N310" s="5"/>
      <c r="O310" s="5"/>
      <c r="P310" s="5"/>
      <c r="Q310" s="5"/>
      <c r="R310" s="5"/>
    </row>
    <row r="311" ht="15.75" customHeight="1">
      <c r="A311" s="5"/>
      <c r="B311" s="5"/>
      <c r="C311" s="5"/>
      <c r="D311" s="5"/>
      <c r="E311" s="5"/>
      <c r="F311" s="5"/>
      <c r="G311" s="5"/>
      <c r="H311" s="5"/>
      <c r="I311" s="5"/>
      <c r="J311" s="5"/>
      <c r="K311" s="5"/>
      <c r="L311" s="5"/>
      <c r="M311" s="5"/>
      <c r="N311" s="5"/>
      <c r="O311" s="5"/>
      <c r="P311" s="5"/>
      <c r="Q311" s="5"/>
      <c r="R311" s="5"/>
    </row>
    <row r="312" ht="15.75" customHeight="1">
      <c r="A312" s="5"/>
      <c r="B312" s="5"/>
      <c r="C312" s="5"/>
      <c r="D312" s="5"/>
      <c r="E312" s="5"/>
      <c r="F312" s="5"/>
      <c r="G312" s="5"/>
      <c r="H312" s="5"/>
      <c r="I312" s="5"/>
      <c r="J312" s="5"/>
      <c r="K312" s="5"/>
      <c r="L312" s="5"/>
      <c r="M312" s="5"/>
      <c r="N312" s="5"/>
      <c r="O312" s="5"/>
      <c r="P312" s="5"/>
      <c r="Q312" s="5"/>
      <c r="R312" s="5"/>
    </row>
    <row r="313" ht="15.75" customHeight="1">
      <c r="A313" s="5"/>
      <c r="B313" s="5"/>
      <c r="C313" s="5"/>
      <c r="D313" s="5"/>
      <c r="E313" s="5"/>
      <c r="F313" s="5"/>
      <c r="G313" s="5"/>
      <c r="H313" s="5"/>
      <c r="I313" s="5"/>
      <c r="J313" s="5"/>
      <c r="K313" s="5"/>
      <c r="L313" s="5"/>
      <c r="M313" s="5"/>
      <c r="N313" s="5"/>
      <c r="O313" s="5"/>
      <c r="P313" s="5"/>
      <c r="Q313" s="5"/>
      <c r="R313" s="5"/>
    </row>
    <row r="314" ht="15.75" customHeight="1">
      <c r="A314" s="5"/>
      <c r="B314" s="5"/>
      <c r="C314" s="5"/>
      <c r="D314" s="5"/>
      <c r="E314" s="5"/>
      <c r="F314" s="5"/>
      <c r="G314" s="5"/>
      <c r="H314" s="5"/>
      <c r="I314" s="5"/>
      <c r="J314" s="5"/>
      <c r="K314" s="5"/>
      <c r="L314" s="5"/>
      <c r="M314" s="5"/>
      <c r="N314" s="5"/>
      <c r="O314" s="5"/>
      <c r="P314" s="5"/>
      <c r="Q314" s="5"/>
      <c r="R314" s="5"/>
    </row>
    <row r="315" ht="15.75" customHeight="1">
      <c r="A315" s="5"/>
      <c r="B315" s="5"/>
      <c r="C315" s="5"/>
      <c r="D315" s="5"/>
      <c r="E315" s="5"/>
      <c r="F315" s="5"/>
      <c r="G315" s="5"/>
      <c r="H315" s="5"/>
      <c r="I315" s="5"/>
      <c r="J315" s="5"/>
      <c r="K315" s="5"/>
      <c r="L315" s="5"/>
      <c r="M315" s="5"/>
      <c r="N315" s="5"/>
      <c r="O315" s="5"/>
      <c r="P315" s="5"/>
      <c r="Q315" s="5"/>
      <c r="R315" s="5"/>
    </row>
    <row r="316" ht="15.75" customHeight="1">
      <c r="A316" s="5"/>
      <c r="B316" s="5"/>
      <c r="C316" s="5"/>
      <c r="D316" s="5"/>
      <c r="E316" s="5"/>
      <c r="F316" s="5"/>
      <c r="G316" s="5"/>
      <c r="H316" s="5"/>
      <c r="I316" s="5"/>
      <c r="J316" s="5"/>
      <c r="K316" s="5"/>
      <c r="L316" s="5"/>
      <c r="M316" s="5"/>
      <c r="N316" s="5"/>
      <c r="O316" s="5"/>
      <c r="P316" s="5"/>
      <c r="Q316" s="5"/>
      <c r="R316" s="5"/>
    </row>
    <row r="317" ht="15.75" customHeight="1">
      <c r="A317" s="5"/>
      <c r="B317" s="5"/>
      <c r="C317" s="5"/>
      <c r="D317" s="5"/>
      <c r="E317" s="5"/>
      <c r="F317" s="5"/>
      <c r="G317" s="5"/>
      <c r="H317" s="5"/>
      <c r="I317" s="5"/>
      <c r="J317" s="5"/>
      <c r="K317" s="5"/>
      <c r="L317" s="5"/>
      <c r="M317" s="5"/>
      <c r="N317" s="5"/>
      <c r="O317" s="5"/>
      <c r="P317" s="5"/>
      <c r="Q317" s="5"/>
      <c r="R317" s="5"/>
    </row>
    <row r="318" ht="15.75" customHeight="1">
      <c r="A318" s="5"/>
      <c r="B318" s="5"/>
      <c r="C318" s="5"/>
      <c r="D318" s="5"/>
      <c r="E318" s="5"/>
      <c r="F318" s="5"/>
      <c r="G318" s="5"/>
      <c r="H318" s="5"/>
      <c r="I318" s="5"/>
      <c r="J318" s="5"/>
      <c r="K318" s="5"/>
      <c r="L318" s="5"/>
      <c r="M318" s="5"/>
      <c r="N318" s="5"/>
      <c r="O318" s="5"/>
      <c r="P318" s="5"/>
      <c r="Q318" s="5"/>
      <c r="R318" s="5"/>
    </row>
    <row r="319" ht="15.75" customHeight="1">
      <c r="A319" s="5"/>
      <c r="B319" s="5"/>
      <c r="C319" s="5"/>
      <c r="D319" s="5"/>
      <c r="E319" s="5"/>
      <c r="F319" s="5"/>
      <c r="G319" s="5"/>
      <c r="H319" s="5"/>
      <c r="I319" s="5"/>
      <c r="J319" s="5"/>
      <c r="K319" s="5"/>
      <c r="L319" s="5"/>
      <c r="M319" s="5"/>
      <c r="N319" s="5"/>
      <c r="O319" s="5"/>
      <c r="P319" s="5"/>
      <c r="Q319" s="5"/>
      <c r="R319" s="5"/>
    </row>
    <row r="320" ht="15.75" customHeight="1">
      <c r="A320" s="5"/>
      <c r="B320" s="5"/>
      <c r="C320" s="5"/>
      <c r="D320" s="5"/>
      <c r="E320" s="5"/>
      <c r="F320" s="5"/>
      <c r="G320" s="5"/>
      <c r="H320" s="5"/>
      <c r="I320" s="5"/>
      <c r="J320" s="5"/>
      <c r="K320" s="5"/>
      <c r="L320" s="5"/>
      <c r="M320" s="5"/>
      <c r="N320" s="5"/>
      <c r="O320" s="5"/>
      <c r="P320" s="5"/>
      <c r="Q320" s="5"/>
      <c r="R320" s="5"/>
    </row>
    <row r="321" ht="15.75" customHeight="1">
      <c r="A321" s="5"/>
      <c r="B321" s="5"/>
      <c r="C321" s="5"/>
      <c r="D321" s="5"/>
      <c r="E321" s="5"/>
      <c r="F321" s="5"/>
      <c r="G321" s="5"/>
      <c r="H321" s="5"/>
      <c r="I321" s="5"/>
      <c r="J321" s="5"/>
      <c r="K321" s="5"/>
      <c r="L321" s="5"/>
      <c r="M321" s="5"/>
      <c r="N321" s="5"/>
      <c r="O321" s="5"/>
      <c r="P321" s="5"/>
      <c r="Q321" s="5"/>
      <c r="R321" s="5"/>
    </row>
    <row r="322" ht="15.75" customHeight="1">
      <c r="A322" s="5"/>
      <c r="B322" s="5"/>
      <c r="C322" s="5"/>
      <c r="D322" s="5"/>
      <c r="E322" s="5"/>
      <c r="F322" s="5"/>
      <c r="G322" s="5"/>
      <c r="H322" s="5"/>
      <c r="I322" s="5"/>
      <c r="J322" s="5"/>
      <c r="K322" s="5"/>
      <c r="L322" s="5"/>
      <c r="M322" s="5"/>
      <c r="N322" s="5"/>
      <c r="O322" s="5"/>
      <c r="P322" s="5"/>
      <c r="Q322" s="5"/>
      <c r="R322" s="5"/>
    </row>
    <row r="323" ht="15.75" customHeight="1">
      <c r="A323" s="5"/>
      <c r="B323" s="5"/>
      <c r="C323" s="5"/>
      <c r="D323" s="5"/>
      <c r="E323" s="5"/>
      <c r="F323" s="5"/>
      <c r="G323" s="5"/>
      <c r="H323" s="5"/>
      <c r="I323" s="5"/>
      <c r="J323" s="5"/>
      <c r="K323" s="5"/>
      <c r="L323" s="5"/>
      <c r="M323" s="5"/>
      <c r="N323" s="5"/>
      <c r="O323" s="5"/>
      <c r="P323" s="5"/>
      <c r="Q323" s="5"/>
      <c r="R323" s="5"/>
    </row>
    <row r="324" ht="15.75" customHeight="1">
      <c r="A324" s="5"/>
      <c r="B324" s="5"/>
      <c r="C324" s="5"/>
      <c r="D324" s="5"/>
      <c r="E324" s="5"/>
      <c r="F324" s="5"/>
      <c r="G324" s="5"/>
      <c r="H324" s="5"/>
      <c r="I324" s="5"/>
      <c r="J324" s="5"/>
      <c r="K324" s="5"/>
      <c r="L324" s="5"/>
      <c r="M324" s="5"/>
      <c r="N324" s="5"/>
      <c r="O324" s="5"/>
      <c r="P324" s="5"/>
      <c r="Q324" s="5"/>
      <c r="R324" s="5"/>
    </row>
    <row r="325" ht="15.75" customHeight="1">
      <c r="A325" s="5"/>
      <c r="B325" s="5"/>
      <c r="C325" s="5"/>
      <c r="D325" s="5"/>
      <c r="E325" s="5"/>
      <c r="F325" s="5"/>
      <c r="G325" s="5"/>
      <c r="H325" s="5"/>
      <c r="I325" s="5"/>
      <c r="J325" s="5"/>
      <c r="K325" s="5"/>
      <c r="L325" s="5"/>
      <c r="M325" s="5"/>
      <c r="N325" s="5"/>
      <c r="O325" s="5"/>
      <c r="P325" s="5"/>
      <c r="Q325" s="5"/>
      <c r="R325" s="5"/>
    </row>
    <row r="326" ht="15.75" customHeight="1">
      <c r="A326" s="5"/>
      <c r="B326" s="5"/>
      <c r="C326" s="5"/>
      <c r="D326" s="5"/>
      <c r="E326" s="5"/>
      <c r="F326" s="5"/>
      <c r="G326" s="5"/>
      <c r="H326" s="5"/>
      <c r="I326" s="5"/>
      <c r="J326" s="5"/>
      <c r="K326" s="5"/>
      <c r="L326" s="5"/>
      <c r="M326" s="5"/>
      <c r="N326" s="5"/>
      <c r="O326" s="5"/>
      <c r="P326" s="5"/>
      <c r="Q326" s="5"/>
      <c r="R326" s="5"/>
    </row>
    <row r="327" ht="15.75" customHeight="1">
      <c r="A327" s="5"/>
      <c r="B327" s="5"/>
      <c r="C327" s="5"/>
      <c r="D327" s="5"/>
      <c r="E327" s="5"/>
      <c r="F327" s="5"/>
      <c r="G327" s="5"/>
      <c r="H327" s="5"/>
      <c r="I327" s="5"/>
      <c r="J327" s="5"/>
      <c r="K327" s="5"/>
      <c r="L327" s="5"/>
      <c r="M327" s="5"/>
      <c r="N327" s="5"/>
      <c r="O327" s="5"/>
      <c r="P327" s="5"/>
      <c r="Q327" s="5"/>
      <c r="R327" s="5"/>
    </row>
    <row r="328" ht="15.75" customHeight="1">
      <c r="A328" s="5"/>
      <c r="B328" s="5"/>
      <c r="C328" s="5"/>
      <c r="D328" s="5"/>
      <c r="E328" s="5"/>
      <c r="F328" s="5"/>
      <c r="G328" s="5"/>
      <c r="H328" s="5"/>
      <c r="I328" s="5"/>
      <c r="J328" s="5"/>
      <c r="K328" s="5"/>
      <c r="L328" s="5"/>
      <c r="M328" s="5"/>
      <c r="N328" s="5"/>
      <c r="O328" s="5"/>
      <c r="P328" s="5"/>
      <c r="Q328" s="5"/>
      <c r="R328" s="5"/>
    </row>
    <row r="329" ht="15.75" customHeight="1">
      <c r="A329" s="5"/>
      <c r="B329" s="5"/>
      <c r="C329" s="5"/>
      <c r="D329" s="5"/>
      <c r="E329" s="5"/>
      <c r="F329" s="5"/>
      <c r="G329" s="5"/>
      <c r="H329" s="5"/>
      <c r="I329" s="5"/>
      <c r="J329" s="5"/>
      <c r="K329" s="5"/>
      <c r="L329" s="5"/>
      <c r="M329" s="5"/>
      <c r="N329" s="5"/>
      <c r="O329" s="5"/>
      <c r="P329" s="5"/>
      <c r="Q329" s="5"/>
      <c r="R329" s="5"/>
    </row>
    <row r="330" ht="15.75" customHeight="1">
      <c r="A330" s="5"/>
      <c r="B330" s="5"/>
      <c r="C330" s="5"/>
      <c r="D330" s="5"/>
      <c r="E330" s="5"/>
      <c r="F330" s="5"/>
      <c r="G330" s="5"/>
      <c r="H330" s="5"/>
      <c r="I330" s="5"/>
      <c r="J330" s="5"/>
      <c r="K330" s="5"/>
      <c r="L330" s="5"/>
      <c r="M330" s="5"/>
      <c r="N330" s="5"/>
      <c r="O330" s="5"/>
      <c r="P330" s="5"/>
      <c r="Q330" s="5"/>
      <c r="R330" s="5"/>
    </row>
    <row r="331" ht="15.75" customHeight="1">
      <c r="A331" s="5"/>
      <c r="B331" s="5"/>
      <c r="C331" s="5"/>
      <c r="D331" s="5"/>
      <c r="E331" s="5"/>
      <c r="F331" s="5"/>
      <c r="G331" s="5"/>
      <c r="H331" s="5"/>
      <c r="I331" s="5"/>
      <c r="J331" s="5"/>
      <c r="K331" s="5"/>
      <c r="L331" s="5"/>
      <c r="M331" s="5"/>
      <c r="N331" s="5"/>
      <c r="O331" s="5"/>
      <c r="P331" s="5"/>
      <c r="Q331" s="5"/>
      <c r="R331" s="5"/>
    </row>
    <row r="332" ht="15.75" customHeight="1">
      <c r="A332" s="5"/>
      <c r="B332" s="5"/>
      <c r="C332" s="5"/>
      <c r="D332" s="5"/>
      <c r="E332" s="5"/>
      <c r="F332" s="5"/>
      <c r="G332" s="5"/>
      <c r="H332" s="5"/>
      <c r="I332" s="5"/>
      <c r="J332" s="5"/>
      <c r="K332" s="5"/>
      <c r="L332" s="5"/>
      <c r="M332" s="5"/>
      <c r="N332" s="5"/>
      <c r="O332" s="5"/>
      <c r="P332" s="5"/>
      <c r="Q332" s="5"/>
      <c r="R332" s="5"/>
    </row>
    <row r="333" ht="15.75" customHeight="1">
      <c r="A333" s="5"/>
      <c r="B333" s="5"/>
      <c r="C333" s="5"/>
      <c r="D333" s="5"/>
      <c r="E333" s="5"/>
      <c r="F333" s="5"/>
      <c r="G333" s="5"/>
      <c r="H333" s="5"/>
      <c r="I333" s="5"/>
      <c r="J333" s="5"/>
      <c r="K333" s="5"/>
      <c r="L333" s="5"/>
      <c r="M333" s="5"/>
      <c r="N333" s="5"/>
      <c r="O333" s="5"/>
      <c r="P333" s="5"/>
      <c r="Q333" s="5"/>
      <c r="R333" s="5"/>
    </row>
    <row r="334" ht="15.75" customHeight="1">
      <c r="A334" s="5"/>
      <c r="B334" s="5"/>
      <c r="C334" s="5"/>
      <c r="D334" s="5"/>
      <c r="E334" s="5"/>
      <c r="F334" s="5"/>
      <c r="G334" s="5"/>
      <c r="H334" s="5"/>
      <c r="I334" s="5"/>
      <c r="J334" s="5"/>
      <c r="K334" s="5"/>
      <c r="L334" s="5"/>
      <c r="M334" s="5"/>
      <c r="N334" s="5"/>
      <c r="O334" s="5"/>
      <c r="P334" s="5"/>
      <c r="Q334" s="5"/>
      <c r="R334" s="5"/>
    </row>
    <row r="335" ht="15.75" customHeight="1">
      <c r="A335" s="5"/>
      <c r="B335" s="5"/>
      <c r="C335" s="5"/>
      <c r="D335" s="5"/>
      <c r="E335" s="5"/>
      <c r="F335" s="5"/>
      <c r="G335" s="5"/>
      <c r="H335" s="5"/>
      <c r="I335" s="5"/>
      <c r="J335" s="5"/>
      <c r="K335" s="5"/>
      <c r="L335" s="5"/>
      <c r="M335" s="5"/>
      <c r="N335" s="5"/>
      <c r="O335" s="5"/>
      <c r="P335" s="5"/>
      <c r="Q335" s="5"/>
      <c r="R335" s="5"/>
    </row>
    <row r="336" ht="15.75" customHeight="1">
      <c r="A336" s="5"/>
      <c r="B336" s="5"/>
      <c r="C336" s="5"/>
      <c r="D336" s="5"/>
      <c r="E336" s="5"/>
      <c r="F336" s="5"/>
      <c r="G336" s="5"/>
      <c r="H336" s="5"/>
      <c r="I336" s="5"/>
      <c r="J336" s="5"/>
      <c r="K336" s="5"/>
      <c r="L336" s="5"/>
      <c r="M336" s="5"/>
      <c r="N336" s="5"/>
      <c r="O336" s="5"/>
      <c r="P336" s="5"/>
      <c r="Q336" s="5"/>
      <c r="R336" s="5"/>
    </row>
    <row r="337" ht="15.75" customHeight="1">
      <c r="A337" s="5"/>
      <c r="B337" s="5"/>
      <c r="C337" s="5"/>
      <c r="D337" s="5"/>
      <c r="E337" s="5"/>
      <c r="F337" s="5"/>
      <c r="G337" s="5"/>
      <c r="H337" s="5"/>
      <c r="I337" s="5"/>
      <c r="J337" s="5"/>
      <c r="K337" s="5"/>
      <c r="L337" s="5"/>
      <c r="M337" s="5"/>
      <c r="N337" s="5"/>
      <c r="O337" s="5"/>
      <c r="P337" s="5"/>
      <c r="Q337" s="5"/>
      <c r="R337" s="5"/>
    </row>
    <row r="338" ht="15.75" customHeight="1">
      <c r="A338" s="5"/>
      <c r="B338" s="5"/>
      <c r="C338" s="5"/>
      <c r="D338" s="5"/>
      <c r="E338" s="5"/>
      <c r="F338" s="5"/>
      <c r="G338" s="5"/>
      <c r="H338" s="5"/>
      <c r="I338" s="5"/>
      <c r="J338" s="5"/>
      <c r="K338" s="5"/>
      <c r="L338" s="5"/>
      <c r="M338" s="5"/>
      <c r="N338" s="5"/>
      <c r="O338" s="5"/>
      <c r="P338" s="5"/>
      <c r="Q338" s="5"/>
      <c r="R338" s="5"/>
    </row>
    <row r="339" ht="15.75" customHeight="1">
      <c r="A339" s="5"/>
      <c r="B339" s="5"/>
      <c r="C339" s="5"/>
      <c r="D339" s="5"/>
      <c r="E339" s="5"/>
      <c r="F339" s="5"/>
      <c r="G339" s="5"/>
      <c r="H339" s="5"/>
      <c r="I339" s="5"/>
      <c r="J339" s="5"/>
      <c r="K339" s="5"/>
      <c r="L339" s="5"/>
      <c r="M339" s="5"/>
      <c r="N339" s="5"/>
      <c r="O339" s="5"/>
      <c r="P339" s="5"/>
      <c r="Q339" s="5"/>
      <c r="R339" s="5"/>
    </row>
    <row r="340" ht="15.75" customHeight="1">
      <c r="A340" s="5"/>
      <c r="B340" s="5"/>
      <c r="C340" s="5"/>
      <c r="D340" s="5"/>
      <c r="E340" s="5"/>
      <c r="F340" s="5"/>
      <c r="G340" s="5"/>
      <c r="H340" s="5"/>
      <c r="I340" s="5"/>
      <c r="J340" s="5"/>
      <c r="K340" s="5"/>
      <c r="L340" s="5"/>
      <c r="M340" s="5"/>
      <c r="N340" s="5"/>
      <c r="O340" s="5"/>
      <c r="P340" s="5"/>
      <c r="Q340" s="5"/>
      <c r="R340" s="5"/>
    </row>
    <row r="341" ht="15.75" customHeight="1">
      <c r="A341" s="5"/>
      <c r="B341" s="5"/>
      <c r="C341" s="5"/>
      <c r="D341" s="5"/>
      <c r="E341" s="5"/>
      <c r="F341" s="5"/>
      <c r="G341" s="5"/>
      <c r="H341" s="5"/>
      <c r="I341" s="5"/>
      <c r="J341" s="5"/>
      <c r="K341" s="5"/>
      <c r="L341" s="5"/>
      <c r="M341" s="5"/>
      <c r="N341" s="5"/>
      <c r="O341" s="5"/>
      <c r="P341" s="5"/>
      <c r="Q341" s="5"/>
      <c r="R341" s="5"/>
    </row>
    <row r="342" ht="15.75" customHeight="1">
      <c r="A342" s="5"/>
      <c r="B342" s="5"/>
      <c r="C342" s="5"/>
      <c r="D342" s="5"/>
      <c r="E342" s="5"/>
      <c r="F342" s="5"/>
      <c r="G342" s="5"/>
      <c r="H342" s="5"/>
      <c r="I342" s="5"/>
      <c r="J342" s="5"/>
      <c r="K342" s="5"/>
      <c r="L342" s="5"/>
      <c r="M342" s="5"/>
      <c r="N342" s="5"/>
      <c r="O342" s="5"/>
      <c r="P342" s="5"/>
      <c r="Q342" s="5"/>
      <c r="R342" s="5"/>
    </row>
    <row r="343" ht="15.75" customHeight="1">
      <c r="A343" s="5"/>
      <c r="B343" s="5"/>
      <c r="C343" s="5"/>
      <c r="D343" s="5"/>
      <c r="E343" s="5"/>
      <c r="F343" s="5"/>
      <c r="G343" s="5"/>
      <c r="H343" s="5"/>
      <c r="I343" s="5"/>
      <c r="J343" s="5"/>
      <c r="K343" s="5"/>
      <c r="L343" s="5"/>
      <c r="M343" s="5"/>
      <c r="N343" s="5"/>
      <c r="O343" s="5"/>
      <c r="P343" s="5"/>
      <c r="Q343" s="5"/>
      <c r="R343" s="5"/>
    </row>
    <row r="344" ht="15.75" customHeight="1">
      <c r="A344" s="5"/>
      <c r="B344" s="5"/>
      <c r="C344" s="5"/>
      <c r="D344" s="5"/>
      <c r="E344" s="5"/>
      <c r="F344" s="5"/>
      <c r="G344" s="5"/>
      <c r="H344" s="5"/>
      <c r="I344" s="5"/>
      <c r="J344" s="5"/>
      <c r="K344" s="5"/>
      <c r="L344" s="5"/>
      <c r="M344" s="5"/>
      <c r="N344" s="5"/>
      <c r="O344" s="5"/>
      <c r="P344" s="5"/>
      <c r="Q344" s="5"/>
      <c r="R344" s="5"/>
    </row>
    <row r="345" ht="15.75" customHeight="1">
      <c r="A345" s="5"/>
      <c r="B345" s="5"/>
      <c r="C345" s="5"/>
      <c r="D345" s="5"/>
      <c r="E345" s="5"/>
      <c r="F345" s="5"/>
      <c r="G345" s="5"/>
      <c r="H345" s="5"/>
      <c r="I345" s="5"/>
      <c r="J345" s="5"/>
      <c r="K345" s="5"/>
      <c r="L345" s="5"/>
      <c r="M345" s="5"/>
      <c r="N345" s="5"/>
      <c r="O345" s="5"/>
      <c r="P345" s="5"/>
      <c r="Q345" s="5"/>
      <c r="R345" s="5"/>
    </row>
    <row r="346" ht="15.75" customHeight="1">
      <c r="A346" s="5"/>
      <c r="B346" s="5"/>
      <c r="C346" s="5"/>
      <c r="D346" s="5"/>
      <c r="E346" s="5"/>
      <c r="F346" s="5"/>
      <c r="G346" s="5"/>
      <c r="H346" s="5"/>
      <c r="I346" s="5"/>
      <c r="J346" s="5"/>
      <c r="K346" s="5"/>
      <c r="L346" s="5"/>
      <c r="M346" s="5"/>
      <c r="N346" s="5"/>
      <c r="O346" s="5"/>
      <c r="P346" s="5"/>
      <c r="Q346" s="5"/>
      <c r="R346" s="5"/>
    </row>
    <row r="347" ht="15.75" customHeight="1">
      <c r="A347" s="5"/>
      <c r="B347" s="5"/>
      <c r="C347" s="5"/>
      <c r="D347" s="5"/>
      <c r="E347" s="5"/>
      <c r="F347" s="5"/>
      <c r="G347" s="5"/>
      <c r="H347" s="5"/>
      <c r="I347" s="5"/>
      <c r="J347" s="5"/>
      <c r="K347" s="5"/>
      <c r="L347" s="5"/>
      <c r="M347" s="5"/>
      <c r="N347" s="5"/>
      <c r="O347" s="5"/>
      <c r="P347" s="5"/>
      <c r="Q347" s="5"/>
      <c r="R347" s="5"/>
    </row>
    <row r="348" ht="15.75" customHeight="1">
      <c r="A348" s="5"/>
      <c r="B348" s="5"/>
      <c r="C348" s="5"/>
      <c r="D348" s="5"/>
      <c r="E348" s="5"/>
      <c r="F348" s="5"/>
      <c r="G348" s="5"/>
      <c r="H348" s="5"/>
      <c r="I348" s="5"/>
      <c r="J348" s="5"/>
      <c r="K348" s="5"/>
      <c r="L348" s="5"/>
      <c r="M348" s="5"/>
      <c r="N348" s="5"/>
      <c r="O348" s="5"/>
      <c r="P348" s="5"/>
      <c r="Q348" s="5"/>
      <c r="R348" s="5"/>
    </row>
    <row r="349" ht="15.75" customHeight="1">
      <c r="A349" s="5"/>
      <c r="B349" s="5"/>
      <c r="C349" s="5"/>
      <c r="D349" s="5"/>
      <c r="E349" s="5"/>
      <c r="F349" s="5"/>
      <c r="G349" s="5"/>
      <c r="H349" s="5"/>
      <c r="I349" s="5"/>
      <c r="J349" s="5"/>
      <c r="K349" s="5"/>
      <c r="L349" s="5"/>
      <c r="M349" s="5"/>
      <c r="N349" s="5"/>
      <c r="O349" s="5"/>
      <c r="P349" s="5"/>
      <c r="Q349" s="5"/>
      <c r="R349" s="5"/>
    </row>
    <row r="350" ht="15.75" customHeight="1">
      <c r="A350" s="5"/>
      <c r="B350" s="5"/>
      <c r="C350" s="5"/>
      <c r="D350" s="5"/>
      <c r="E350" s="5"/>
      <c r="F350" s="5"/>
      <c r="G350" s="5"/>
      <c r="H350" s="5"/>
      <c r="I350" s="5"/>
      <c r="J350" s="5"/>
      <c r="K350" s="5"/>
      <c r="L350" s="5"/>
      <c r="M350" s="5"/>
      <c r="N350" s="5"/>
      <c r="O350" s="5"/>
      <c r="P350" s="5"/>
      <c r="Q350" s="5"/>
      <c r="R350" s="5"/>
    </row>
    <row r="351" ht="15.75" customHeight="1">
      <c r="A351" s="5"/>
      <c r="B351" s="5"/>
      <c r="C351" s="5"/>
      <c r="D351" s="5"/>
      <c r="E351" s="5"/>
      <c r="F351" s="5"/>
      <c r="G351" s="5"/>
      <c r="H351" s="5"/>
      <c r="I351" s="5"/>
      <c r="J351" s="5"/>
      <c r="K351" s="5"/>
      <c r="L351" s="5"/>
      <c r="M351" s="5"/>
      <c r="N351" s="5"/>
      <c r="O351" s="5"/>
      <c r="P351" s="5"/>
      <c r="Q351" s="5"/>
      <c r="R351" s="5"/>
    </row>
    <row r="352" ht="15.75" customHeight="1">
      <c r="A352" s="5"/>
      <c r="B352" s="5"/>
      <c r="C352" s="5"/>
      <c r="D352" s="5"/>
      <c r="E352" s="5"/>
      <c r="F352" s="5"/>
      <c r="G352" s="5"/>
      <c r="H352" s="5"/>
      <c r="I352" s="5"/>
      <c r="J352" s="5"/>
      <c r="K352" s="5"/>
      <c r="L352" s="5"/>
      <c r="M352" s="5"/>
      <c r="N352" s="5"/>
      <c r="O352" s="5"/>
      <c r="P352" s="5"/>
      <c r="Q352" s="5"/>
      <c r="R352" s="5"/>
    </row>
    <row r="353" ht="15.75" customHeight="1">
      <c r="A353" s="5"/>
      <c r="B353" s="5"/>
      <c r="C353" s="5"/>
      <c r="D353" s="5"/>
      <c r="E353" s="5"/>
      <c r="F353" s="5"/>
      <c r="G353" s="5"/>
      <c r="H353" s="5"/>
      <c r="I353" s="5"/>
      <c r="J353" s="5"/>
      <c r="K353" s="5"/>
      <c r="L353" s="5"/>
      <c r="M353" s="5"/>
      <c r="N353" s="5"/>
      <c r="O353" s="5"/>
      <c r="P353" s="5"/>
      <c r="Q353" s="5"/>
      <c r="R353" s="5"/>
    </row>
    <row r="354" ht="15.75" customHeight="1">
      <c r="A354" s="5"/>
      <c r="B354" s="5"/>
      <c r="C354" s="5"/>
      <c r="D354" s="5"/>
      <c r="E354" s="5"/>
      <c r="F354" s="5"/>
      <c r="G354" s="5"/>
      <c r="H354" s="5"/>
      <c r="I354" s="5"/>
      <c r="J354" s="5"/>
      <c r="K354" s="5"/>
      <c r="L354" s="5"/>
      <c r="M354" s="5"/>
      <c r="N354" s="5"/>
      <c r="O354" s="5"/>
      <c r="P354" s="5"/>
      <c r="Q354" s="5"/>
      <c r="R354" s="5"/>
    </row>
    <row r="355" ht="15.75" customHeight="1">
      <c r="A355" s="5"/>
      <c r="B355" s="5"/>
      <c r="C355" s="5"/>
      <c r="D355" s="5"/>
      <c r="E355" s="5"/>
      <c r="F355" s="5"/>
      <c r="G355" s="5"/>
      <c r="H355" s="5"/>
      <c r="I355" s="5"/>
      <c r="J355" s="5"/>
      <c r="K355" s="5"/>
      <c r="L355" s="5"/>
      <c r="M355" s="5"/>
      <c r="N355" s="5"/>
      <c r="O355" s="5"/>
      <c r="P355" s="5"/>
      <c r="Q355" s="5"/>
      <c r="R355" s="5"/>
    </row>
    <row r="356" ht="15.75" customHeight="1">
      <c r="A356" s="5"/>
      <c r="B356" s="5"/>
      <c r="C356" s="5"/>
      <c r="D356" s="5"/>
      <c r="E356" s="5"/>
      <c r="F356" s="5"/>
      <c r="G356" s="5"/>
      <c r="H356" s="5"/>
      <c r="I356" s="5"/>
      <c r="J356" s="5"/>
      <c r="K356" s="5"/>
      <c r="L356" s="5"/>
      <c r="M356" s="5"/>
      <c r="N356" s="5"/>
      <c r="O356" s="5"/>
      <c r="P356" s="5"/>
      <c r="Q356" s="5"/>
      <c r="R356" s="5"/>
    </row>
    <row r="357" ht="15.75" customHeight="1">
      <c r="A357" s="5"/>
      <c r="B357" s="5"/>
      <c r="C357" s="5"/>
      <c r="D357" s="5"/>
      <c r="E357" s="5"/>
      <c r="F357" s="5"/>
      <c r="G357" s="5"/>
      <c r="H357" s="5"/>
      <c r="I357" s="5"/>
      <c r="J357" s="5"/>
      <c r="K357" s="5"/>
      <c r="L357" s="5"/>
      <c r="M357" s="5"/>
      <c r="N357" s="5"/>
      <c r="O357" s="5"/>
      <c r="P357" s="5"/>
      <c r="Q357" s="5"/>
      <c r="R357" s="5"/>
    </row>
    <row r="358" ht="15.75" customHeight="1">
      <c r="A358" s="5"/>
      <c r="B358" s="5"/>
      <c r="C358" s="5"/>
      <c r="D358" s="5"/>
      <c r="E358" s="5"/>
      <c r="F358" s="5"/>
      <c r="G358" s="5"/>
      <c r="H358" s="5"/>
      <c r="I358" s="5"/>
      <c r="J358" s="5"/>
      <c r="K358" s="5"/>
      <c r="L358" s="5"/>
      <c r="M358" s="5"/>
      <c r="N358" s="5"/>
      <c r="O358" s="5"/>
      <c r="P358" s="5"/>
      <c r="Q358" s="5"/>
      <c r="R358" s="5"/>
    </row>
    <row r="359" ht="15.75" customHeight="1">
      <c r="A359" s="5"/>
      <c r="B359" s="5"/>
      <c r="C359" s="5"/>
      <c r="D359" s="5"/>
      <c r="E359" s="5"/>
      <c r="F359" s="5"/>
      <c r="G359" s="5"/>
      <c r="H359" s="5"/>
      <c r="I359" s="5"/>
      <c r="J359" s="5"/>
      <c r="K359" s="5"/>
      <c r="L359" s="5"/>
      <c r="M359" s="5"/>
      <c r="N359" s="5"/>
      <c r="O359" s="5"/>
      <c r="P359" s="5"/>
      <c r="Q359" s="5"/>
      <c r="R359" s="5"/>
    </row>
    <row r="360" ht="15.75" customHeight="1">
      <c r="A360" s="5"/>
      <c r="B360" s="5"/>
      <c r="C360" s="5"/>
      <c r="D360" s="5"/>
      <c r="E360" s="5"/>
      <c r="F360" s="5"/>
      <c r="G360" s="5"/>
      <c r="H360" s="5"/>
      <c r="I360" s="5"/>
      <c r="J360" s="5"/>
      <c r="K360" s="5"/>
      <c r="L360" s="5"/>
      <c r="M360" s="5"/>
      <c r="N360" s="5"/>
      <c r="O360" s="5"/>
      <c r="P360" s="5"/>
      <c r="Q360" s="5"/>
      <c r="R360" s="5"/>
    </row>
    <row r="361" ht="15.75" customHeight="1">
      <c r="A361" s="5"/>
      <c r="B361" s="5"/>
      <c r="C361" s="5"/>
      <c r="D361" s="5"/>
      <c r="E361" s="5"/>
      <c r="F361" s="5"/>
      <c r="G361" s="5"/>
      <c r="H361" s="5"/>
      <c r="I361" s="5"/>
      <c r="J361" s="5"/>
      <c r="K361" s="5"/>
      <c r="L361" s="5"/>
      <c r="M361" s="5"/>
      <c r="N361" s="5"/>
      <c r="O361" s="5"/>
      <c r="P361" s="5"/>
      <c r="Q361" s="5"/>
      <c r="R361" s="5"/>
    </row>
    <row r="362" ht="15.75" customHeight="1">
      <c r="A362" s="5"/>
      <c r="B362" s="5"/>
      <c r="C362" s="5"/>
      <c r="D362" s="5"/>
      <c r="E362" s="5"/>
      <c r="F362" s="5"/>
      <c r="G362" s="5"/>
      <c r="H362" s="5"/>
      <c r="I362" s="5"/>
      <c r="J362" s="5"/>
      <c r="K362" s="5"/>
      <c r="L362" s="5"/>
      <c r="M362" s="5"/>
      <c r="N362" s="5"/>
      <c r="O362" s="5"/>
      <c r="P362" s="5"/>
      <c r="Q362" s="5"/>
      <c r="R362" s="5"/>
    </row>
    <row r="363" ht="15.75" customHeight="1">
      <c r="A363" s="5"/>
      <c r="B363" s="5"/>
      <c r="C363" s="5"/>
      <c r="D363" s="5"/>
      <c r="E363" s="5"/>
      <c r="F363" s="5"/>
      <c r="G363" s="5"/>
      <c r="H363" s="5"/>
      <c r="I363" s="5"/>
      <c r="J363" s="5"/>
      <c r="K363" s="5"/>
      <c r="L363" s="5"/>
      <c r="M363" s="5"/>
      <c r="N363" s="5"/>
      <c r="O363" s="5"/>
      <c r="P363" s="5"/>
      <c r="Q363" s="5"/>
      <c r="R363" s="5"/>
    </row>
    <row r="364" ht="15.75" customHeight="1">
      <c r="A364" s="5"/>
      <c r="B364" s="5"/>
      <c r="C364" s="5"/>
      <c r="D364" s="5"/>
      <c r="E364" s="5"/>
      <c r="F364" s="5"/>
      <c r="G364" s="5"/>
      <c r="H364" s="5"/>
      <c r="I364" s="5"/>
      <c r="J364" s="5"/>
      <c r="K364" s="5"/>
      <c r="L364" s="5"/>
      <c r="M364" s="5"/>
      <c r="N364" s="5"/>
      <c r="O364" s="5"/>
      <c r="P364" s="5"/>
      <c r="Q364" s="5"/>
      <c r="R364" s="5"/>
    </row>
    <row r="365" ht="15.75" customHeight="1">
      <c r="A365" s="5"/>
      <c r="B365" s="5"/>
      <c r="C365" s="5"/>
      <c r="D365" s="5"/>
      <c r="E365" s="5"/>
      <c r="F365" s="5"/>
      <c r="G365" s="5"/>
      <c r="H365" s="5"/>
      <c r="I365" s="5"/>
      <c r="J365" s="5"/>
      <c r="K365" s="5"/>
      <c r="L365" s="5"/>
      <c r="M365" s="5"/>
      <c r="N365" s="5"/>
      <c r="O365" s="5"/>
      <c r="P365" s="5"/>
      <c r="Q365" s="5"/>
      <c r="R365" s="5"/>
    </row>
    <row r="366" ht="15.75" customHeight="1">
      <c r="A366" s="5"/>
      <c r="B366" s="5"/>
      <c r="C366" s="5"/>
      <c r="D366" s="5"/>
      <c r="E366" s="5"/>
      <c r="F366" s="5"/>
      <c r="G366" s="5"/>
      <c r="H366" s="5"/>
      <c r="I366" s="5"/>
      <c r="J366" s="5"/>
      <c r="K366" s="5"/>
      <c r="L366" s="5"/>
      <c r="M366" s="5"/>
      <c r="N366" s="5"/>
      <c r="O366" s="5"/>
      <c r="P366" s="5"/>
      <c r="Q366" s="5"/>
      <c r="R366" s="5"/>
    </row>
    <row r="367" ht="15.75" customHeight="1">
      <c r="A367" s="5"/>
      <c r="B367" s="5"/>
      <c r="C367" s="5"/>
      <c r="D367" s="5"/>
      <c r="E367" s="5"/>
      <c r="F367" s="5"/>
      <c r="G367" s="5"/>
      <c r="H367" s="5"/>
      <c r="I367" s="5"/>
      <c r="J367" s="5"/>
      <c r="K367" s="5"/>
      <c r="L367" s="5"/>
      <c r="M367" s="5"/>
      <c r="N367" s="5"/>
      <c r="O367" s="5"/>
      <c r="P367" s="5"/>
      <c r="Q367" s="5"/>
      <c r="R367" s="5"/>
    </row>
    <row r="368" ht="15.75" customHeight="1">
      <c r="A368" s="5"/>
      <c r="B368" s="5"/>
      <c r="C368" s="5"/>
      <c r="D368" s="5"/>
      <c r="E368" s="5"/>
      <c r="F368" s="5"/>
      <c r="G368" s="5"/>
      <c r="H368" s="5"/>
      <c r="I368" s="5"/>
      <c r="J368" s="5"/>
      <c r="K368" s="5"/>
      <c r="L368" s="5"/>
      <c r="M368" s="5"/>
      <c r="N368" s="5"/>
      <c r="O368" s="5"/>
      <c r="P368" s="5"/>
      <c r="Q368" s="5"/>
      <c r="R368" s="5"/>
    </row>
    <row r="369" ht="15.75" customHeight="1">
      <c r="A369" s="5"/>
      <c r="B369" s="5"/>
      <c r="C369" s="5"/>
      <c r="D369" s="5"/>
      <c r="E369" s="5"/>
      <c r="F369" s="5"/>
      <c r="G369" s="5"/>
      <c r="H369" s="5"/>
      <c r="I369" s="5"/>
      <c r="J369" s="5"/>
      <c r="K369" s="5"/>
      <c r="L369" s="5"/>
      <c r="M369" s="5"/>
      <c r="N369" s="5"/>
      <c r="O369" s="5"/>
      <c r="P369" s="5"/>
      <c r="Q369" s="5"/>
      <c r="R369" s="5"/>
    </row>
    <row r="370" ht="15.75" customHeight="1">
      <c r="A370" s="5"/>
      <c r="B370" s="5"/>
      <c r="C370" s="5"/>
      <c r="D370" s="5"/>
      <c r="E370" s="5"/>
      <c r="F370" s="5"/>
      <c r="G370" s="5"/>
      <c r="H370" s="5"/>
      <c r="I370" s="5"/>
      <c r="J370" s="5"/>
      <c r="K370" s="5"/>
      <c r="L370" s="5"/>
      <c r="M370" s="5"/>
      <c r="N370" s="5"/>
      <c r="O370" s="5"/>
      <c r="P370" s="5"/>
      <c r="Q370" s="5"/>
      <c r="R370" s="5"/>
    </row>
    <row r="371" ht="15.75" customHeight="1">
      <c r="A371" s="5"/>
      <c r="B371" s="5"/>
      <c r="C371" s="5"/>
      <c r="D371" s="5"/>
      <c r="E371" s="5"/>
      <c r="F371" s="5"/>
      <c r="G371" s="5"/>
      <c r="H371" s="5"/>
      <c r="I371" s="5"/>
      <c r="J371" s="5"/>
      <c r="K371" s="5"/>
      <c r="L371" s="5"/>
      <c r="M371" s="5"/>
      <c r="N371" s="5"/>
      <c r="O371" s="5"/>
      <c r="P371" s="5"/>
      <c r="Q371" s="5"/>
      <c r="R371" s="5"/>
    </row>
    <row r="372" ht="15.75" customHeight="1">
      <c r="A372" s="5"/>
      <c r="B372" s="5"/>
      <c r="C372" s="5"/>
      <c r="D372" s="5"/>
      <c r="E372" s="5"/>
      <c r="F372" s="5"/>
      <c r="G372" s="5"/>
      <c r="H372" s="5"/>
      <c r="I372" s="5"/>
      <c r="J372" s="5"/>
      <c r="K372" s="5"/>
      <c r="L372" s="5"/>
      <c r="M372" s="5"/>
      <c r="N372" s="5"/>
      <c r="O372" s="5"/>
      <c r="P372" s="5"/>
      <c r="Q372" s="5"/>
      <c r="R372" s="5"/>
    </row>
    <row r="373" ht="15.75" customHeight="1">
      <c r="A373" s="5"/>
      <c r="B373" s="5"/>
      <c r="C373" s="5"/>
      <c r="D373" s="5"/>
      <c r="E373" s="5"/>
      <c r="F373" s="5"/>
      <c r="G373" s="5"/>
      <c r="H373" s="5"/>
      <c r="I373" s="5"/>
      <c r="J373" s="5"/>
      <c r="K373" s="5"/>
      <c r="L373" s="5"/>
      <c r="M373" s="5"/>
      <c r="N373" s="5"/>
      <c r="O373" s="5"/>
      <c r="P373" s="5"/>
      <c r="Q373" s="5"/>
      <c r="R373" s="5"/>
    </row>
    <row r="374" ht="15.75" customHeight="1">
      <c r="A374" s="5"/>
      <c r="B374" s="5"/>
      <c r="C374" s="5"/>
      <c r="D374" s="5"/>
      <c r="E374" s="5"/>
      <c r="F374" s="5"/>
      <c r="G374" s="5"/>
      <c r="H374" s="5"/>
      <c r="I374" s="5"/>
      <c r="J374" s="5"/>
      <c r="K374" s="5"/>
      <c r="L374" s="5"/>
      <c r="M374" s="5"/>
      <c r="N374" s="5"/>
      <c r="O374" s="5"/>
      <c r="P374" s="5"/>
      <c r="Q374" s="5"/>
      <c r="R374" s="5"/>
    </row>
    <row r="375" ht="15.75" customHeight="1">
      <c r="A375" s="5"/>
      <c r="B375" s="5"/>
      <c r="C375" s="5"/>
      <c r="D375" s="5"/>
      <c r="E375" s="5"/>
      <c r="F375" s="5"/>
      <c r="G375" s="5"/>
      <c r="H375" s="5"/>
      <c r="I375" s="5"/>
      <c r="J375" s="5"/>
      <c r="K375" s="5"/>
      <c r="L375" s="5"/>
      <c r="M375" s="5"/>
      <c r="N375" s="5"/>
      <c r="O375" s="5"/>
      <c r="P375" s="5"/>
      <c r="Q375" s="5"/>
      <c r="R375" s="5"/>
    </row>
    <row r="376" ht="15.75" customHeight="1">
      <c r="A376" s="5"/>
      <c r="B376" s="5"/>
      <c r="C376" s="5"/>
      <c r="D376" s="5"/>
      <c r="E376" s="5"/>
      <c r="F376" s="5"/>
      <c r="G376" s="5"/>
      <c r="H376" s="5"/>
      <c r="I376" s="5"/>
      <c r="J376" s="5"/>
      <c r="K376" s="5"/>
      <c r="L376" s="5"/>
      <c r="M376" s="5"/>
      <c r="N376" s="5"/>
      <c r="O376" s="5"/>
      <c r="P376" s="5"/>
      <c r="Q376" s="5"/>
      <c r="R376" s="5"/>
    </row>
    <row r="377" ht="15.75" customHeight="1">
      <c r="A377" s="5"/>
      <c r="B377" s="5"/>
      <c r="C377" s="5"/>
      <c r="D377" s="5"/>
      <c r="E377" s="5"/>
      <c r="F377" s="5"/>
      <c r="G377" s="5"/>
      <c r="H377" s="5"/>
      <c r="I377" s="5"/>
      <c r="J377" s="5"/>
      <c r="K377" s="5"/>
      <c r="L377" s="5"/>
      <c r="M377" s="5"/>
      <c r="N377" s="5"/>
      <c r="O377" s="5"/>
      <c r="P377" s="5"/>
      <c r="Q377" s="5"/>
      <c r="R377" s="5"/>
    </row>
    <row r="378" ht="15.75" customHeight="1">
      <c r="A378" s="5"/>
      <c r="B378" s="5"/>
      <c r="C378" s="5"/>
      <c r="D378" s="5"/>
      <c r="E378" s="5"/>
      <c r="F378" s="5"/>
      <c r="G378" s="5"/>
      <c r="H378" s="5"/>
      <c r="I378" s="5"/>
      <c r="J378" s="5"/>
      <c r="K378" s="5"/>
      <c r="L378" s="5"/>
      <c r="M378" s="5"/>
      <c r="N378" s="5"/>
      <c r="O378" s="5"/>
      <c r="P378" s="5"/>
      <c r="Q378" s="5"/>
      <c r="R378" s="5"/>
    </row>
    <row r="379" ht="15.75" customHeight="1">
      <c r="A379" s="5"/>
      <c r="B379" s="5"/>
      <c r="C379" s="5"/>
      <c r="D379" s="5"/>
      <c r="E379" s="5"/>
      <c r="F379" s="5"/>
      <c r="G379" s="5"/>
      <c r="H379" s="5"/>
      <c r="I379" s="5"/>
      <c r="J379" s="5"/>
      <c r="K379" s="5"/>
      <c r="L379" s="5"/>
      <c r="M379" s="5"/>
      <c r="N379" s="5"/>
      <c r="O379" s="5"/>
      <c r="P379" s="5"/>
      <c r="Q379" s="5"/>
      <c r="R379" s="5"/>
    </row>
    <row r="380" ht="15.75" customHeight="1">
      <c r="A380" s="5"/>
      <c r="B380" s="5"/>
      <c r="C380" s="5"/>
      <c r="D380" s="5"/>
      <c r="E380" s="5"/>
      <c r="F380" s="5"/>
      <c r="G380" s="5"/>
      <c r="H380" s="5"/>
      <c r="I380" s="5"/>
      <c r="J380" s="5"/>
      <c r="K380" s="5"/>
      <c r="L380" s="5"/>
      <c r="M380" s="5"/>
      <c r="N380" s="5"/>
      <c r="O380" s="5"/>
      <c r="P380" s="5"/>
      <c r="Q380" s="5"/>
      <c r="R380" s="5"/>
    </row>
    <row r="381" ht="15.75" customHeight="1">
      <c r="A381" s="5"/>
      <c r="B381" s="5"/>
      <c r="C381" s="5"/>
      <c r="D381" s="5"/>
      <c r="E381" s="5"/>
      <c r="F381" s="5"/>
      <c r="G381" s="5"/>
      <c r="H381" s="5"/>
      <c r="I381" s="5"/>
      <c r="J381" s="5"/>
      <c r="K381" s="5"/>
      <c r="L381" s="5"/>
      <c r="M381" s="5"/>
      <c r="N381" s="5"/>
      <c r="O381" s="5"/>
      <c r="P381" s="5"/>
      <c r="Q381" s="5"/>
      <c r="R381" s="5"/>
    </row>
    <row r="382" ht="15.75" customHeight="1">
      <c r="A382" s="5"/>
      <c r="B382" s="5"/>
      <c r="C382" s="5"/>
      <c r="D382" s="5"/>
      <c r="E382" s="5"/>
      <c r="F382" s="5"/>
      <c r="G382" s="5"/>
      <c r="H382" s="5"/>
      <c r="I382" s="5"/>
      <c r="J382" s="5"/>
      <c r="K382" s="5"/>
      <c r="L382" s="5"/>
      <c r="M382" s="5"/>
      <c r="N382" s="5"/>
      <c r="O382" s="5"/>
      <c r="P382" s="5"/>
      <c r="Q382" s="5"/>
      <c r="R382" s="5"/>
    </row>
    <row r="383" ht="15.75" customHeight="1">
      <c r="A383" s="5"/>
      <c r="B383" s="5"/>
      <c r="C383" s="5"/>
      <c r="D383" s="5"/>
      <c r="E383" s="5"/>
      <c r="F383" s="5"/>
      <c r="G383" s="5"/>
      <c r="H383" s="5"/>
      <c r="I383" s="5"/>
      <c r="J383" s="5"/>
      <c r="K383" s="5"/>
      <c r="L383" s="5"/>
      <c r="M383" s="5"/>
      <c r="N383" s="5"/>
      <c r="O383" s="5"/>
      <c r="P383" s="5"/>
      <c r="Q383" s="5"/>
      <c r="R383" s="5"/>
    </row>
    <row r="384" ht="15.75" customHeight="1">
      <c r="A384" s="5"/>
      <c r="B384" s="5"/>
      <c r="C384" s="5"/>
      <c r="D384" s="5"/>
      <c r="E384" s="5"/>
      <c r="F384" s="5"/>
      <c r="G384" s="5"/>
      <c r="H384" s="5"/>
      <c r="I384" s="5"/>
      <c r="J384" s="5"/>
      <c r="K384" s="5"/>
      <c r="L384" s="5"/>
      <c r="M384" s="5"/>
      <c r="N384" s="5"/>
      <c r="O384" s="5"/>
      <c r="P384" s="5"/>
      <c r="Q384" s="5"/>
      <c r="R384" s="5"/>
    </row>
    <row r="385" ht="15.75" customHeight="1">
      <c r="A385" s="5"/>
      <c r="B385" s="5"/>
      <c r="C385" s="5"/>
      <c r="D385" s="5"/>
      <c r="E385" s="5"/>
      <c r="F385" s="5"/>
      <c r="G385" s="5"/>
      <c r="H385" s="5"/>
      <c r="I385" s="5"/>
      <c r="J385" s="5"/>
      <c r="K385" s="5"/>
      <c r="L385" s="5"/>
      <c r="M385" s="5"/>
      <c r="N385" s="5"/>
      <c r="O385" s="5"/>
      <c r="P385" s="5"/>
      <c r="Q385" s="5"/>
      <c r="R385" s="5"/>
    </row>
    <row r="386" ht="15.75" customHeight="1">
      <c r="A386" s="5"/>
      <c r="B386" s="5"/>
      <c r="C386" s="5"/>
      <c r="D386" s="5"/>
      <c r="E386" s="5"/>
      <c r="F386" s="5"/>
      <c r="G386" s="5"/>
      <c r="H386" s="5"/>
      <c r="I386" s="5"/>
      <c r="J386" s="5"/>
      <c r="K386" s="5"/>
      <c r="L386" s="5"/>
      <c r="M386" s="5"/>
      <c r="N386" s="5"/>
      <c r="O386" s="5"/>
      <c r="P386" s="5"/>
      <c r="Q386" s="5"/>
      <c r="R386" s="5"/>
    </row>
    <row r="387" ht="15.75" customHeight="1">
      <c r="A387" s="5"/>
      <c r="B387" s="5"/>
      <c r="C387" s="5"/>
      <c r="D387" s="5"/>
      <c r="E387" s="5"/>
      <c r="F387" s="5"/>
      <c r="G387" s="5"/>
      <c r="H387" s="5"/>
      <c r="I387" s="5"/>
      <c r="J387" s="5"/>
      <c r="K387" s="5"/>
      <c r="L387" s="5"/>
      <c r="M387" s="5"/>
      <c r="N387" s="5"/>
      <c r="O387" s="5"/>
      <c r="P387" s="5"/>
      <c r="Q387" s="5"/>
      <c r="R387" s="5"/>
    </row>
    <row r="388" ht="15.75" customHeight="1">
      <c r="A388" s="5"/>
      <c r="B388" s="5"/>
      <c r="C388" s="5"/>
      <c r="D388" s="5"/>
      <c r="E388" s="5"/>
      <c r="F388" s="5"/>
      <c r="G388" s="5"/>
      <c r="H388" s="5"/>
      <c r="I388" s="5"/>
      <c r="J388" s="5"/>
      <c r="K388" s="5"/>
      <c r="L388" s="5"/>
      <c r="M388" s="5"/>
      <c r="N388" s="5"/>
      <c r="O388" s="5"/>
      <c r="P388" s="5"/>
      <c r="Q388" s="5"/>
      <c r="R388" s="5"/>
    </row>
    <row r="389" ht="15.75" customHeight="1">
      <c r="A389" s="5"/>
      <c r="B389" s="5"/>
      <c r="C389" s="5"/>
      <c r="D389" s="5"/>
      <c r="E389" s="5"/>
      <c r="F389" s="5"/>
      <c r="G389" s="5"/>
      <c r="H389" s="5"/>
      <c r="I389" s="5"/>
      <c r="J389" s="5"/>
      <c r="K389" s="5"/>
      <c r="L389" s="5"/>
      <c r="M389" s="5"/>
      <c r="N389" s="5"/>
      <c r="O389" s="5"/>
      <c r="P389" s="5"/>
      <c r="Q389" s="5"/>
      <c r="R389" s="5"/>
    </row>
    <row r="390" ht="15.75" customHeight="1">
      <c r="A390" s="5"/>
      <c r="B390" s="5"/>
      <c r="C390" s="5"/>
      <c r="D390" s="5"/>
      <c r="E390" s="5"/>
      <c r="F390" s="5"/>
      <c r="G390" s="5"/>
      <c r="H390" s="5"/>
      <c r="I390" s="5"/>
      <c r="J390" s="5"/>
      <c r="K390" s="5"/>
      <c r="L390" s="5"/>
      <c r="M390" s="5"/>
      <c r="N390" s="5"/>
      <c r="O390" s="5"/>
      <c r="P390" s="5"/>
      <c r="Q390" s="5"/>
      <c r="R390" s="5"/>
    </row>
    <row r="391" ht="15.75" customHeight="1">
      <c r="A391" s="5"/>
      <c r="B391" s="5"/>
      <c r="C391" s="5"/>
      <c r="D391" s="5"/>
      <c r="E391" s="5"/>
      <c r="F391" s="5"/>
      <c r="G391" s="5"/>
      <c r="H391" s="5"/>
      <c r="I391" s="5"/>
      <c r="J391" s="5"/>
      <c r="K391" s="5"/>
      <c r="L391" s="5"/>
      <c r="M391" s="5"/>
      <c r="N391" s="5"/>
      <c r="O391" s="5"/>
      <c r="P391" s="5"/>
      <c r="Q391" s="5"/>
      <c r="R391" s="5"/>
    </row>
    <row r="392" ht="15.75" customHeight="1">
      <c r="A392" s="5"/>
      <c r="B392" s="5"/>
      <c r="C392" s="5"/>
      <c r="D392" s="5"/>
      <c r="E392" s="5"/>
      <c r="F392" s="5"/>
      <c r="G392" s="5"/>
      <c r="H392" s="5"/>
      <c r="I392" s="5"/>
      <c r="J392" s="5"/>
      <c r="K392" s="5"/>
      <c r="L392" s="5"/>
      <c r="M392" s="5"/>
      <c r="N392" s="5"/>
      <c r="O392" s="5"/>
      <c r="P392" s="5"/>
      <c r="Q392" s="5"/>
      <c r="R392" s="5"/>
    </row>
    <row r="393" ht="15.75" customHeight="1">
      <c r="A393" s="5"/>
      <c r="B393" s="5"/>
      <c r="C393" s="5"/>
      <c r="D393" s="5"/>
      <c r="E393" s="5"/>
      <c r="F393" s="5"/>
      <c r="G393" s="5"/>
      <c r="H393" s="5"/>
      <c r="I393" s="5"/>
      <c r="J393" s="5"/>
      <c r="K393" s="5"/>
      <c r="L393" s="5"/>
      <c r="M393" s="5"/>
      <c r="N393" s="5"/>
      <c r="O393" s="5"/>
      <c r="P393" s="5"/>
      <c r="Q393" s="5"/>
      <c r="R393" s="5"/>
    </row>
    <row r="394" ht="15.75" customHeight="1">
      <c r="A394" s="5"/>
      <c r="B394" s="5"/>
      <c r="C394" s="5"/>
      <c r="D394" s="5"/>
      <c r="E394" s="5"/>
      <c r="F394" s="5"/>
      <c r="G394" s="5"/>
      <c r="H394" s="5"/>
      <c r="I394" s="5"/>
      <c r="J394" s="5"/>
      <c r="K394" s="5"/>
      <c r="L394" s="5"/>
      <c r="M394" s="5"/>
      <c r="N394" s="5"/>
      <c r="O394" s="5"/>
      <c r="P394" s="5"/>
      <c r="Q394" s="5"/>
      <c r="R394" s="5"/>
    </row>
    <row r="395" ht="15.75" customHeight="1">
      <c r="A395" s="5"/>
      <c r="B395" s="5"/>
      <c r="C395" s="5"/>
      <c r="D395" s="5"/>
      <c r="E395" s="5"/>
      <c r="F395" s="5"/>
      <c r="G395" s="5"/>
      <c r="H395" s="5"/>
      <c r="I395" s="5"/>
      <c r="J395" s="5"/>
      <c r="K395" s="5"/>
      <c r="L395" s="5"/>
      <c r="M395" s="5"/>
      <c r="N395" s="5"/>
      <c r="O395" s="5"/>
      <c r="P395" s="5"/>
      <c r="Q395" s="5"/>
      <c r="R395" s="5"/>
    </row>
    <row r="396" ht="15.75" customHeight="1">
      <c r="A396" s="5"/>
      <c r="B396" s="5"/>
      <c r="C396" s="5"/>
      <c r="D396" s="5"/>
      <c r="E396" s="5"/>
      <c r="F396" s="5"/>
      <c r="G396" s="5"/>
      <c r="H396" s="5"/>
      <c r="I396" s="5"/>
      <c r="J396" s="5"/>
      <c r="K396" s="5"/>
      <c r="L396" s="5"/>
      <c r="M396" s="5"/>
      <c r="N396" s="5"/>
      <c r="O396" s="5"/>
      <c r="P396" s="5"/>
      <c r="Q396" s="5"/>
      <c r="R396" s="5"/>
    </row>
    <row r="397" ht="15.75" customHeight="1">
      <c r="A397" s="5"/>
      <c r="B397" s="5"/>
      <c r="C397" s="5"/>
      <c r="D397" s="5"/>
      <c r="E397" s="5"/>
      <c r="F397" s="5"/>
      <c r="G397" s="5"/>
      <c r="H397" s="5"/>
      <c r="I397" s="5"/>
      <c r="J397" s="5"/>
      <c r="K397" s="5"/>
      <c r="L397" s="5"/>
      <c r="M397" s="5"/>
      <c r="N397" s="5"/>
      <c r="O397" s="5"/>
      <c r="P397" s="5"/>
      <c r="Q397" s="5"/>
      <c r="R397" s="5"/>
    </row>
    <row r="398" ht="15.75" customHeight="1">
      <c r="A398" s="5"/>
      <c r="B398" s="5"/>
      <c r="C398" s="5"/>
      <c r="D398" s="5"/>
      <c r="E398" s="5"/>
      <c r="F398" s="5"/>
      <c r="G398" s="5"/>
      <c r="H398" s="5"/>
      <c r="I398" s="5"/>
      <c r="J398" s="5"/>
      <c r="K398" s="5"/>
      <c r="L398" s="5"/>
      <c r="M398" s="5"/>
      <c r="N398" s="5"/>
      <c r="O398" s="5"/>
      <c r="P398" s="5"/>
      <c r="Q398" s="5"/>
      <c r="R398" s="5"/>
    </row>
    <row r="399" ht="15.75" customHeight="1">
      <c r="A399" s="5"/>
      <c r="B399" s="5"/>
      <c r="C399" s="5"/>
      <c r="D399" s="5"/>
      <c r="E399" s="5"/>
      <c r="F399" s="5"/>
      <c r="G399" s="5"/>
      <c r="H399" s="5"/>
      <c r="I399" s="5"/>
      <c r="J399" s="5"/>
      <c r="K399" s="5"/>
      <c r="L399" s="5"/>
      <c r="M399" s="5"/>
      <c r="N399" s="5"/>
      <c r="O399" s="5"/>
      <c r="P399" s="5"/>
      <c r="Q399" s="5"/>
      <c r="R399" s="5"/>
    </row>
    <row r="400" ht="15.75" customHeight="1">
      <c r="A400" s="5"/>
      <c r="B400" s="5"/>
      <c r="C400" s="5"/>
      <c r="D400" s="5"/>
      <c r="E400" s="5"/>
      <c r="F400" s="5"/>
      <c r="G400" s="5"/>
      <c r="H400" s="5"/>
      <c r="I400" s="5"/>
      <c r="J400" s="5"/>
      <c r="K400" s="5"/>
      <c r="L400" s="5"/>
      <c r="M400" s="5"/>
      <c r="N400" s="5"/>
      <c r="O400" s="5"/>
      <c r="P400" s="5"/>
      <c r="Q400" s="5"/>
      <c r="R400" s="5"/>
    </row>
    <row r="401" ht="15.75" customHeight="1">
      <c r="A401" s="5"/>
      <c r="B401" s="5"/>
      <c r="C401" s="5"/>
      <c r="D401" s="5"/>
      <c r="E401" s="5"/>
      <c r="F401" s="5"/>
      <c r="G401" s="5"/>
      <c r="H401" s="5"/>
      <c r="I401" s="5"/>
      <c r="J401" s="5"/>
      <c r="K401" s="5"/>
      <c r="L401" s="5"/>
      <c r="M401" s="5"/>
      <c r="N401" s="5"/>
      <c r="O401" s="5"/>
      <c r="P401" s="5"/>
      <c r="Q401" s="5"/>
      <c r="R401" s="5"/>
    </row>
    <row r="402" ht="15.75" customHeight="1">
      <c r="A402" s="5"/>
      <c r="B402" s="5"/>
      <c r="C402" s="5"/>
      <c r="D402" s="5"/>
      <c r="E402" s="5"/>
      <c r="F402" s="5"/>
      <c r="G402" s="5"/>
      <c r="H402" s="5"/>
      <c r="I402" s="5"/>
      <c r="J402" s="5"/>
      <c r="K402" s="5"/>
      <c r="L402" s="5"/>
      <c r="M402" s="5"/>
      <c r="N402" s="5"/>
      <c r="O402" s="5"/>
      <c r="P402" s="5"/>
      <c r="Q402" s="5"/>
      <c r="R402" s="5"/>
    </row>
    <row r="403" ht="15.75" customHeight="1">
      <c r="A403" s="5"/>
      <c r="B403" s="5"/>
      <c r="C403" s="5"/>
      <c r="D403" s="5"/>
      <c r="E403" s="5"/>
      <c r="F403" s="5"/>
      <c r="G403" s="5"/>
      <c r="H403" s="5"/>
      <c r="I403" s="5"/>
      <c r="J403" s="5"/>
      <c r="K403" s="5"/>
      <c r="L403" s="5"/>
      <c r="M403" s="5"/>
      <c r="N403" s="5"/>
      <c r="O403" s="5"/>
      <c r="P403" s="5"/>
      <c r="Q403" s="5"/>
      <c r="R403" s="5"/>
    </row>
    <row r="404" ht="15.75" customHeight="1">
      <c r="A404" s="5"/>
      <c r="B404" s="5"/>
      <c r="C404" s="5"/>
      <c r="D404" s="5"/>
      <c r="E404" s="5"/>
      <c r="F404" s="5"/>
      <c r="G404" s="5"/>
      <c r="H404" s="5"/>
      <c r="I404" s="5"/>
      <c r="J404" s="5"/>
      <c r="K404" s="5"/>
      <c r="L404" s="5"/>
      <c r="M404" s="5"/>
      <c r="N404" s="5"/>
      <c r="O404" s="5"/>
      <c r="P404" s="5"/>
      <c r="Q404" s="5"/>
      <c r="R404" s="5"/>
    </row>
    <row r="405" ht="15.75" customHeight="1">
      <c r="A405" s="5"/>
      <c r="B405" s="5"/>
      <c r="C405" s="5"/>
      <c r="D405" s="5"/>
      <c r="E405" s="5"/>
      <c r="F405" s="5"/>
      <c r="G405" s="5"/>
      <c r="H405" s="5"/>
      <c r="I405" s="5"/>
      <c r="J405" s="5"/>
      <c r="K405" s="5"/>
      <c r="L405" s="5"/>
      <c r="M405" s="5"/>
      <c r="N405" s="5"/>
      <c r="O405" s="5"/>
      <c r="P405" s="5"/>
      <c r="Q405" s="5"/>
      <c r="R405" s="5"/>
    </row>
    <row r="406" ht="15.75" customHeight="1">
      <c r="A406" s="5"/>
      <c r="B406" s="5"/>
      <c r="C406" s="5"/>
      <c r="D406" s="5"/>
      <c r="E406" s="5"/>
      <c r="F406" s="5"/>
      <c r="G406" s="5"/>
      <c r="H406" s="5"/>
      <c r="I406" s="5"/>
      <c r="J406" s="5"/>
      <c r="K406" s="5"/>
      <c r="L406" s="5"/>
      <c r="M406" s="5"/>
      <c r="N406" s="5"/>
      <c r="O406" s="5"/>
      <c r="P406" s="5"/>
      <c r="Q406" s="5"/>
      <c r="R406" s="5"/>
    </row>
    <row r="407" ht="15.75" customHeight="1">
      <c r="A407" s="5"/>
      <c r="B407" s="5"/>
      <c r="C407" s="5"/>
      <c r="D407" s="5"/>
      <c r="E407" s="5"/>
      <c r="F407" s="5"/>
      <c r="G407" s="5"/>
      <c r="H407" s="5"/>
      <c r="I407" s="5"/>
      <c r="J407" s="5"/>
      <c r="K407" s="5"/>
      <c r="L407" s="5"/>
      <c r="M407" s="5"/>
      <c r="N407" s="5"/>
      <c r="O407" s="5"/>
      <c r="P407" s="5"/>
      <c r="Q407" s="5"/>
      <c r="R407" s="5"/>
    </row>
    <row r="408" ht="15.75" customHeight="1">
      <c r="A408" s="5"/>
      <c r="B408" s="5"/>
      <c r="C408" s="5"/>
      <c r="D408" s="5"/>
      <c r="E408" s="5"/>
      <c r="F408" s="5"/>
      <c r="G408" s="5"/>
      <c r="H408" s="5"/>
      <c r="I408" s="5"/>
      <c r="J408" s="5"/>
      <c r="K408" s="5"/>
      <c r="L408" s="5"/>
      <c r="M408" s="5"/>
      <c r="N408" s="5"/>
      <c r="O408" s="5"/>
      <c r="P408" s="5"/>
      <c r="Q408" s="5"/>
      <c r="R408" s="5"/>
    </row>
    <row r="409" ht="15.75" customHeight="1">
      <c r="A409" s="5"/>
      <c r="B409" s="5"/>
      <c r="C409" s="5"/>
      <c r="D409" s="5"/>
      <c r="E409" s="5"/>
      <c r="F409" s="5"/>
      <c r="G409" s="5"/>
      <c r="H409" s="5"/>
      <c r="I409" s="5"/>
      <c r="J409" s="5"/>
      <c r="K409" s="5"/>
      <c r="L409" s="5"/>
      <c r="M409" s="5"/>
      <c r="N409" s="5"/>
      <c r="O409" s="5"/>
      <c r="P409" s="5"/>
      <c r="Q409" s="5"/>
      <c r="R409" s="5"/>
    </row>
    <row r="410" ht="15.75" customHeight="1">
      <c r="A410" s="5"/>
      <c r="B410" s="5"/>
      <c r="C410" s="5"/>
      <c r="D410" s="5"/>
      <c r="E410" s="5"/>
      <c r="F410" s="5"/>
      <c r="G410" s="5"/>
      <c r="H410" s="5"/>
      <c r="I410" s="5"/>
      <c r="J410" s="5"/>
      <c r="K410" s="5"/>
      <c r="L410" s="5"/>
      <c r="M410" s="5"/>
      <c r="N410" s="5"/>
      <c r="O410" s="5"/>
      <c r="P410" s="5"/>
      <c r="Q410" s="5"/>
      <c r="R410" s="5"/>
    </row>
    <row r="411" ht="15.75" customHeight="1">
      <c r="A411" s="5"/>
      <c r="B411" s="5"/>
      <c r="C411" s="5"/>
      <c r="D411" s="5"/>
      <c r="E411" s="5"/>
      <c r="F411" s="5"/>
      <c r="G411" s="5"/>
      <c r="H411" s="5"/>
      <c r="I411" s="5"/>
      <c r="J411" s="5"/>
      <c r="K411" s="5"/>
      <c r="L411" s="5"/>
      <c r="M411" s="5"/>
      <c r="N411" s="5"/>
      <c r="O411" s="5"/>
      <c r="P411" s="5"/>
      <c r="Q411" s="5"/>
      <c r="R411" s="5"/>
    </row>
    <row r="412" ht="15.75" customHeight="1">
      <c r="A412" s="5"/>
      <c r="B412" s="5"/>
      <c r="C412" s="5"/>
      <c r="D412" s="5"/>
      <c r="E412" s="5"/>
      <c r="F412" s="5"/>
      <c r="G412" s="5"/>
      <c r="H412" s="5"/>
      <c r="I412" s="5"/>
      <c r="J412" s="5"/>
      <c r="K412" s="5"/>
      <c r="L412" s="5"/>
      <c r="M412" s="5"/>
      <c r="N412" s="5"/>
      <c r="O412" s="5"/>
      <c r="P412" s="5"/>
      <c r="Q412" s="5"/>
      <c r="R412" s="5"/>
    </row>
    <row r="413" ht="15.75" customHeight="1">
      <c r="A413" s="5"/>
      <c r="B413" s="5"/>
      <c r="C413" s="5"/>
      <c r="D413" s="5"/>
      <c r="E413" s="5"/>
      <c r="F413" s="5"/>
      <c r="G413" s="5"/>
      <c r="H413" s="5"/>
      <c r="I413" s="5"/>
      <c r="J413" s="5"/>
      <c r="K413" s="5"/>
      <c r="L413" s="5"/>
      <c r="M413" s="5"/>
      <c r="N413" s="5"/>
      <c r="O413" s="5"/>
      <c r="P413" s="5"/>
      <c r="Q413" s="5"/>
      <c r="R413" s="5"/>
    </row>
    <row r="414" ht="15.75" customHeight="1">
      <c r="A414" s="5"/>
      <c r="B414" s="5"/>
      <c r="C414" s="5"/>
      <c r="D414" s="5"/>
      <c r="E414" s="5"/>
      <c r="F414" s="5"/>
      <c r="G414" s="5"/>
      <c r="H414" s="5"/>
      <c r="I414" s="5"/>
      <c r="J414" s="5"/>
      <c r="K414" s="5"/>
      <c r="L414" s="5"/>
      <c r="M414" s="5"/>
      <c r="N414" s="5"/>
      <c r="O414" s="5"/>
      <c r="P414" s="5"/>
      <c r="Q414" s="5"/>
      <c r="R414" s="5"/>
    </row>
    <row r="415" ht="15.75" customHeight="1">
      <c r="A415" s="5"/>
      <c r="B415" s="5"/>
      <c r="C415" s="5"/>
      <c r="D415" s="5"/>
      <c r="E415" s="5"/>
      <c r="F415" s="5"/>
      <c r="G415" s="5"/>
      <c r="H415" s="5"/>
      <c r="I415" s="5"/>
      <c r="J415" s="5"/>
      <c r="K415" s="5"/>
      <c r="L415" s="5"/>
      <c r="M415" s="5"/>
      <c r="N415" s="5"/>
      <c r="O415" s="5"/>
      <c r="P415" s="5"/>
      <c r="Q415" s="5"/>
      <c r="R415" s="5"/>
    </row>
    <row r="416" ht="15.75" customHeight="1">
      <c r="A416" s="5"/>
      <c r="B416" s="5"/>
      <c r="C416" s="5"/>
      <c r="D416" s="5"/>
      <c r="E416" s="5"/>
      <c r="F416" s="5"/>
      <c r="G416" s="5"/>
      <c r="H416" s="5"/>
      <c r="I416" s="5"/>
      <c r="J416" s="5"/>
      <c r="K416" s="5"/>
      <c r="L416" s="5"/>
      <c r="M416" s="5"/>
      <c r="N416" s="5"/>
      <c r="O416" s="5"/>
      <c r="P416" s="5"/>
      <c r="Q416" s="5"/>
      <c r="R416" s="5"/>
    </row>
    <row r="417" ht="15.75" customHeight="1">
      <c r="A417" s="5"/>
      <c r="B417" s="5"/>
      <c r="C417" s="5"/>
      <c r="D417" s="5"/>
      <c r="E417" s="5"/>
      <c r="F417" s="5"/>
      <c r="G417" s="5"/>
      <c r="H417" s="5"/>
      <c r="I417" s="5"/>
      <c r="J417" s="5"/>
      <c r="K417" s="5"/>
      <c r="L417" s="5"/>
      <c r="M417" s="5"/>
      <c r="N417" s="5"/>
      <c r="O417" s="5"/>
      <c r="P417" s="5"/>
      <c r="Q417" s="5"/>
      <c r="R417" s="5"/>
    </row>
    <row r="418" ht="15.75" customHeight="1">
      <c r="A418" s="5"/>
      <c r="B418" s="5"/>
      <c r="C418" s="5"/>
      <c r="D418" s="5"/>
      <c r="E418" s="5"/>
      <c r="F418" s="5"/>
      <c r="G418" s="5"/>
      <c r="H418" s="5"/>
      <c r="I418" s="5"/>
      <c r="J418" s="5"/>
      <c r="K418" s="5"/>
      <c r="L418" s="5"/>
      <c r="M418" s="5"/>
      <c r="N418" s="5"/>
      <c r="O418" s="5"/>
      <c r="P418" s="5"/>
      <c r="Q418" s="5"/>
      <c r="R418" s="5"/>
    </row>
    <row r="419" ht="15.75" customHeight="1">
      <c r="A419" s="5"/>
      <c r="B419" s="5"/>
      <c r="C419" s="5"/>
      <c r="D419" s="5"/>
      <c r="E419" s="5"/>
      <c r="F419" s="5"/>
      <c r="G419" s="5"/>
      <c r="H419" s="5"/>
      <c r="I419" s="5"/>
      <c r="J419" s="5"/>
      <c r="K419" s="5"/>
      <c r="L419" s="5"/>
      <c r="M419" s="5"/>
      <c r="N419" s="5"/>
      <c r="O419" s="5"/>
      <c r="P419" s="5"/>
      <c r="Q419" s="5"/>
      <c r="R419" s="5"/>
    </row>
    <row r="420" ht="15.75" customHeight="1">
      <c r="A420" s="5"/>
      <c r="B420" s="5"/>
      <c r="C420" s="5"/>
      <c r="D420" s="5"/>
      <c r="E420" s="5"/>
      <c r="F420" s="5"/>
      <c r="G420" s="5"/>
      <c r="H420" s="5"/>
      <c r="I420" s="5"/>
      <c r="J420" s="5"/>
      <c r="K420" s="5"/>
      <c r="L420" s="5"/>
      <c r="M420" s="5"/>
      <c r="N420" s="5"/>
      <c r="O420" s="5"/>
      <c r="P420" s="5"/>
      <c r="Q420" s="5"/>
      <c r="R420" s="5"/>
    </row>
    <row r="421" ht="15.75" customHeight="1">
      <c r="A421" s="5"/>
      <c r="B421" s="5"/>
      <c r="C421" s="5"/>
      <c r="D421" s="5"/>
      <c r="E421" s="5"/>
      <c r="F421" s="5"/>
      <c r="G421" s="5"/>
      <c r="H421" s="5"/>
      <c r="I421" s="5"/>
      <c r="J421" s="5"/>
      <c r="K421" s="5"/>
      <c r="L421" s="5"/>
      <c r="M421" s="5"/>
      <c r="N421" s="5"/>
      <c r="O421" s="5"/>
      <c r="P421" s="5"/>
      <c r="Q421" s="5"/>
      <c r="R421" s="5"/>
    </row>
    <row r="422" ht="15.75" customHeight="1">
      <c r="A422" s="5"/>
      <c r="B422" s="5"/>
      <c r="C422" s="5"/>
      <c r="D422" s="5"/>
      <c r="E422" s="5"/>
      <c r="F422" s="5"/>
      <c r="G422" s="5"/>
      <c r="H422" s="5"/>
      <c r="I422" s="5"/>
      <c r="J422" s="5"/>
      <c r="K422" s="5"/>
      <c r="L422" s="5"/>
      <c r="M422" s="5"/>
      <c r="N422" s="5"/>
      <c r="O422" s="5"/>
      <c r="P422" s="5"/>
      <c r="Q422" s="5"/>
      <c r="R422" s="5"/>
    </row>
    <row r="423" ht="15.75" customHeight="1">
      <c r="A423" s="5"/>
      <c r="B423" s="5"/>
      <c r="C423" s="5"/>
      <c r="D423" s="5"/>
      <c r="E423" s="5"/>
      <c r="F423" s="5"/>
      <c r="G423" s="5"/>
      <c r="H423" s="5"/>
      <c r="I423" s="5"/>
      <c r="J423" s="5"/>
      <c r="K423" s="5"/>
      <c r="L423" s="5"/>
      <c r="M423" s="5"/>
      <c r="N423" s="5"/>
      <c r="O423" s="5"/>
      <c r="P423" s="5"/>
      <c r="Q423" s="5"/>
      <c r="R423" s="5"/>
    </row>
    <row r="424" ht="15.75" customHeight="1">
      <c r="A424" s="5"/>
      <c r="B424" s="5"/>
      <c r="C424" s="5"/>
      <c r="D424" s="5"/>
      <c r="E424" s="5"/>
      <c r="F424" s="5"/>
      <c r="G424" s="5"/>
      <c r="H424" s="5"/>
      <c r="I424" s="5"/>
      <c r="J424" s="5"/>
      <c r="K424" s="5"/>
      <c r="L424" s="5"/>
      <c r="M424" s="5"/>
      <c r="N424" s="5"/>
      <c r="O424" s="5"/>
      <c r="P424" s="5"/>
      <c r="Q424" s="5"/>
      <c r="R424" s="5"/>
    </row>
    <row r="425" ht="15.75" customHeight="1">
      <c r="A425" s="5"/>
      <c r="B425" s="5"/>
      <c r="C425" s="5"/>
      <c r="D425" s="5"/>
      <c r="E425" s="5"/>
      <c r="F425" s="5"/>
      <c r="G425" s="5"/>
      <c r="H425" s="5"/>
      <c r="I425" s="5"/>
      <c r="J425" s="5"/>
      <c r="K425" s="5"/>
      <c r="L425" s="5"/>
      <c r="M425" s="5"/>
      <c r="N425" s="5"/>
      <c r="O425" s="5"/>
      <c r="P425" s="5"/>
      <c r="Q425" s="5"/>
      <c r="R425" s="5"/>
    </row>
    <row r="426" ht="15.75" customHeight="1">
      <c r="A426" s="5"/>
      <c r="B426" s="5"/>
      <c r="C426" s="5"/>
      <c r="D426" s="5"/>
      <c r="E426" s="5"/>
      <c r="F426" s="5"/>
      <c r="G426" s="5"/>
      <c r="H426" s="5"/>
      <c r="I426" s="5"/>
      <c r="J426" s="5"/>
      <c r="K426" s="5"/>
      <c r="L426" s="5"/>
      <c r="M426" s="5"/>
      <c r="N426" s="5"/>
      <c r="O426" s="5"/>
      <c r="P426" s="5"/>
      <c r="Q426" s="5"/>
      <c r="R426" s="5"/>
    </row>
    <row r="427" ht="15.75" customHeight="1">
      <c r="A427" s="5"/>
      <c r="B427" s="5"/>
      <c r="C427" s="5"/>
      <c r="D427" s="5"/>
      <c r="E427" s="5"/>
      <c r="F427" s="5"/>
      <c r="G427" s="5"/>
      <c r="H427" s="5"/>
      <c r="I427" s="5"/>
      <c r="J427" s="5"/>
      <c r="K427" s="5"/>
      <c r="L427" s="5"/>
      <c r="M427" s="5"/>
      <c r="N427" s="5"/>
      <c r="O427" s="5"/>
      <c r="P427" s="5"/>
      <c r="Q427" s="5"/>
      <c r="R427" s="5"/>
    </row>
    <row r="428" ht="15.75" customHeight="1">
      <c r="A428" s="5"/>
      <c r="B428" s="5"/>
      <c r="C428" s="5"/>
      <c r="D428" s="5"/>
      <c r="E428" s="5"/>
      <c r="F428" s="5"/>
      <c r="G428" s="5"/>
      <c r="H428" s="5"/>
      <c r="I428" s="5"/>
      <c r="J428" s="5"/>
      <c r="K428" s="5"/>
      <c r="L428" s="5"/>
      <c r="M428" s="5"/>
      <c r="N428" s="5"/>
      <c r="O428" s="5"/>
      <c r="P428" s="5"/>
      <c r="Q428" s="5"/>
      <c r="R428" s="5"/>
    </row>
    <row r="429" ht="15.75" customHeight="1">
      <c r="A429" s="5"/>
      <c r="B429" s="5"/>
      <c r="C429" s="5"/>
      <c r="D429" s="5"/>
      <c r="E429" s="5"/>
      <c r="F429" s="5"/>
      <c r="G429" s="5"/>
      <c r="H429" s="5"/>
      <c r="I429" s="5"/>
      <c r="J429" s="5"/>
      <c r="K429" s="5"/>
      <c r="L429" s="5"/>
      <c r="M429" s="5"/>
      <c r="N429" s="5"/>
      <c r="O429" s="5"/>
      <c r="P429" s="5"/>
      <c r="Q429" s="5"/>
      <c r="R429" s="5"/>
    </row>
    <row r="430" ht="15.75" customHeight="1">
      <c r="A430" s="5"/>
      <c r="B430" s="5"/>
      <c r="C430" s="5"/>
      <c r="D430" s="5"/>
      <c r="E430" s="5"/>
      <c r="F430" s="5"/>
      <c r="G430" s="5"/>
      <c r="H430" s="5"/>
      <c r="I430" s="5"/>
      <c r="J430" s="5"/>
      <c r="K430" s="5"/>
      <c r="L430" s="5"/>
      <c r="M430" s="5"/>
      <c r="N430" s="5"/>
      <c r="O430" s="5"/>
      <c r="P430" s="5"/>
      <c r="Q430" s="5"/>
      <c r="R430" s="5"/>
    </row>
    <row r="431" ht="15.75" customHeight="1">
      <c r="A431" s="5"/>
      <c r="B431" s="5"/>
      <c r="C431" s="5"/>
      <c r="D431" s="5"/>
      <c r="E431" s="5"/>
      <c r="F431" s="5"/>
      <c r="G431" s="5"/>
      <c r="H431" s="5"/>
      <c r="I431" s="5"/>
      <c r="J431" s="5"/>
      <c r="K431" s="5"/>
      <c r="L431" s="5"/>
      <c r="M431" s="5"/>
      <c r="N431" s="5"/>
      <c r="O431" s="5"/>
      <c r="P431" s="5"/>
      <c r="Q431" s="5"/>
      <c r="R431" s="5"/>
    </row>
    <row r="432" ht="15.75" customHeight="1">
      <c r="A432" s="5"/>
      <c r="B432" s="5"/>
      <c r="C432" s="5"/>
      <c r="D432" s="5"/>
      <c r="E432" s="5"/>
      <c r="F432" s="5"/>
      <c r="G432" s="5"/>
      <c r="H432" s="5"/>
      <c r="I432" s="5"/>
      <c r="J432" s="5"/>
      <c r="K432" s="5"/>
      <c r="L432" s="5"/>
      <c r="M432" s="5"/>
      <c r="N432" s="5"/>
      <c r="O432" s="5"/>
      <c r="P432" s="5"/>
      <c r="Q432" s="5"/>
      <c r="R432" s="5"/>
    </row>
    <row r="433" ht="15.75" customHeight="1">
      <c r="A433" s="5"/>
      <c r="B433" s="5"/>
      <c r="C433" s="5"/>
      <c r="D433" s="5"/>
      <c r="E433" s="5"/>
      <c r="F433" s="5"/>
      <c r="G433" s="5"/>
      <c r="H433" s="5"/>
      <c r="I433" s="5"/>
      <c r="J433" s="5"/>
      <c r="K433" s="5"/>
      <c r="L433" s="5"/>
      <c r="M433" s="5"/>
      <c r="N433" s="5"/>
      <c r="O433" s="5"/>
      <c r="P433" s="5"/>
      <c r="Q433" s="5"/>
      <c r="R433" s="5"/>
    </row>
    <row r="434" ht="15.75" customHeight="1">
      <c r="A434" s="5"/>
      <c r="B434" s="5"/>
      <c r="C434" s="5"/>
      <c r="D434" s="5"/>
      <c r="E434" s="5"/>
      <c r="F434" s="5"/>
      <c r="G434" s="5"/>
      <c r="H434" s="5"/>
      <c r="I434" s="5"/>
      <c r="J434" s="5"/>
      <c r="K434" s="5"/>
      <c r="L434" s="5"/>
      <c r="M434" s="5"/>
      <c r="N434" s="5"/>
      <c r="O434" s="5"/>
      <c r="P434" s="5"/>
      <c r="Q434" s="5"/>
      <c r="R434" s="5"/>
    </row>
    <row r="435" ht="15.75" customHeight="1">
      <c r="A435" s="5"/>
      <c r="B435" s="5"/>
      <c r="C435" s="5"/>
      <c r="D435" s="5"/>
      <c r="E435" s="5"/>
      <c r="F435" s="5"/>
      <c r="G435" s="5"/>
      <c r="H435" s="5"/>
      <c r="I435" s="5"/>
      <c r="J435" s="5"/>
      <c r="K435" s="5"/>
      <c r="L435" s="5"/>
      <c r="M435" s="5"/>
      <c r="N435" s="5"/>
      <c r="O435" s="5"/>
      <c r="P435" s="5"/>
      <c r="Q435" s="5"/>
      <c r="R435" s="5"/>
    </row>
    <row r="436" ht="15.75" customHeight="1">
      <c r="A436" s="5"/>
      <c r="B436" s="5"/>
      <c r="C436" s="5"/>
      <c r="D436" s="5"/>
      <c r="E436" s="5"/>
      <c r="F436" s="5"/>
      <c r="G436" s="5"/>
      <c r="H436" s="5"/>
      <c r="I436" s="5"/>
      <c r="J436" s="5"/>
      <c r="K436" s="5"/>
      <c r="L436" s="5"/>
      <c r="M436" s="5"/>
      <c r="N436" s="5"/>
      <c r="O436" s="5"/>
      <c r="P436" s="5"/>
      <c r="Q436" s="5"/>
      <c r="R436" s="5"/>
    </row>
    <row r="437" ht="15.75" customHeight="1">
      <c r="A437" s="5"/>
      <c r="B437" s="5"/>
      <c r="C437" s="5"/>
      <c r="D437" s="5"/>
      <c r="E437" s="5"/>
      <c r="F437" s="5"/>
      <c r="G437" s="5"/>
      <c r="H437" s="5"/>
      <c r="I437" s="5"/>
      <c r="J437" s="5"/>
      <c r="K437" s="5"/>
      <c r="L437" s="5"/>
      <c r="M437" s="5"/>
      <c r="N437" s="5"/>
      <c r="O437" s="5"/>
      <c r="P437" s="5"/>
      <c r="Q437" s="5"/>
      <c r="R437" s="5"/>
    </row>
    <row r="438" ht="15.75" customHeight="1">
      <c r="A438" s="5"/>
      <c r="B438" s="5"/>
      <c r="C438" s="5"/>
      <c r="D438" s="5"/>
      <c r="E438" s="5"/>
      <c r="F438" s="5"/>
      <c r="G438" s="5"/>
      <c r="H438" s="5"/>
      <c r="I438" s="5"/>
      <c r="J438" s="5"/>
      <c r="K438" s="5"/>
      <c r="L438" s="5"/>
      <c r="M438" s="5"/>
      <c r="N438" s="5"/>
      <c r="O438" s="5"/>
      <c r="P438" s="5"/>
      <c r="Q438" s="5"/>
      <c r="R438" s="5"/>
    </row>
    <row r="439" ht="15.75" customHeight="1">
      <c r="A439" s="5"/>
      <c r="B439" s="5"/>
      <c r="C439" s="5"/>
      <c r="D439" s="5"/>
      <c r="E439" s="5"/>
      <c r="F439" s="5"/>
      <c r="G439" s="5"/>
      <c r="H439" s="5"/>
      <c r="I439" s="5"/>
      <c r="J439" s="5"/>
      <c r="K439" s="5"/>
      <c r="L439" s="5"/>
      <c r="M439" s="5"/>
      <c r="N439" s="5"/>
      <c r="O439" s="5"/>
      <c r="P439" s="5"/>
      <c r="Q439" s="5"/>
      <c r="R439" s="5"/>
    </row>
    <row r="440" ht="15.75" customHeight="1">
      <c r="A440" s="5"/>
      <c r="B440" s="5"/>
      <c r="C440" s="5"/>
      <c r="D440" s="5"/>
      <c r="E440" s="5"/>
      <c r="F440" s="5"/>
      <c r="G440" s="5"/>
      <c r="H440" s="5"/>
      <c r="I440" s="5"/>
      <c r="J440" s="5"/>
      <c r="K440" s="5"/>
      <c r="L440" s="5"/>
      <c r="M440" s="5"/>
      <c r="N440" s="5"/>
      <c r="O440" s="5"/>
      <c r="P440" s="5"/>
      <c r="Q440" s="5"/>
      <c r="R440" s="5"/>
    </row>
    <row r="441" ht="15.75" customHeight="1">
      <c r="A441" s="5"/>
      <c r="B441" s="5"/>
      <c r="C441" s="5"/>
      <c r="D441" s="5"/>
      <c r="E441" s="5"/>
      <c r="F441" s="5"/>
      <c r="G441" s="5"/>
      <c r="H441" s="5"/>
      <c r="I441" s="5"/>
      <c r="J441" s="5"/>
      <c r="K441" s="5"/>
      <c r="L441" s="5"/>
      <c r="M441" s="5"/>
      <c r="N441" s="5"/>
      <c r="O441" s="5"/>
      <c r="P441" s="5"/>
      <c r="Q441" s="5"/>
      <c r="R441" s="5"/>
    </row>
    <row r="442" ht="15.75" customHeight="1">
      <c r="A442" s="5"/>
      <c r="B442" s="5"/>
      <c r="C442" s="5"/>
      <c r="D442" s="5"/>
      <c r="E442" s="5"/>
      <c r="F442" s="5"/>
      <c r="G442" s="5"/>
      <c r="H442" s="5"/>
      <c r="I442" s="5"/>
      <c r="J442" s="5"/>
      <c r="K442" s="5"/>
      <c r="L442" s="5"/>
      <c r="M442" s="5"/>
      <c r="N442" s="5"/>
      <c r="O442" s="5"/>
      <c r="P442" s="5"/>
      <c r="Q442" s="5"/>
      <c r="R442" s="5"/>
    </row>
    <row r="443" ht="15.75" customHeight="1">
      <c r="A443" s="5"/>
      <c r="B443" s="5"/>
      <c r="C443" s="5"/>
      <c r="D443" s="5"/>
      <c r="E443" s="5"/>
      <c r="F443" s="5"/>
      <c r="G443" s="5"/>
      <c r="H443" s="5"/>
      <c r="I443" s="5"/>
      <c r="J443" s="5"/>
      <c r="K443" s="5"/>
      <c r="L443" s="5"/>
      <c r="M443" s="5"/>
      <c r="N443" s="5"/>
      <c r="O443" s="5"/>
      <c r="P443" s="5"/>
      <c r="Q443" s="5"/>
      <c r="R443" s="5"/>
    </row>
    <row r="444" ht="15.75" customHeight="1">
      <c r="A444" s="5"/>
      <c r="B444" s="5"/>
      <c r="C444" s="5"/>
      <c r="D444" s="5"/>
      <c r="E444" s="5"/>
      <c r="F444" s="5"/>
      <c r="G444" s="5"/>
      <c r="H444" s="5"/>
      <c r="I444" s="5"/>
      <c r="J444" s="5"/>
      <c r="K444" s="5"/>
      <c r="L444" s="5"/>
      <c r="M444" s="5"/>
      <c r="N444" s="5"/>
      <c r="O444" s="5"/>
      <c r="P444" s="5"/>
      <c r="Q444" s="5"/>
      <c r="R444" s="5"/>
    </row>
    <row r="445" ht="15.75" customHeight="1">
      <c r="A445" s="5"/>
      <c r="B445" s="5"/>
      <c r="C445" s="5"/>
      <c r="D445" s="5"/>
      <c r="E445" s="5"/>
      <c r="F445" s="5"/>
      <c r="G445" s="5"/>
      <c r="H445" s="5"/>
      <c r="I445" s="5"/>
      <c r="J445" s="5"/>
      <c r="K445" s="5"/>
      <c r="L445" s="5"/>
      <c r="M445" s="5"/>
      <c r="N445" s="5"/>
      <c r="O445" s="5"/>
      <c r="P445" s="5"/>
      <c r="Q445" s="5"/>
      <c r="R445" s="5"/>
    </row>
    <row r="446" ht="15.75" customHeight="1">
      <c r="A446" s="5"/>
      <c r="B446" s="5"/>
      <c r="C446" s="5"/>
      <c r="D446" s="5"/>
      <c r="E446" s="5"/>
      <c r="F446" s="5"/>
      <c r="G446" s="5"/>
      <c r="H446" s="5"/>
      <c r="I446" s="5"/>
      <c r="J446" s="5"/>
      <c r="K446" s="5"/>
      <c r="L446" s="5"/>
      <c r="M446" s="5"/>
      <c r="N446" s="5"/>
      <c r="O446" s="5"/>
      <c r="P446" s="5"/>
      <c r="Q446" s="5"/>
      <c r="R446" s="5"/>
    </row>
    <row r="447" ht="15.75" customHeight="1">
      <c r="A447" s="5"/>
      <c r="B447" s="5"/>
      <c r="C447" s="5"/>
      <c r="D447" s="5"/>
      <c r="E447" s="5"/>
      <c r="F447" s="5"/>
      <c r="G447" s="5"/>
      <c r="H447" s="5"/>
      <c r="I447" s="5"/>
      <c r="J447" s="5"/>
      <c r="K447" s="5"/>
      <c r="L447" s="5"/>
      <c r="M447" s="5"/>
      <c r="N447" s="5"/>
      <c r="O447" s="5"/>
      <c r="P447" s="5"/>
      <c r="Q447" s="5"/>
      <c r="R447" s="5"/>
    </row>
    <row r="448" ht="15.75" customHeight="1">
      <c r="A448" s="5"/>
      <c r="B448" s="5"/>
      <c r="C448" s="5"/>
      <c r="D448" s="5"/>
      <c r="E448" s="5"/>
      <c r="F448" s="5"/>
      <c r="G448" s="5"/>
      <c r="H448" s="5"/>
      <c r="I448" s="5"/>
      <c r="J448" s="5"/>
      <c r="K448" s="5"/>
      <c r="L448" s="5"/>
      <c r="M448" s="5"/>
      <c r="N448" s="5"/>
      <c r="O448" s="5"/>
      <c r="P448" s="5"/>
      <c r="Q448" s="5"/>
      <c r="R448" s="5"/>
    </row>
    <row r="449" ht="15.75" customHeight="1">
      <c r="A449" s="5"/>
      <c r="B449" s="5"/>
      <c r="C449" s="5"/>
      <c r="D449" s="5"/>
      <c r="E449" s="5"/>
      <c r="F449" s="5"/>
      <c r="G449" s="5"/>
      <c r="H449" s="5"/>
      <c r="I449" s="5"/>
      <c r="J449" s="5"/>
      <c r="K449" s="5"/>
      <c r="L449" s="5"/>
      <c r="M449" s="5"/>
      <c r="N449" s="5"/>
      <c r="O449" s="5"/>
      <c r="P449" s="5"/>
      <c r="Q449" s="5"/>
      <c r="R449" s="5"/>
    </row>
    <row r="450" ht="15.75" customHeight="1">
      <c r="A450" s="5"/>
      <c r="B450" s="5"/>
      <c r="C450" s="5"/>
      <c r="D450" s="5"/>
      <c r="E450" s="5"/>
      <c r="F450" s="5"/>
      <c r="G450" s="5"/>
      <c r="H450" s="5"/>
      <c r="I450" s="5"/>
      <c r="J450" s="5"/>
      <c r="K450" s="5"/>
      <c r="L450" s="5"/>
      <c r="M450" s="5"/>
      <c r="N450" s="5"/>
      <c r="O450" s="5"/>
      <c r="P450" s="5"/>
      <c r="Q450" s="5"/>
      <c r="R450" s="5"/>
    </row>
    <row r="451" ht="15.75" customHeight="1">
      <c r="A451" s="5"/>
      <c r="B451" s="5"/>
      <c r="C451" s="5"/>
      <c r="D451" s="5"/>
      <c r="E451" s="5"/>
      <c r="F451" s="5"/>
      <c r="G451" s="5"/>
      <c r="H451" s="5"/>
      <c r="I451" s="5"/>
      <c r="J451" s="5"/>
      <c r="K451" s="5"/>
      <c r="L451" s="5"/>
      <c r="M451" s="5"/>
      <c r="N451" s="5"/>
      <c r="O451" s="5"/>
      <c r="P451" s="5"/>
      <c r="Q451" s="5"/>
      <c r="R451" s="5"/>
    </row>
    <row r="452" ht="15.75" customHeight="1">
      <c r="A452" s="5"/>
      <c r="B452" s="5"/>
      <c r="C452" s="5"/>
      <c r="D452" s="5"/>
      <c r="E452" s="5"/>
      <c r="F452" s="5"/>
      <c r="G452" s="5"/>
      <c r="H452" s="5"/>
      <c r="I452" s="5"/>
      <c r="J452" s="5"/>
      <c r="K452" s="5"/>
      <c r="L452" s="5"/>
      <c r="M452" s="5"/>
      <c r="N452" s="5"/>
      <c r="O452" s="5"/>
      <c r="P452" s="5"/>
      <c r="Q452" s="5"/>
      <c r="R452" s="5"/>
    </row>
    <row r="453" ht="15.75" customHeight="1">
      <c r="A453" s="5"/>
      <c r="B453" s="5"/>
      <c r="C453" s="5"/>
      <c r="D453" s="5"/>
      <c r="E453" s="5"/>
      <c r="F453" s="5"/>
      <c r="G453" s="5"/>
      <c r="H453" s="5"/>
      <c r="I453" s="5"/>
      <c r="J453" s="5"/>
      <c r="K453" s="5"/>
      <c r="L453" s="5"/>
      <c r="M453" s="5"/>
      <c r="N453" s="5"/>
      <c r="O453" s="5"/>
      <c r="P453" s="5"/>
      <c r="Q453" s="5"/>
      <c r="R453" s="5"/>
    </row>
    <row r="454" ht="15.75" customHeight="1">
      <c r="A454" s="5"/>
      <c r="B454" s="5"/>
      <c r="C454" s="5"/>
      <c r="D454" s="5"/>
      <c r="E454" s="5"/>
      <c r="F454" s="5"/>
      <c r="G454" s="5"/>
      <c r="H454" s="5"/>
      <c r="I454" s="5"/>
      <c r="J454" s="5"/>
      <c r="K454" s="5"/>
      <c r="L454" s="5"/>
      <c r="M454" s="5"/>
      <c r="N454" s="5"/>
      <c r="O454" s="5"/>
      <c r="P454" s="5"/>
      <c r="Q454" s="5"/>
      <c r="R454" s="5"/>
    </row>
    <row r="455" ht="15.75" customHeight="1">
      <c r="A455" s="5"/>
      <c r="B455" s="5"/>
      <c r="C455" s="5"/>
      <c r="D455" s="5"/>
      <c r="E455" s="5"/>
      <c r="F455" s="5"/>
      <c r="G455" s="5"/>
      <c r="H455" s="5"/>
      <c r="I455" s="5"/>
      <c r="J455" s="5"/>
      <c r="K455" s="5"/>
      <c r="L455" s="5"/>
      <c r="M455" s="5"/>
      <c r="N455" s="5"/>
      <c r="O455" s="5"/>
      <c r="P455" s="5"/>
      <c r="Q455" s="5"/>
      <c r="R455" s="5"/>
    </row>
    <row r="456" ht="15.75" customHeight="1">
      <c r="A456" s="5"/>
      <c r="B456" s="5"/>
      <c r="C456" s="5"/>
      <c r="D456" s="5"/>
      <c r="E456" s="5"/>
      <c r="F456" s="5"/>
      <c r="G456" s="5"/>
      <c r="H456" s="5"/>
      <c r="I456" s="5"/>
      <c r="J456" s="5"/>
      <c r="K456" s="5"/>
      <c r="L456" s="5"/>
      <c r="M456" s="5"/>
      <c r="N456" s="5"/>
      <c r="O456" s="5"/>
      <c r="P456" s="5"/>
      <c r="Q456" s="5"/>
      <c r="R456" s="5"/>
    </row>
    <row r="457" ht="15.75" customHeight="1">
      <c r="A457" s="5"/>
      <c r="B457" s="5"/>
      <c r="C457" s="5"/>
      <c r="D457" s="5"/>
      <c r="E457" s="5"/>
      <c r="F457" s="5"/>
      <c r="G457" s="5"/>
      <c r="H457" s="5"/>
      <c r="I457" s="5"/>
      <c r="J457" s="5"/>
      <c r="K457" s="5"/>
      <c r="L457" s="5"/>
      <c r="M457" s="5"/>
      <c r="N457" s="5"/>
      <c r="O457" s="5"/>
      <c r="P457" s="5"/>
      <c r="Q457" s="5"/>
      <c r="R457" s="5"/>
    </row>
    <row r="458" ht="15.75" customHeight="1">
      <c r="A458" s="5"/>
      <c r="B458" s="5"/>
      <c r="C458" s="5"/>
      <c r="D458" s="5"/>
      <c r="E458" s="5"/>
      <c r="F458" s="5"/>
      <c r="G458" s="5"/>
      <c r="H458" s="5"/>
      <c r="I458" s="5"/>
      <c r="J458" s="5"/>
      <c r="K458" s="5"/>
      <c r="L458" s="5"/>
      <c r="M458" s="5"/>
      <c r="N458" s="5"/>
      <c r="O458" s="5"/>
      <c r="P458" s="5"/>
      <c r="Q458" s="5"/>
      <c r="R458" s="5"/>
    </row>
    <row r="459" ht="15.75" customHeight="1">
      <c r="A459" s="5"/>
      <c r="B459" s="5"/>
      <c r="C459" s="5"/>
      <c r="D459" s="5"/>
      <c r="E459" s="5"/>
      <c r="F459" s="5"/>
      <c r="G459" s="5"/>
      <c r="H459" s="5"/>
      <c r="I459" s="5"/>
      <c r="J459" s="5"/>
      <c r="K459" s="5"/>
      <c r="L459" s="5"/>
      <c r="M459" s="5"/>
      <c r="N459" s="5"/>
      <c r="O459" s="5"/>
      <c r="P459" s="5"/>
      <c r="Q459" s="5"/>
      <c r="R459" s="5"/>
    </row>
    <row r="460" ht="15.75" customHeight="1">
      <c r="A460" s="5"/>
      <c r="B460" s="5"/>
      <c r="C460" s="5"/>
      <c r="D460" s="5"/>
      <c r="E460" s="5"/>
      <c r="F460" s="5"/>
      <c r="G460" s="5"/>
      <c r="H460" s="5"/>
      <c r="I460" s="5"/>
      <c r="J460" s="5"/>
      <c r="K460" s="5"/>
      <c r="L460" s="5"/>
      <c r="M460" s="5"/>
      <c r="N460" s="5"/>
      <c r="O460" s="5"/>
      <c r="P460" s="5"/>
      <c r="Q460" s="5"/>
      <c r="R460" s="5"/>
    </row>
    <row r="461" ht="15.75" customHeight="1">
      <c r="A461" s="5"/>
      <c r="B461" s="5"/>
      <c r="C461" s="5"/>
      <c r="D461" s="5"/>
      <c r="E461" s="5"/>
      <c r="F461" s="5"/>
      <c r="G461" s="5"/>
      <c r="H461" s="5"/>
      <c r="I461" s="5"/>
      <c r="J461" s="5"/>
      <c r="K461" s="5"/>
      <c r="L461" s="5"/>
      <c r="M461" s="5"/>
      <c r="N461" s="5"/>
      <c r="O461" s="5"/>
      <c r="P461" s="5"/>
      <c r="Q461" s="5"/>
      <c r="R461" s="5"/>
    </row>
    <row r="462" ht="15.75" customHeight="1">
      <c r="A462" s="5"/>
      <c r="B462" s="5"/>
      <c r="C462" s="5"/>
      <c r="D462" s="5"/>
      <c r="E462" s="5"/>
      <c r="F462" s="5"/>
      <c r="G462" s="5"/>
      <c r="H462" s="5"/>
      <c r="I462" s="5"/>
      <c r="J462" s="5"/>
      <c r="K462" s="5"/>
      <c r="L462" s="5"/>
      <c r="M462" s="5"/>
      <c r="N462" s="5"/>
      <c r="O462" s="5"/>
      <c r="P462" s="5"/>
      <c r="Q462" s="5"/>
      <c r="R462" s="5"/>
    </row>
    <row r="463" ht="15.75" customHeight="1">
      <c r="A463" s="5"/>
      <c r="B463" s="5"/>
      <c r="C463" s="5"/>
      <c r="D463" s="5"/>
      <c r="E463" s="5"/>
      <c r="F463" s="5"/>
      <c r="G463" s="5"/>
      <c r="H463" s="5"/>
      <c r="I463" s="5"/>
      <c r="J463" s="5"/>
      <c r="K463" s="5"/>
      <c r="L463" s="5"/>
      <c r="M463" s="5"/>
      <c r="N463" s="5"/>
      <c r="O463" s="5"/>
      <c r="P463" s="5"/>
      <c r="Q463" s="5"/>
      <c r="R463" s="5"/>
    </row>
    <row r="464" ht="15.75" customHeight="1">
      <c r="A464" s="5"/>
      <c r="B464" s="5"/>
      <c r="C464" s="5"/>
      <c r="D464" s="5"/>
      <c r="E464" s="5"/>
      <c r="F464" s="5"/>
      <c r="G464" s="5"/>
      <c r="H464" s="5"/>
      <c r="I464" s="5"/>
      <c r="J464" s="5"/>
      <c r="K464" s="5"/>
      <c r="L464" s="5"/>
      <c r="M464" s="5"/>
      <c r="N464" s="5"/>
      <c r="O464" s="5"/>
      <c r="P464" s="5"/>
      <c r="Q464" s="5"/>
      <c r="R464" s="5"/>
    </row>
    <row r="465" ht="15.75" customHeight="1">
      <c r="A465" s="5"/>
      <c r="B465" s="5"/>
      <c r="C465" s="5"/>
      <c r="D465" s="5"/>
      <c r="E465" s="5"/>
      <c r="F465" s="5"/>
      <c r="G465" s="5"/>
      <c r="H465" s="5"/>
      <c r="I465" s="5"/>
      <c r="J465" s="5"/>
      <c r="K465" s="5"/>
      <c r="L465" s="5"/>
      <c r="M465" s="5"/>
      <c r="N465" s="5"/>
      <c r="O465" s="5"/>
      <c r="P465" s="5"/>
      <c r="Q465" s="5"/>
      <c r="R465" s="5"/>
    </row>
    <row r="466" ht="15.75" customHeight="1">
      <c r="A466" s="5"/>
      <c r="B466" s="5"/>
      <c r="C466" s="5"/>
      <c r="D466" s="5"/>
      <c r="E466" s="5"/>
      <c r="F466" s="5"/>
      <c r="G466" s="5"/>
      <c r="H466" s="5"/>
      <c r="I466" s="5"/>
      <c r="J466" s="5"/>
      <c r="K466" s="5"/>
      <c r="L466" s="5"/>
      <c r="M466" s="5"/>
      <c r="N466" s="5"/>
      <c r="O466" s="5"/>
      <c r="P466" s="5"/>
      <c r="Q466" s="5"/>
      <c r="R466" s="5"/>
    </row>
    <row r="467" ht="15.75" customHeight="1">
      <c r="A467" s="5"/>
      <c r="B467" s="5"/>
      <c r="C467" s="5"/>
      <c r="D467" s="5"/>
      <c r="E467" s="5"/>
      <c r="F467" s="5"/>
      <c r="G467" s="5"/>
      <c r="H467" s="5"/>
      <c r="I467" s="5"/>
      <c r="J467" s="5"/>
      <c r="K467" s="5"/>
      <c r="L467" s="5"/>
      <c r="M467" s="5"/>
      <c r="N467" s="5"/>
      <c r="O467" s="5"/>
      <c r="P467" s="5"/>
      <c r="Q467" s="5"/>
      <c r="R467" s="5"/>
    </row>
    <row r="468" ht="15.75" customHeight="1">
      <c r="A468" s="5"/>
      <c r="B468" s="5"/>
      <c r="C468" s="5"/>
      <c r="D468" s="5"/>
      <c r="E468" s="5"/>
      <c r="F468" s="5"/>
      <c r="G468" s="5"/>
      <c r="H468" s="5"/>
      <c r="I468" s="5"/>
      <c r="J468" s="5"/>
      <c r="K468" s="5"/>
      <c r="L468" s="5"/>
      <c r="M468" s="5"/>
      <c r="N468" s="5"/>
      <c r="O468" s="5"/>
      <c r="P468" s="5"/>
      <c r="Q468" s="5"/>
      <c r="R468" s="5"/>
    </row>
    <row r="469" ht="15.75" customHeight="1">
      <c r="A469" s="5"/>
      <c r="B469" s="5"/>
      <c r="C469" s="5"/>
      <c r="D469" s="5"/>
      <c r="E469" s="5"/>
      <c r="F469" s="5"/>
      <c r="G469" s="5"/>
      <c r="H469" s="5"/>
      <c r="I469" s="5"/>
      <c r="J469" s="5"/>
      <c r="K469" s="5"/>
      <c r="L469" s="5"/>
      <c r="M469" s="5"/>
      <c r="N469" s="5"/>
      <c r="O469" s="5"/>
      <c r="P469" s="5"/>
      <c r="Q469" s="5"/>
      <c r="R469" s="5"/>
    </row>
    <row r="470" ht="15.75" customHeight="1">
      <c r="A470" s="5"/>
      <c r="B470" s="5"/>
      <c r="C470" s="5"/>
      <c r="D470" s="5"/>
      <c r="E470" s="5"/>
      <c r="F470" s="5"/>
      <c r="G470" s="5"/>
      <c r="H470" s="5"/>
      <c r="I470" s="5"/>
      <c r="J470" s="5"/>
      <c r="K470" s="5"/>
      <c r="L470" s="5"/>
      <c r="M470" s="5"/>
      <c r="N470" s="5"/>
      <c r="O470" s="5"/>
      <c r="P470" s="5"/>
      <c r="Q470" s="5"/>
      <c r="R470" s="5"/>
    </row>
    <row r="471" ht="15.75" customHeight="1">
      <c r="A471" s="5"/>
      <c r="B471" s="5"/>
      <c r="C471" s="5"/>
      <c r="D471" s="5"/>
      <c r="E471" s="5"/>
      <c r="F471" s="5"/>
      <c r="G471" s="5"/>
      <c r="H471" s="5"/>
      <c r="I471" s="5"/>
      <c r="J471" s="5"/>
      <c r="K471" s="5"/>
      <c r="L471" s="5"/>
      <c r="M471" s="5"/>
      <c r="N471" s="5"/>
      <c r="O471" s="5"/>
      <c r="P471" s="5"/>
      <c r="Q471" s="5"/>
      <c r="R471" s="5"/>
    </row>
    <row r="472" ht="15.75" customHeight="1">
      <c r="A472" s="5"/>
      <c r="B472" s="5"/>
      <c r="C472" s="5"/>
      <c r="D472" s="5"/>
      <c r="E472" s="5"/>
      <c r="F472" s="5"/>
      <c r="G472" s="5"/>
      <c r="H472" s="5"/>
      <c r="I472" s="5"/>
      <c r="J472" s="5"/>
      <c r="K472" s="5"/>
      <c r="L472" s="5"/>
      <c r="M472" s="5"/>
      <c r="N472" s="5"/>
      <c r="O472" s="5"/>
      <c r="P472" s="5"/>
      <c r="Q472" s="5"/>
      <c r="R472" s="5"/>
    </row>
    <row r="473" ht="15.75" customHeight="1">
      <c r="A473" s="5"/>
      <c r="B473" s="5"/>
      <c r="C473" s="5"/>
      <c r="D473" s="5"/>
      <c r="E473" s="5"/>
      <c r="F473" s="5"/>
      <c r="G473" s="5"/>
      <c r="H473" s="5"/>
      <c r="I473" s="5"/>
      <c r="J473" s="5"/>
      <c r="K473" s="5"/>
      <c r="L473" s="5"/>
      <c r="M473" s="5"/>
      <c r="N473" s="5"/>
      <c r="O473" s="5"/>
      <c r="P473" s="5"/>
      <c r="Q473" s="5"/>
      <c r="R473" s="5"/>
    </row>
    <row r="474" ht="15.75" customHeight="1">
      <c r="A474" s="5"/>
      <c r="B474" s="5"/>
      <c r="C474" s="5"/>
      <c r="D474" s="5"/>
      <c r="E474" s="5"/>
      <c r="F474" s="5"/>
      <c r="G474" s="5"/>
      <c r="H474" s="5"/>
      <c r="I474" s="5"/>
      <c r="J474" s="5"/>
      <c r="K474" s="5"/>
      <c r="L474" s="5"/>
      <c r="M474" s="5"/>
      <c r="N474" s="5"/>
      <c r="O474" s="5"/>
      <c r="P474" s="5"/>
      <c r="Q474" s="5"/>
      <c r="R474" s="5"/>
    </row>
    <row r="475" ht="15.75" customHeight="1">
      <c r="A475" s="5"/>
      <c r="B475" s="5"/>
      <c r="C475" s="5"/>
      <c r="D475" s="5"/>
      <c r="E475" s="5"/>
      <c r="F475" s="5"/>
      <c r="G475" s="5"/>
      <c r="H475" s="5"/>
      <c r="I475" s="5"/>
      <c r="J475" s="5"/>
      <c r="K475" s="5"/>
      <c r="L475" s="5"/>
      <c r="M475" s="5"/>
      <c r="N475" s="5"/>
      <c r="O475" s="5"/>
      <c r="P475" s="5"/>
      <c r="Q475" s="5"/>
      <c r="R475" s="5"/>
    </row>
    <row r="476" ht="15.75" customHeight="1">
      <c r="A476" s="5"/>
      <c r="B476" s="5"/>
      <c r="C476" s="5"/>
      <c r="D476" s="5"/>
      <c r="E476" s="5"/>
      <c r="F476" s="5"/>
      <c r="G476" s="5"/>
      <c r="H476" s="5"/>
      <c r="I476" s="5"/>
      <c r="J476" s="5"/>
      <c r="K476" s="5"/>
      <c r="L476" s="5"/>
      <c r="M476" s="5"/>
      <c r="N476" s="5"/>
      <c r="O476" s="5"/>
      <c r="P476" s="5"/>
      <c r="Q476" s="5"/>
      <c r="R476" s="5"/>
    </row>
    <row r="477" ht="15.75" customHeight="1">
      <c r="A477" s="5"/>
      <c r="B477" s="5"/>
      <c r="C477" s="5"/>
      <c r="D477" s="5"/>
      <c r="E477" s="5"/>
      <c r="F477" s="5"/>
      <c r="G477" s="5"/>
      <c r="H477" s="5"/>
      <c r="I477" s="5"/>
      <c r="J477" s="5"/>
      <c r="K477" s="5"/>
      <c r="L477" s="5"/>
      <c r="M477" s="5"/>
      <c r="N477" s="5"/>
      <c r="O477" s="5"/>
      <c r="P477" s="5"/>
      <c r="Q477" s="5"/>
      <c r="R477" s="5"/>
    </row>
    <row r="478" ht="15.75" customHeight="1">
      <c r="A478" s="5"/>
      <c r="B478" s="5"/>
      <c r="C478" s="5"/>
      <c r="D478" s="5"/>
      <c r="E478" s="5"/>
      <c r="F478" s="5"/>
      <c r="G478" s="5"/>
      <c r="H478" s="5"/>
      <c r="I478" s="5"/>
      <c r="J478" s="5"/>
      <c r="K478" s="5"/>
      <c r="L478" s="5"/>
      <c r="M478" s="5"/>
      <c r="N478" s="5"/>
      <c r="O478" s="5"/>
      <c r="P478" s="5"/>
      <c r="Q478" s="5"/>
      <c r="R478" s="5"/>
    </row>
    <row r="479" ht="15.75" customHeight="1">
      <c r="A479" s="5"/>
      <c r="B479" s="5"/>
      <c r="C479" s="5"/>
      <c r="D479" s="5"/>
      <c r="E479" s="5"/>
      <c r="F479" s="5"/>
      <c r="G479" s="5"/>
      <c r="H479" s="5"/>
      <c r="I479" s="5"/>
      <c r="J479" s="5"/>
      <c r="K479" s="5"/>
      <c r="L479" s="5"/>
      <c r="M479" s="5"/>
      <c r="N479" s="5"/>
      <c r="O479" s="5"/>
      <c r="P479" s="5"/>
      <c r="Q479" s="5"/>
      <c r="R479" s="5"/>
    </row>
    <row r="480" ht="15.75" customHeight="1">
      <c r="A480" s="5"/>
      <c r="B480" s="5"/>
      <c r="C480" s="5"/>
      <c r="D480" s="5"/>
      <c r="E480" s="5"/>
      <c r="F480" s="5"/>
      <c r="G480" s="5"/>
      <c r="H480" s="5"/>
      <c r="I480" s="5"/>
      <c r="J480" s="5"/>
      <c r="K480" s="5"/>
      <c r="L480" s="5"/>
      <c r="M480" s="5"/>
      <c r="N480" s="5"/>
      <c r="O480" s="5"/>
      <c r="P480" s="5"/>
      <c r="Q480" s="5"/>
      <c r="R480" s="5"/>
    </row>
    <row r="481" ht="15.75" customHeight="1">
      <c r="A481" s="5"/>
      <c r="B481" s="5"/>
      <c r="C481" s="5"/>
      <c r="D481" s="5"/>
      <c r="E481" s="5"/>
      <c r="F481" s="5"/>
      <c r="G481" s="5"/>
      <c r="H481" s="5"/>
      <c r="I481" s="5"/>
      <c r="J481" s="5"/>
      <c r="K481" s="5"/>
      <c r="L481" s="5"/>
      <c r="M481" s="5"/>
      <c r="N481" s="5"/>
      <c r="O481" s="5"/>
      <c r="P481" s="5"/>
      <c r="Q481" s="5"/>
      <c r="R481" s="5"/>
    </row>
    <row r="482" ht="15.75" customHeight="1">
      <c r="A482" s="5"/>
      <c r="B482" s="5"/>
      <c r="C482" s="5"/>
      <c r="D482" s="5"/>
      <c r="E482" s="5"/>
      <c r="F482" s="5"/>
      <c r="G482" s="5"/>
      <c r="H482" s="5"/>
      <c r="I482" s="5"/>
      <c r="J482" s="5"/>
      <c r="K482" s="5"/>
      <c r="L482" s="5"/>
      <c r="M482" s="5"/>
      <c r="N482" s="5"/>
      <c r="O482" s="5"/>
      <c r="P482" s="5"/>
      <c r="Q482" s="5"/>
      <c r="R482" s="5"/>
    </row>
    <row r="483" ht="15.75" customHeight="1">
      <c r="A483" s="5"/>
      <c r="B483" s="5"/>
      <c r="C483" s="5"/>
      <c r="D483" s="5"/>
      <c r="E483" s="5"/>
      <c r="F483" s="5"/>
      <c r="G483" s="5"/>
      <c r="H483" s="5"/>
      <c r="I483" s="5"/>
      <c r="J483" s="5"/>
      <c r="K483" s="5"/>
      <c r="L483" s="5"/>
      <c r="M483" s="5"/>
      <c r="N483" s="5"/>
      <c r="O483" s="5"/>
      <c r="P483" s="5"/>
      <c r="Q483" s="5"/>
      <c r="R483" s="5"/>
    </row>
    <row r="484" ht="15.75" customHeight="1">
      <c r="A484" s="5"/>
      <c r="B484" s="5"/>
      <c r="C484" s="5"/>
      <c r="D484" s="5"/>
      <c r="E484" s="5"/>
      <c r="F484" s="5"/>
      <c r="G484" s="5"/>
      <c r="H484" s="5"/>
      <c r="I484" s="5"/>
      <c r="J484" s="5"/>
      <c r="K484" s="5"/>
      <c r="L484" s="5"/>
      <c r="M484" s="5"/>
      <c r="N484" s="5"/>
      <c r="O484" s="5"/>
      <c r="P484" s="5"/>
      <c r="Q484" s="5"/>
      <c r="R484" s="5"/>
    </row>
    <row r="485" ht="15.75" customHeight="1">
      <c r="A485" s="5"/>
      <c r="B485" s="5"/>
      <c r="C485" s="5"/>
      <c r="D485" s="5"/>
      <c r="E485" s="5"/>
      <c r="F485" s="5"/>
      <c r="G485" s="5"/>
      <c r="H485" s="5"/>
      <c r="I485" s="5"/>
      <c r="J485" s="5"/>
      <c r="K485" s="5"/>
      <c r="L485" s="5"/>
      <c r="M485" s="5"/>
      <c r="N485" s="5"/>
      <c r="O485" s="5"/>
      <c r="P485" s="5"/>
      <c r="Q485" s="5"/>
      <c r="R485" s="5"/>
    </row>
    <row r="486" ht="15.75" customHeight="1">
      <c r="A486" s="5"/>
      <c r="B486" s="5"/>
      <c r="C486" s="5"/>
      <c r="D486" s="5"/>
      <c r="E486" s="5"/>
      <c r="F486" s="5"/>
      <c r="G486" s="5"/>
      <c r="H486" s="5"/>
      <c r="I486" s="5"/>
      <c r="J486" s="5"/>
      <c r="K486" s="5"/>
      <c r="L486" s="5"/>
      <c r="M486" s="5"/>
      <c r="N486" s="5"/>
      <c r="O486" s="5"/>
      <c r="P486" s="5"/>
      <c r="Q486" s="5"/>
      <c r="R486" s="5"/>
    </row>
    <row r="487" ht="15.75" customHeight="1">
      <c r="A487" s="5"/>
      <c r="B487" s="5"/>
      <c r="C487" s="5"/>
      <c r="D487" s="5"/>
      <c r="E487" s="5"/>
      <c r="F487" s="5"/>
      <c r="G487" s="5"/>
      <c r="H487" s="5"/>
      <c r="I487" s="5"/>
      <c r="J487" s="5"/>
      <c r="K487" s="5"/>
      <c r="L487" s="5"/>
      <c r="M487" s="5"/>
      <c r="N487" s="5"/>
      <c r="O487" s="5"/>
      <c r="P487" s="5"/>
      <c r="Q487" s="5"/>
      <c r="R487" s="5"/>
    </row>
    <row r="488" ht="15.75" customHeight="1">
      <c r="A488" s="5"/>
      <c r="B488" s="5"/>
      <c r="C488" s="5"/>
      <c r="D488" s="5"/>
      <c r="E488" s="5"/>
      <c r="F488" s="5"/>
      <c r="G488" s="5"/>
      <c r="H488" s="5"/>
      <c r="I488" s="5"/>
      <c r="J488" s="5"/>
      <c r="K488" s="5"/>
      <c r="L488" s="5"/>
      <c r="M488" s="5"/>
      <c r="N488" s="5"/>
      <c r="O488" s="5"/>
      <c r="P488" s="5"/>
      <c r="Q488" s="5"/>
      <c r="R488" s="5"/>
    </row>
    <row r="489" ht="15.75" customHeight="1">
      <c r="A489" s="5"/>
      <c r="B489" s="5"/>
      <c r="C489" s="5"/>
      <c r="D489" s="5"/>
      <c r="E489" s="5"/>
      <c r="F489" s="5"/>
      <c r="G489" s="5"/>
      <c r="H489" s="5"/>
      <c r="I489" s="5"/>
      <c r="J489" s="5"/>
      <c r="K489" s="5"/>
      <c r="L489" s="5"/>
      <c r="M489" s="5"/>
      <c r="N489" s="5"/>
      <c r="O489" s="5"/>
      <c r="P489" s="5"/>
      <c r="Q489" s="5"/>
      <c r="R489" s="5"/>
    </row>
    <row r="490" ht="15.75" customHeight="1">
      <c r="A490" s="5"/>
      <c r="B490" s="5"/>
      <c r="C490" s="5"/>
      <c r="D490" s="5"/>
      <c r="E490" s="5"/>
      <c r="F490" s="5"/>
      <c r="G490" s="5"/>
      <c r="H490" s="5"/>
      <c r="I490" s="5"/>
      <c r="J490" s="5"/>
      <c r="K490" s="5"/>
      <c r="L490" s="5"/>
      <c r="M490" s="5"/>
      <c r="N490" s="5"/>
      <c r="O490" s="5"/>
      <c r="P490" s="5"/>
      <c r="Q490" s="5"/>
      <c r="R490" s="5"/>
    </row>
    <row r="491" ht="15.75" customHeight="1">
      <c r="A491" s="5"/>
      <c r="B491" s="5"/>
      <c r="C491" s="5"/>
      <c r="D491" s="5"/>
      <c r="E491" s="5"/>
      <c r="F491" s="5"/>
      <c r="G491" s="5"/>
      <c r="H491" s="5"/>
      <c r="I491" s="5"/>
      <c r="J491" s="5"/>
      <c r="K491" s="5"/>
      <c r="L491" s="5"/>
      <c r="M491" s="5"/>
      <c r="N491" s="5"/>
      <c r="O491" s="5"/>
      <c r="P491" s="5"/>
      <c r="Q491" s="5"/>
      <c r="R491" s="5"/>
    </row>
    <row r="492" ht="15.75" customHeight="1">
      <c r="A492" s="5"/>
      <c r="B492" s="5"/>
      <c r="C492" s="5"/>
      <c r="D492" s="5"/>
      <c r="E492" s="5"/>
      <c r="F492" s="5"/>
      <c r="G492" s="5"/>
      <c r="H492" s="5"/>
      <c r="I492" s="5"/>
      <c r="J492" s="5"/>
      <c r="K492" s="5"/>
      <c r="L492" s="5"/>
      <c r="M492" s="5"/>
      <c r="N492" s="5"/>
      <c r="O492" s="5"/>
      <c r="P492" s="5"/>
      <c r="Q492" s="5"/>
      <c r="R492" s="5"/>
    </row>
    <row r="493" ht="15.75" customHeight="1">
      <c r="A493" s="5"/>
      <c r="B493" s="5"/>
      <c r="C493" s="5"/>
      <c r="D493" s="5"/>
      <c r="E493" s="5"/>
      <c r="F493" s="5"/>
      <c r="G493" s="5"/>
      <c r="H493" s="5"/>
      <c r="I493" s="5"/>
      <c r="J493" s="5"/>
      <c r="K493" s="5"/>
      <c r="L493" s="5"/>
      <c r="M493" s="5"/>
      <c r="N493" s="5"/>
      <c r="O493" s="5"/>
      <c r="P493" s="5"/>
      <c r="Q493" s="5"/>
      <c r="R493" s="5"/>
    </row>
    <row r="494" ht="15.75" customHeight="1">
      <c r="A494" s="5"/>
      <c r="B494" s="5"/>
      <c r="C494" s="5"/>
      <c r="D494" s="5"/>
      <c r="E494" s="5"/>
      <c r="F494" s="5"/>
      <c r="G494" s="5"/>
      <c r="H494" s="5"/>
      <c r="I494" s="5"/>
      <c r="J494" s="5"/>
      <c r="K494" s="5"/>
      <c r="L494" s="5"/>
      <c r="M494" s="5"/>
      <c r="N494" s="5"/>
      <c r="O494" s="5"/>
      <c r="P494" s="5"/>
      <c r="Q494" s="5"/>
      <c r="R494" s="5"/>
    </row>
    <row r="495" ht="15.75" customHeight="1">
      <c r="A495" s="5"/>
      <c r="B495" s="5"/>
      <c r="C495" s="5"/>
      <c r="D495" s="5"/>
      <c r="E495" s="5"/>
      <c r="F495" s="5"/>
      <c r="G495" s="5"/>
      <c r="H495" s="5"/>
      <c r="I495" s="5"/>
      <c r="J495" s="5"/>
      <c r="K495" s="5"/>
      <c r="L495" s="5"/>
      <c r="M495" s="5"/>
      <c r="N495" s="5"/>
      <c r="O495" s="5"/>
      <c r="P495" s="5"/>
      <c r="Q495" s="5"/>
      <c r="R495" s="5"/>
    </row>
    <row r="496" ht="15.75" customHeight="1">
      <c r="A496" s="5"/>
      <c r="B496" s="5"/>
      <c r="C496" s="5"/>
      <c r="D496" s="5"/>
      <c r="E496" s="5"/>
      <c r="F496" s="5"/>
      <c r="G496" s="5"/>
      <c r="H496" s="5"/>
      <c r="I496" s="5"/>
      <c r="J496" s="5"/>
      <c r="K496" s="5"/>
      <c r="L496" s="5"/>
      <c r="M496" s="5"/>
      <c r="N496" s="5"/>
      <c r="O496" s="5"/>
      <c r="P496" s="5"/>
      <c r="Q496" s="5"/>
      <c r="R496" s="5"/>
    </row>
    <row r="497" ht="15.75" customHeight="1">
      <c r="A497" s="5"/>
      <c r="B497" s="5"/>
      <c r="C497" s="5"/>
      <c r="D497" s="5"/>
      <c r="E497" s="5"/>
      <c r="F497" s="5"/>
      <c r="G497" s="5"/>
      <c r="H497" s="5"/>
      <c r="I497" s="5"/>
      <c r="J497" s="5"/>
      <c r="K497" s="5"/>
      <c r="L497" s="5"/>
      <c r="M497" s="5"/>
      <c r="N497" s="5"/>
      <c r="O497" s="5"/>
      <c r="P497" s="5"/>
      <c r="Q497" s="5"/>
      <c r="R497" s="5"/>
    </row>
    <row r="498" ht="15.75" customHeight="1">
      <c r="A498" s="5"/>
      <c r="B498" s="5"/>
      <c r="C498" s="5"/>
      <c r="D498" s="5"/>
      <c r="E498" s="5"/>
      <c r="F498" s="5"/>
      <c r="G498" s="5"/>
      <c r="H498" s="5"/>
      <c r="I498" s="5"/>
      <c r="J498" s="5"/>
      <c r="K498" s="5"/>
      <c r="L498" s="5"/>
      <c r="M498" s="5"/>
      <c r="N498" s="5"/>
      <c r="O498" s="5"/>
      <c r="P498" s="5"/>
      <c r="Q498" s="5"/>
      <c r="R498" s="5"/>
    </row>
    <row r="499" ht="15.75" customHeight="1">
      <c r="A499" s="5"/>
      <c r="B499" s="5"/>
      <c r="C499" s="5"/>
      <c r="D499" s="5"/>
      <c r="E499" s="5"/>
      <c r="F499" s="5"/>
      <c r="G499" s="5"/>
      <c r="H499" s="5"/>
      <c r="I499" s="5"/>
      <c r="J499" s="5"/>
      <c r="K499" s="5"/>
      <c r="L499" s="5"/>
      <c r="M499" s="5"/>
      <c r="N499" s="5"/>
      <c r="O499" s="5"/>
      <c r="P499" s="5"/>
      <c r="Q499" s="5"/>
      <c r="R499" s="5"/>
    </row>
    <row r="500" ht="15.75" customHeight="1">
      <c r="A500" s="5"/>
      <c r="B500" s="5"/>
      <c r="C500" s="5"/>
      <c r="D500" s="5"/>
      <c r="E500" s="5"/>
      <c r="F500" s="5"/>
      <c r="G500" s="5"/>
      <c r="H500" s="5"/>
      <c r="I500" s="5"/>
      <c r="J500" s="5"/>
      <c r="K500" s="5"/>
      <c r="L500" s="5"/>
      <c r="M500" s="5"/>
      <c r="N500" s="5"/>
      <c r="O500" s="5"/>
      <c r="P500" s="5"/>
      <c r="Q500" s="5"/>
      <c r="R500" s="5"/>
    </row>
    <row r="501" ht="15.75" customHeight="1">
      <c r="A501" s="5"/>
      <c r="B501" s="5"/>
      <c r="C501" s="5"/>
      <c r="D501" s="5"/>
      <c r="E501" s="5"/>
      <c r="F501" s="5"/>
      <c r="G501" s="5"/>
      <c r="H501" s="5"/>
      <c r="I501" s="5"/>
      <c r="J501" s="5"/>
      <c r="K501" s="5"/>
      <c r="L501" s="5"/>
      <c r="M501" s="5"/>
      <c r="N501" s="5"/>
      <c r="O501" s="5"/>
      <c r="P501" s="5"/>
      <c r="Q501" s="5"/>
      <c r="R501" s="5"/>
    </row>
    <row r="502" ht="15.75" customHeight="1">
      <c r="A502" s="5"/>
      <c r="B502" s="5"/>
      <c r="C502" s="5"/>
      <c r="D502" s="5"/>
      <c r="E502" s="5"/>
      <c r="F502" s="5"/>
      <c r="G502" s="5"/>
      <c r="H502" s="5"/>
      <c r="I502" s="5"/>
      <c r="J502" s="5"/>
      <c r="K502" s="5"/>
      <c r="L502" s="5"/>
      <c r="M502" s="5"/>
      <c r="N502" s="5"/>
      <c r="O502" s="5"/>
      <c r="P502" s="5"/>
      <c r="Q502" s="5"/>
      <c r="R502" s="5"/>
    </row>
    <row r="503" ht="15.75" customHeight="1">
      <c r="A503" s="5"/>
      <c r="B503" s="5"/>
      <c r="C503" s="5"/>
      <c r="D503" s="5"/>
      <c r="E503" s="5"/>
      <c r="F503" s="5"/>
      <c r="G503" s="5"/>
      <c r="H503" s="5"/>
      <c r="I503" s="5"/>
      <c r="J503" s="5"/>
      <c r="K503" s="5"/>
      <c r="L503" s="5"/>
      <c r="M503" s="5"/>
      <c r="N503" s="5"/>
      <c r="O503" s="5"/>
      <c r="P503" s="5"/>
      <c r="Q503" s="5"/>
      <c r="R503" s="5"/>
    </row>
    <row r="504" ht="15.75" customHeight="1">
      <c r="A504" s="5"/>
      <c r="B504" s="5"/>
      <c r="C504" s="5"/>
      <c r="D504" s="5"/>
      <c r="E504" s="5"/>
      <c r="F504" s="5"/>
      <c r="G504" s="5"/>
      <c r="H504" s="5"/>
      <c r="I504" s="5"/>
      <c r="J504" s="5"/>
      <c r="K504" s="5"/>
      <c r="L504" s="5"/>
      <c r="M504" s="5"/>
      <c r="N504" s="5"/>
      <c r="O504" s="5"/>
      <c r="P504" s="5"/>
      <c r="Q504" s="5"/>
      <c r="R504" s="5"/>
    </row>
    <row r="505" ht="15.75" customHeight="1">
      <c r="A505" s="5"/>
      <c r="B505" s="5"/>
      <c r="C505" s="5"/>
      <c r="D505" s="5"/>
      <c r="E505" s="5"/>
      <c r="F505" s="5"/>
      <c r="G505" s="5"/>
      <c r="H505" s="5"/>
      <c r="I505" s="5"/>
      <c r="J505" s="5"/>
      <c r="K505" s="5"/>
      <c r="L505" s="5"/>
      <c r="M505" s="5"/>
      <c r="N505" s="5"/>
      <c r="O505" s="5"/>
      <c r="P505" s="5"/>
      <c r="Q505" s="5"/>
      <c r="R505" s="5"/>
    </row>
    <row r="506" ht="15.75" customHeight="1">
      <c r="A506" s="5"/>
      <c r="B506" s="5"/>
      <c r="C506" s="5"/>
      <c r="D506" s="5"/>
      <c r="E506" s="5"/>
      <c r="F506" s="5"/>
      <c r="G506" s="5"/>
      <c r="H506" s="5"/>
      <c r="I506" s="5"/>
      <c r="J506" s="5"/>
      <c r="K506" s="5"/>
      <c r="L506" s="5"/>
      <c r="M506" s="5"/>
      <c r="N506" s="5"/>
      <c r="O506" s="5"/>
      <c r="P506" s="5"/>
      <c r="Q506" s="5"/>
      <c r="R506" s="5"/>
    </row>
    <row r="507" ht="15.75" customHeight="1">
      <c r="A507" s="5"/>
      <c r="B507" s="5"/>
      <c r="C507" s="5"/>
      <c r="D507" s="5"/>
      <c r="E507" s="5"/>
      <c r="F507" s="5"/>
      <c r="G507" s="5"/>
      <c r="H507" s="5"/>
      <c r="I507" s="5"/>
      <c r="J507" s="5"/>
      <c r="K507" s="5"/>
      <c r="L507" s="5"/>
      <c r="M507" s="5"/>
      <c r="N507" s="5"/>
      <c r="O507" s="5"/>
      <c r="P507" s="5"/>
      <c r="Q507" s="5"/>
      <c r="R507" s="5"/>
    </row>
    <row r="508" ht="15.75" customHeight="1">
      <c r="A508" s="5"/>
      <c r="B508" s="5"/>
      <c r="C508" s="5"/>
      <c r="D508" s="5"/>
      <c r="E508" s="5"/>
      <c r="F508" s="5"/>
      <c r="G508" s="5"/>
      <c r="H508" s="5"/>
      <c r="I508" s="5"/>
      <c r="J508" s="5"/>
      <c r="K508" s="5"/>
      <c r="L508" s="5"/>
      <c r="M508" s="5"/>
      <c r="N508" s="5"/>
      <c r="O508" s="5"/>
      <c r="P508" s="5"/>
      <c r="Q508" s="5"/>
      <c r="R508" s="5"/>
    </row>
    <row r="509" ht="15.75" customHeight="1">
      <c r="A509" s="5"/>
      <c r="B509" s="5"/>
      <c r="C509" s="5"/>
      <c r="D509" s="5"/>
      <c r="E509" s="5"/>
      <c r="F509" s="5"/>
      <c r="G509" s="5"/>
      <c r="H509" s="5"/>
      <c r="I509" s="5"/>
      <c r="J509" s="5"/>
      <c r="K509" s="5"/>
      <c r="L509" s="5"/>
      <c r="M509" s="5"/>
      <c r="N509" s="5"/>
      <c r="O509" s="5"/>
      <c r="P509" s="5"/>
      <c r="Q509" s="5"/>
      <c r="R509" s="5"/>
    </row>
    <row r="510" ht="15.75" customHeight="1">
      <c r="A510" s="5"/>
      <c r="B510" s="5"/>
      <c r="C510" s="5"/>
      <c r="D510" s="5"/>
      <c r="E510" s="5"/>
      <c r="F510" s="5"/>
      <c r="G510" s="5"/>
      <c r="H510" s="5"/>
      <c r="I510" s="5"/>
      <c r="J510" s="5"/>
      <c r="K510" s="5"/>
      <c r="L510" s="5"/>
      <c r="M510" s="5"/>
      <c r="N510" s="5"/>
      <c r="O510" s="5"/>
      <c r="P510" s="5"/>
      <c r="Q510" s="5"/>
      <c r="R510" s="5"/>
    </row>
    <row r="511" ht="15.75" customHeight="1">
      <c r="A511" s="5"/>
      <c r="B511" s="5"/>
      <c r="C511" s="5"/>
      <c r="D511" s="5"/>
      <c r="E511" s="5"/>
      <c r="F511" s="5"/>
      <c r="G511" s="5"/>
      <c r="H511" s="5"/>
      <c r="I511" s="5"/>
      <c r="J511" s="5"/>
      <c r="K511" s="5"/>
      <c r="L511" s="5"/>
      <c r="M511" s="5"/>
      <c r="N511" s="5"/>
      <c r="O511" s="5"/>
      <c r="P511" s="5"/>
      <c r="Q511" s="5"/>
      <c r="R511" s="5"/>
    </row>
    <row r="512" ht="15.75" customHeight="1">
      <c r="A512" s="5"/>
      <c r="B512" s="5"/>
      <c r="C512" s="5"/>
      <c r="D512" s="5"/>
      <c r="E512" s="5"/>
      <c r="F512" s="5"/>
      <c r="G512" s="5"/>
      <c r="H512" s="5"/>
      <c r="I512" s="5"/>
      <c r="J512" s="5"/>
      <c r="K512" s="5"/>
      <c r="L512" s="5"/>
      <c r="M512" s="5"/>
      <c r="N512" s="5"/>
      <c r="O512" s="5"/>
      <c r="P512" s="5"/>
      <c r="Q512" s="5"/>
      <c r="R512" s="5"/>
    </row>
    <row r="513" ht="15.75" customHeight="1">
      <c r="A513" s="5"/>
      <c r="B513" s="5"/>
      <c r="C513" s="5"/>
      <c r="D513" s="5"/>
      <c r="E513" s="5"/>
      <c r="F513" s="5"/>
      <c r="G513" s="5"/>
      <c r="H513" s="5"/>
      <c r="I513" s="5"/>
      <c r="J513" s="5"/>
      <c r="K513" s="5"/>
      <c r="L513" s="5"/>
      <c r="M513" s="5"/>
      <c r="N513" s="5"/>
      <c r="O513" s="5"/>
      <c r="P513" s="5"/>
      <c r="Q513" s="5"/>
      <c r="R513" s="5"/>
    </row>
    <row r="514" ht="15.75" customHeight="1">
      <c r="A514" s="5"/>
      <c r="B514" s="5"/>
      <c r="C514" s="5"/>
      <c r="D514" s="5"/>
      <c r="E514" s="5"/>
      <c r="F514" s="5"/>
      <c r="G514" s="5"/>
      <c r="H514" s="5"/>
      <c r="I514" s="5"/>
      <c r="J514" s="5"/>
      <c r="K514" s="5"/>
      <c r="L514" s="5"/>
      <c r="M514" s="5"/>
      <c r="N514" s="5"/>
      <c r="O514" s="5"/>
      <c r="P514" s="5"/>
      <c r="Q514" s="5"/>
      <c r="R514" s="5"/>
    </row>
    <row r="515" ht="15.75" customHeight="1">
      <c r="A515" s="5"/>
      <c r="B515" s="5"/>
      <c r="C515" s="5"/>
      <c r="D515" s="5"/>
      <c r="E515" s="5"/>
      <c r="F515" s="5"/>
      <c r="G515" s="5"/>
      <c r="H515" s="5"/>
      <c r="I515" s="5"/>
      <c r="J515" s="5"/>
      <c r="K515" s="5"/>
      <c r="L515" s="5"/>
      <c r="M515" s="5"/>
      <c r="N515" s="5"/>
      <c r="O515" s="5"/>
      <c r="P515" s="5"/>
      <c r="Q515" s="5"/>
      <c r="R515" s="5"/>
    </row>
    <row r="516" ht="15.75" customHeight="1">
      <c r="A516" s="5"/>
      <c r="B516" s="5"/>
      <c r="C516" s="5"/>
      <c r="D516" s="5"/>
      <c r="E516" s="5"/>
      <c r="F516" s="5"/>
      <c r="G516" s="5"/>
      <c r="H516" s="5"/>
      <c r="I516" s="5"/>
      <c r="J516" s="5"/>
      <c r="K516" s="5"/>
      <c r="L516" s="5"/>
      <c r="M516" s="5"/>
      <c r="N516" s="5"/>
      <c r="O516" s="5"/>
      <c r="P516" s="5"/>
      <c r="Q516" s="5"/>
      <c r="R516" s="5"/>
    </row>
    <row r="517" ht="15.75" customHeight="1">
      <c r="A517" s="5"/>
      <c r="B517" s="5"/>
      <c r="C517" s="5"/>
      <c r="D517" s="5"/>
      <c r="E517" s="5"/>
      <c r="F517" s="5"/>
      <c r="G517" s="5"/>
      <c r="H517" s="5"/>
      <c r="I517" s="5"/>
      <c r="J517" s="5"/>
      <c r="K517" s="5"/>
      <c r="L517" s="5"/>
      <c r="M517" s="5"/>
      <c r="N517" s="5"/>
      <c r="O517" s="5"/>
      <c r="P517" s="5"/>
      <c r="Q517" s="5"/>
      <c r="R517" s="5"/>
    </row>
    <row r="518" ht="15.75" customHeight="1">
      <c r="A518" s="5"/>
      <c r="B518" s="5"/>
      <c r="C518" s="5"/>
      <c r="D518" s="5"/>
      <c r="E518" s="5"/>
      <c r="F518" s="5"/>
      <c r="G518" s="5"/>
      <c r="H518" s="5"/>
      <c r="I518" s="5"/>
      <c r="J518" s="5"/>
      <c r="K518" s="5"/>
      <c r="L518" s="5"/>
      <c r="M518" s="5"/>
      <c r="N518" s="5"/>
      <c r="O518" s="5"/>
      <c r="P518" s="5"/>
      <c r="Q518" s="5"/>
      <c r="R518" s="5"/>
    </row>
    <row r="519" ht="15.75" customHeight="1">
      <c r="A519" s="5"/>
      <c r="B519" s="5"/>
      <c r="C519" s="5"/>
      <c r="D519" s="5"/>
      <c r="E519" s="5"/>
      <c r="F519" s="5"/>
      <c r="G519" s="5"/>
      <c r="H519" s="5"/>
      <c r="I519" s="5"/>
      <c r="J519" s="5"/>
      <c r="K519" s="5"/>
      <c r="L519" s="5"/>
      <c r="M519" s="5"/>
      <c r="N519" s="5"/>
      <c r="O519" s="5"/>
      <c r="P519" s="5"/>
      <c r="Q519" s="5"/>
      <c r="R519" s="5"/>
    </row>
    <row r="520" ht="15.75" customHeight="1">
      <c r="A520" s="5"/>
      <c r="B520" s="5"/>
      <c r="C520" s="5"/>
      <c r="D520" s="5"/>
      <c r="E520" s="5"/>
      <c r="F520" s="5"/>
      <c r="G520" s="5"/>
      <c r="H520" s="5"/>
      <c r="I520" s="5"/>
      <c r="J520" s="5"/>
      <c r="K520" s="5"/>
      <c r="L520" s="5"/>
      <c r="M520" s="5"/>
      <c r="N520" s="5"/>
      <c r="O520" s="5"/>
      <c r="P520" s="5"/>
      <c r="Q520" s="5"/>
      <c r="R520" s="5"/>
    </row>
    <row r="521" ht="15.75" customHeight="1">
      <c r="A521" s="5"/>
      <c r="B521" s="5"/>
      <c r="C521" s="5"/>
      <c r="D521" s="5"/>
      <c r="E521" s="5"/>
      <c r="F521" s="5"/>
      <c r="G521" s="5"/>
      <c r="H521" s="5"/>
      <c r="I521" s="5"/>
      <c r="J521" s="5"/>
      <c r="K521" s="5"/>
      <c r="L521" s="5"/>
      <c r="M521" s="5"/>
      <c r="N521" s="5"/>
      <c r="O521" s="5"/>
      <c r="P521" s="5"/>
      <c r="Q521" s="5"/>
      <c r="R521" s="5"/>
    </row>
    <row r="522" ht="15.75" customHeight="1">
      <c r="A522" s="5"/>
      <c r="B522" s="5"/>
      <c r="C522" s="5"/>
      <c r="D522" s="5"/>
      <c r="E522" s="5"/>
      <c r="F522" s="5"/>
      <c r="G522" s="5"/>
      <c r="H522" s="5"/>
      <c r="I522" s="5"/>
      <c r="J522" s="5"/>
      <c r="K522" s="5"/>
      <c r="L522" s="5"/>
      <c r="M522" s="5"/>
      <c r="N522" s="5"/>
      <c r="O522" s="5"/>
      <c r="P522" s="5"/>
      <c r="Q522" s="5"/>
      <c r="R522" s="5"/>
    </row>
    <row r="523" ht="15.75" customHeight="1">
      <c r="A523" s="5"/>
      <c r="B523" s="5"/>
      <c r="C523" s="5"/>
      <c r="D523" s="5"/>
      <c r="E523" s="5"/>
      <c r="F523" s="5"/>
      <c r="G523" s="5"/>
      <c r="H523" s="5"/>
      <c r="I523" s="5"/>
      <c r="J523" s="5"/>
      <c r="K523" s="5"/>
      <c r="L523" s="5"/>
      <c r="M523" s="5"/>
      <c r="N523" s="5"/>
      <c r="O523" s="5"/>
      <c r="P523" s="5"/>
      <c r="Q523" s="5"/>
      <c r="R523" s="5"/>
    </row>
    <row r="524" ht="15.75" customHeight="1">
      <c r="A524" s="5"/>
      <c r="B524" s="5"/>
      <c r="C524" s="5"/>
      <c r="D524" s="5"/>
      <c r="E524" s="5"/>
      <c r="F524" s="5"/>
      <c r="G524" s="5"/>
      <c r="H524" s="5"/>
      <c r="I524" s="5"/>
      <c r="J524" s="5"/>
      <c r="K524" s="5"/>
      <c r="L524" s="5"/>
      <c r="M524" s="5"/>
      <c r="N524" s="5"/>
      <c r="O524" s="5"/>
      <c r="P524" s="5"/>
      <c r="Q524" s="5"/>
      <c r="R524" s="5"/>
    </row>
    <row r="525" ht="15.75" customHeight="1">
      <c r="A525" s="5"/>
      <c r="B525" s="5"/>
      <c r="C525" s="5"/>
      <c r="D525" s="5"/>
      <c r="E525" s="5"/>
      <c r="F525" s="5"/>
      <c r="G525" s="5"/>
      <c r="H525" s="5"/>
      <c r="I525" s="5"/>
      <c r="J525" s="5"/>
      <c r="K525" s="5"/>
      <c r="L525" s="5"/>
      <c r="M525" s="5"/>
      <c r="N525" s="5"/>
      <c r="O525" s="5"/>
      <c r="P525" s="5"/>
      <c r="Q525" s="5"/>
      <c r="R525" s="5"/>
    </row>
    <row r="526" ht="15.75" customHeight="1">
      <c r="A526" s="5"/>
      <c r="B526" s="5"/>
      <c r="C526" s="5"/>
      <c r="D526" s="5"/>
      <c r="E526" s="5"/>
      <c r="F526" s="5"/>
      <c r="G526" s="5"/>
      <c r="H526" s="5"/>
      <c r="I526" s="5"/>
      <c r="J526" s="5"/>
      <c r="K526" s="5"/>
      <c r="L526" s="5"/>
      <c r="M526" s="5"/>
      <c r="N526" s="5"/>
      <c r="O526" s="5"/>
      <c r="P526" s="5"/>
      <c r="Q526" s="5"/>
      <c r="R526" s="5"/>
    </row>
    <row r="527" ht="15.75" customHeight="1">
      <c r="A527" s="5"/>
      <c r="B527" s="5"/>
      <c r="C527" s="5"/>
      <c r="D527" s="5"/>
      <c r="E527" s="5"/>
      <c r="F527" s="5"/>
      <c r="G527" s="5"/>
      <c r="H527" s="5"/>
      <c r="I527" s="5"/>
      <c r="J527" s="5"/>
      <c r="K527" s="5"/>
      <c r="L527" s="5"/>
      <c r="M527" s="5"/>
      <c r="N527" s="5"/>
      <c r="O527" s="5"/>
      <c r="P527" s="5"/>
      <c r="Q527" s="5"/>
      <c r="R527" s="5"/>
    </row>
    <row r="528" ht="15.75" customHeight="1">
      <c r="A528" s="5"/>
      <c r="B528" s="5"/>
      <c r="C528" s="5"/>
      <c r="D528" s="5"/>
      <c r="E528" s="5"/>
      <c r="F528" s="5"/>
      <c r="G528" s="5"/>
      <c r="H528" s="5"/>
      <c r="I528" s="5"/>
      <c r="J528" s="5"/>
      <c r="K528" s="5"/>
      <c r="L528" s="5"/>
      <c r="M528" s="5"/>
      <c r="N528" s="5"/>
      <c r="O528" s="5"/>
      <c r="P528" s="5"/>
      <c r="Q528" s="5"/>
      <c r="R528" s="5"/>
    </row>
    <row r="529" ht="15.75" customHeight="1">
      <c r="A529" s="5"/>
      <c r="B529" s="5"/>
      <c r="C529" s="5"/>
      <c r="D529" s="5"/>
      <c r="E529" s="5"/>
      <c r="F529" s="5"/>
      <c r="G529" s="5"/>
      <c r="H529" s="5"/>
      <c r="I529" s="5"/>
      <c r="J529" s="5"/>
      <c r="K529" s="5"/>
      <c r="L529" s="5"/>
      <c r="M529" s="5"/>
      <c r="N529" s="5"/>
      <c r="O529" s="5"/>
      <c r="P529" s="5"/>
      <c r="Q529" s="5"/>
      <c r="R529" s="5"/>
    </row>
    <row r="530" ht="15.75" customHeight="1">
      <c r="A530" s="5"/>
      <c r="B530" s="5"/>
      <c r="C530" s="5"/>
      <c r="D530" s="5"/>
      <c r="E530" s="5"/>
      <c r="F530" s="5"/>
      <c r="G530" s="5"/>
      <c r="H530" s="5"/>
      <c r="I530" s="5"/>
      <c r="J530" s="5"/>
      <c r="K530" s="5"/>
      <c r="L530" s="5"/>
      <c r="M530" s="5"/>
      <c r="N530" s="5"/>
      <c r="O530" s="5"/>
      <c r="P530" s="5"/>
      <c r="Q530" s="5"/>
      <c r="R530" s="5"/>
    </row>
    <row r="531" ht="15.75" customHeight="1">
      <c r="A531" s="5"/>
      <c r="B531" s="5"/>
      <c r="C531" s="5"/>
      <c r="D531" s="5"/>
      <c r="E531" s="5"/>
      <c r="F531" s="5"/>
      <c r="G531" s="5"/>
      <c r="H531" s="5"/>
      <c r="I531" s="5"/>
      <c r="J531" s="5"/>
      <c r="K531" s="5"/>
      <c r="L531" s="5"/>
      <c r="M531" s="5"/>
      <c r="N531" s="5"/>
      <c r="O531" s="5"/>
      <c r="P531" s="5"/>
      <c r="Q531" s="5"/>
      <c r="R531" s="5"/>
    </row>
    <row r="532" ht="15.75" customHeight="1">
      <c r="A532" s="5"/>
      <c r="B532" s="5"/>
      <c r="C532" s="5"/>
      <c r="D532" s="5"/>
      <c r="E532" s="5"/>
      <c r="F532" s="5"/>
      <c r="G532" s="5"/>
      <c r="H532" s="5"/>
      <c r="I532" s="5"/>
      <c r="J532" s="5"/>
      <c r="K532" s="5"/>
      <c r="L532" s="5"/>
      <c r="M532" s="5"/>
      <c r="N532" s="5"/>
      <c r="O532" s="5"/>
      <c r="P532" s="5"/>
      <c r="Q532" s="5"/>
      <c r="R532" s="5"/>
    </row>
    <row r="533" ht="15.75" customHeight="1">
      <c r="A533" s="5"/>
      <c r="B533" s="5"/>
      <c r="C533" s="5"/>
      <c r="D533" s="5"/>
      <c r="E533" s="5"/>
      <c r="F533" s="5"/>
      <c r="G533" s="5"/>
      <c r="H533" s="5"/>
      <c r="I533" s="5"/>
      <c r="J533" s="5"/>
      <c r="K533" s="5"/>
      <c r="L533" s="5"/>
      <c r="M533" s="5"/>
      <c r="N533" s="5"/>
      <c r="O533" s="5"/>
      <c r="P533" s="5"/>
      <c r="Q533" s="5"/>
      <c r="R533" s="5"/>
    </row>
    <row r="534" ht="15.75" customHeight="1">
      <c r="A534" s="5"/>
      <c r="B534" s="5"/>
      <c r="C534" s="5"/>
      <c r="D534" s="5"/>
      <c r="E534" s="5"/>
      <c r="F534" s="5"/>
      <c r="G534" s="5"/>
      <c r="H534" s="5"/>
      <c r="I534" s="5"/>
      <c r="J534" s="5"/>
      <c r="K534" s="5"/>
      <c r="L534" s="5"/>
      <c r="M534" s="5"/>
      <c r="N534" s="5"/>
      <c r="O534" s="5"/>
      <c r="P534" s="5"/>
      <c r="Q534" s="5"/>
      <c r="R534" s="5"/>
    </row>
    <row r="535" ht="15.75" customHeight="1">
      <c r="A535" s="5"/>
      <c r="B535" s="5"/>
      <c r="C535" s="5"/>
      <c r="D535" s="5"/>
      <c r="E535" s="5"/>
      <c r="F535" s="5"/>
      <c r="G535" s="5"/>
      <c r="H535" s="5"/>
      <c r="I535" s="5"/>
      <c r="J535" s="5"/>
      <c r="K535" s="5"/>
      <c r="L535" s="5"/>
      <c r="M535" s="5"/>
      <c r="N535" s="5"/>
      <c r="O535" s="5"/>
      <c r="P535" s="5"/>
      <c r="Q535" s="5"/>
      <c r="R535" s="5"/>
    </row>
    <row r="536" ht="15.75" customHeight="1">
      <c r="A536" s="5"/>
      <c r="B536" s="5"/>
      <c r="C536" s="5"/>
      <c r="D536" s="5"/>
      <c r="E536" s="5"/>
      <c r="F536" s="5"/>
      <c r="G536" s="5"/>
      <c r="H536" s="5"/>
      <c r="I536" s="5"/>
      <c r="J536" s="5"/>
      <c r="K536" s="5"/>
      <c r="L536" s="5"/>
      <c r="M536" s="5"/>
      <c r="N536" s="5"/>
      <c r="O536" s="5"/>
      <c r="P536" s="5"/>
      <c r="Q536" s="5"/>
      <c r="R536" s="5"/>
    </row>
    <row r="537" ht="15.75" customHeight="1">
      <c r="A537" s="5"/>
      <c r="B537" s="5"/>
      <c r="C537" s="5"/>
      <c r="D537" s="5"/>
      <c r="E537" s="5"/>
      <c r="F537" s="5"/>
      <c r="G537" s="5"/>
      <c r="H537" s="5"/>
      <c r="I537" s="5"/>
      <c r="J537" s="5"/>
      <c r="K537" s="5"/>
      <c r="L537" s="5"/>
      <c r="M537" s="5"/>
      <c r="N537" s="5"/>
      <c r="O537" s="5"/>
      <c r="P537" s="5"/>
      <c r="Q537" s="5"/>
      <c r="R537" s="5"/>
    </row>
    <row r="538" ht="15.75" customHeight="1">
      <c r="A538" s="5"/>
      <c r="B538" s="5"/>
      <c r="C538" s="5"/>
      <c r="D538" s="5"/>
      <c r="E538" s="5"/>
      <c r="F538" s="5"/>
      <c r="G538" s="5"/>
      <c r="H538" s="5"/>
      <c r="I538" s="5"/>
      <c r="J538" s="5"/>
      <c r="K538" s="5"/>
      <c r="L538" s="5"/>
      <c r="M538" s="5"/>
      <c r="N538" s="5"/>
      <c r="O538" s="5"/>
      <c r="P538" s="5"/>
      <c r="Q538" s="5"/>
      <c r="R538" s="5"/>
    </row>
    <row r="539" ht="15.75" customHeight="1">
      <c r="A539" s="5"/>
      <c r="B539" s="5"/>
      <c r="C539" s="5"/>
      <c r="D539" s="5"/>
      <c r="E539" s="5"/>
      <c r="F539" s="5"/>
      <c r="G539" s="5"/>
      <c r="H539" s="5"/>
      <c r="I539" s="5"/>
      <c r="J539" s="5"/>
      <c r="K539" s="5"/>
      <c r="L539" s="5"/>
      <c r="M539" s="5"/>
      <c r="N539" s="5"/>
      <c r="O539" s="5"/>
      <c r="P539" s="5"/>
      <c r="Q539" s="5"/>
      <c r="R539" s="5"/>
    </row>
    <row r="540" ht="15.75" customHeight="1">
      <c r="A540" s="5"/>
      <c r="B540" s="5"/>
      <c r="C540" s="5"/>
      <c r="D540" s="5"/>
      <c r="E540" s="5"/>
      <c r="F540" s="5"/>
      <c r="G540" s="5"/>
      <c r="H540" s="5"/>
      <c r="I540" s="5"/>
      <c r="J540" s="5"/>
      <c r="K540" s="5"/>
      <c r="L540" s="5"/>
      <c r="M540" s="5"/>
      <c r="N540" s="5"/>
      <c r="O540" s="5"/>
      <c r="P540" s="5"/>
      <c r="Q540" s="5"/>
      <c r="R540" s="5"/>
    </row>
    <row r="541" ht="15.75" customHeight="1">
      <c r="A541" s="5"/>
      <c r="B541" s="5"/>
      <c r="C541" s="5"/>
      <c r="D541" s="5"/>
      <c r="E541" s="5"/>
      <c r="F541" s="5"/>
      <c r="G541" s="5"/>
      <c r="H541" s="5"/>
      <c r="I541" s="5"/>
      <c r="J541" s="5"/>
      <c r="K541" s="5"/>
      <c r="L541" s="5"/>
      <c r="M541" s="5"/>
      <c r="N541" s="5"/>
      <c r="O541" s="5"/>
      <c r="P541" s="5"/>
      <c r="Q541" s="5"/>
      <c r="R541" s="5"/>
    </row>
    <row r="542" ht="15.75" customHeight="1">
      <c r="A542" s="5"/>
      <c r="B542" s="5"/>
      <c r="C542" s="5"/>
      <c r="D542" s="5"/>
      <c r="E542" s="5"/>
      <c r="F542" s="5"/>
      <c r="G542" s="5"/>
      <c r="H542" s="5"/>
      <c r="I542" s="5"/>
      <c r="J542" s="5"/>
      <c r="K542" s="5"/>
      <c r="L542" s="5"/>
      <c r="M542" s="5"/>
      <c r="N542" s="5"/>
      <c r="O542" s="5"/>
      <c r="P542" s="5"/>
      <c r="Q542" s="5"/>
      <c r="R542" s="5"/>
    </row>
    <row r="543" ht="15.75" customHeight="1">
      <c r="A543" s="5"/>
      <c r="B543" s="5"/>
      <c r="C543" s="5"/>
      <c r="D543" s="5"/>
      <c r="E543" s="5"/>
      <c r="F543" s="5"/>
      <c r="G543" s="5"/>
      <c r="H543" s="5"/>
      <c r="I543" s="5"/>
      <c r="J543" s="5"/>
      <c r="K543" s="5"/>
      <c r="L543" s="5"/>
      <c r="M543" s="5"/>
      <c r="N543" s="5"/>
      <c r="O543" s="5"/>
      <c r="P543" s="5"/>
      <c r="Q543" s="5"/>
      <c r="R543" s="5"/>
    </row>
    <row r="544" ht="15.75" customHeight="1">
      <c r="A544" s="5"/>
      <c r="B544" s="5"/>
      <c r="C544" s="5"/>
      <c r="D544" s="5"/>
      <c r="E544" s="5"/>
      <c r="F544" s="5"/>
      <c r="G544" s="5"/>
      <c r="H544" s="5"/>
      <c r="I544" s="5"/>
      <c r="J544" s="5"/>
      <c r="K544" s="5"/>
      <c r="L544" s="5"/>
      <c r="M544" s="5"/>
      <c r="N544" s="5"/>
      <c r="O544" s="5"/>
      <c r="P544" s="5"/>
      <c r="Q544" s="5"/>
      <c r="R544" s="5"/>
    </row>
    <row r="545" ht="15.75" customHeight="1">
      <c r="A545" s="5"/>
      <c r="B545" s="5"/>
      <c r="C545" s="5"/>
      <c r="D545" s="5"/>
      <c r="E545" s="5"/>
      <c r="F545" s="5"/>
      <c r="G545" s="5"/>
      <c r="H545" s="5"/>
      <c r="I545" s="5"/>
      <c r="J545" s="5"/>
      <c r="K545" s="5"/>
      <c r="L545" s="5"/>
      <c r="M545" s="5"/>
      <c r="N545" s="5"/>
      <c r="O545" s="5"/>
      <c r="P545" s="5"/>
      <c r="Q545" s="5"/>
      <c r="R545" s="5"/>
    </row>
    <row r="546" ht="15.75" customHeight="1">
      <c r="A546" s="5"/>
      <c r="B546" s="5"/>
      <c r="C546" s="5"/>
      <c r="D546" s="5"/>
      <c r="E546" s="5"/>
      <c r="F546" s="5"/>
      <c r="G546" s="5"/>
      <c r="H546" s="5"/>
      <c r="I546" s="5"/>
      <c r="J546" s="5"/>
      <c r="K546" s="5"/>
      <c r="L546" s="5"/>
      <c r="M546" s="5"/>
      <c r="N546" s="5"/>
      <c r="O546" s="5"/>
      <c r="P546" s="5"/>
      <c r="Q546" s="5"/>
      <c r="R546" s="5"/>
    </row>
    <row r="547" ht="15.75" customHeight="1">
      <c r="A547" s="5"/>
      <c r="B547" s="5"/>
      <c r="C547" s="5"/>
      <c r="D547" s="5"/>
      <c r="E547" s="5"/>
      <c r="F547" s="5"/>
      <c r="G547" s="5"/>
      <c r="H547" s="5"/>
      <c r="I547" s="5"/>
      <c r="J547" s="5"/>
      <c r="K547" s="5"/>
      <c r="L547" s="5"/>
      <c r="M547" s="5"/>
      <c r="N547" s="5"/>
      <c r="O547" s="5"/>
      <c r="P547" s="5"/>
      <c r="Q547" s="5"/>
      <c r="R547" s="5"/>
    </row>
    <row r="548" ht="15.75" customHeight="1">
      <c r="A548" s="5"/>
      <c r="B548" s="5"/>
      <c r="C548" s="5"/>
      <c r="D548" s="5"/>
      <c r="E548" s="5"/>
      <c r="F548" s="5"/>
      <c r="G548" s="5"/>
      <c r="H548" s="5"/>
      <c r="I548" s="5"/>
      <c r="J548" s="5"/>
      <c r="K548" s="5"/>
      <c r="L548" s="5"/>
      <c r="M548" s="5"/>
      <c r="N548" s="5"/>
      <c r="O548" s="5"/>
      <c r="P548" s="5"/>
      <c r="Q548" s="5"/>
      <c r="R548" s="5"/>
    </row>
    <row r="549" ht="15.75" customHeight="1">
      <c r="A549" s="5"/>
      <c r="B549" s="5"/>
      <c r="C549" s="5"/>
      <c r="D549" s="5"/>
      <c r="E549" s="5"/>
      <c r="F549" s="5"/>
      <c r="G549" s="5"/>
      <c r="H549" s="5"/>
      <c r="I549" s="5"/>
      <c r="J549" s="5"/>
      <c r="K549" s="5"/>
      <c r="L549" s="5"/>
      <c r="M549" s="5"/>
      <c r="N549" s="5"/>
      <c r="O549" s="5"/>
      <c r="P549" s="5"/>
      <c r="Q549" s="5"/>
      <c r="R549" s="5"/>
    </row>
    <row r="550" ht="15.75" customHeight="1">
      <c r="A550" s="5"/>
      <c r="B550" s="5"/>
      <c r="C550" s="5"/>
      <c r="D550" s="5"/>
      <c r="E550" s="5"/>
      <c r="F550" s="5"/>
      <c r="G550" s="5"/>
      <c r="H550" s="5"/>
      <c r="I550" s="5"/>
      <c r="J550" s="5"/>
      <c r="K550" s="5"/>
      <c r="L550" s="5"/>
      <c r="M550" s="5"/>
      <c r="N550" s="5"/>
      <c r="O550" s="5"/>
      <c r="P550" s="5"/>
      <c r="Q550" s="5"/>
      <c r="R550" s="5"/>
    </row>
    <row r="551" ht="15.75" customHeight="1">
      <c r="A551" s="5"/>
      <c r="B551" s="5"/>
      <c r="C551" s="5"/>
      <c r="D551" s="5"/>
      <c r="E551" s="5"/>
      <c r="F551" s="5"/>
      <c r="G551" s="5"/>
      <c r="H551" s="5"/>
      <c r="I551" s="5"/>
      <c r="J551" s="5"/>
      <c r="K551" s="5"/>
      <c r="L551" s="5"/>
      <c r="M551" s="5"/>
      <c r="N551" s="5"/>
      <c r="O551" s="5"/>
      <c r="P551" s="5"/>
      <c r="Q551" s="5"/>
      <c r="R551" s="5"/>
    </row>
    <row r="552" ht="15.75" customHeight="1">
      <c r="A552" s="5"/>
      <c r="B552" s="5"/>
      <c r="C552" s="5"/>
      <c r="D552" s="5"/>
      <c r="E552" s="5"/>
      <c r="F552" s="5"/>
      <c r="G552" s="5"/>
      <c r="H552" s="5"/>
      <c r="I552" s="5"/>
      <c r="J552" s="5"/>
      <c r="K552" s="5"/>
      <c r="L552" s="5"/>
      <c r="M552" s="5"/>
      <c r="N552" s="5"/>
      <c r="O552" s="5"/>
      <c r="P552" s="5"/>
      <c r="Q552" s="5"/>
      <c r="R552" s="5"/>
    </row>
    <row r="553" ht="15.75" customHeight="1">
      <c r="A553" s="5"/>
      <c r="B553" s="5"/>
      <c r="C553" s="5"/>
      <c r="D553" s="5"/>
      <c r="E553" s="5"/>
      <c r="F553" s="5"/>
      <c r="G553" s="5"/>
      <c r="H553" s="5"/>
      <c r="I553" s="5"/>
      <c r="J553" s="5"/>
      <c r="K553" s="5"/>
      <c r="L553" s="5"/>
      <c r="M553" s="5"/>
      <c r="N553" s="5"/>
      <c r="O553" s="5"/>
      <c r="P553" s="5"/>
      <c r="Q553" s="5"/>
      <c r="R553" s="5"/>
    </row>
    <row r="554" ht="15.75" customHeight="1">
      <c r="A554" s="5"/>
      <c r="B554" s="5"/>
      <c r="C554" s="5"/>
      <c r="D554" s="5"/>
      <c r="E554" s="5"/>
      <c r="F554" s="5"/>
      <c r="G554" s="5"/>
      <c r="H554" s="5"/>
      <c r="I554" s="5"/>
      <c r="J554" s="5"/>
      <c r="K554" s="5"/>
      <c r="L554" s="5"/>
      <c r="M554" s="5"/>
      <c r="N554" s="5"/>
      <c r="O554" s="5"/>
      <c r="P554" s="5"/>
      <c r="Q554" s="5"/>
      <c r="R554" s="5"/>
    </row>
    <row r="555" ht="15.75" customHeight="1">
      <c r="A555" s="5"/>
      <c r="B555" s="5"/>
      <c r="C555" s="5"/>
      <c r="D555" s="5"/>
      <c r="E555" s="5"/>
      <c r="F555" s="5"/>
      <c r="G555" s="5"/>
      <c r="H555" s="5"/>
      <c r="I555" s="5"/>
      <c r="J555" s="5"/>
      <c r="K555" s="5"/>
      <c r="L555" s="5"/>
      <c r="M555" s="5"/>
      <c r="N555" s="5"/>
      <c r="O555" s="5"/>
      <c r="P555" s="5"/>
      <c r="Q555" s="5"/>
      <c r="R555" s="5"/>
    </row>
    <row r="556" ht="15.75" customHeight="1">
      <c r="A556" s="5"/>
      <c r="B556" s="5"/>
      <c r="C556" s="5"/>
      <c r="D556" s="5"/>
      <c r="E556" s="5"/>
      <c r="F556" s="5"/>
      <c r="G556" s="5"/>
      <c r="H556" s="5"/>
      <c r="I556" s="5"/>
      <c r="J556" s="5"/>
      <c r="K556" s="5"/>
      <c r="L556" s="5"/>
      <c r="M556" s="5"/>
      <c r="N556" s="5"/>
      <c r="O556" s="5"/>
      <c r="P556" s="5"/>
      <c r="Q556" s="5"/>
      <c r="R556" s="5"/>
    </row>
    <row r="557" ht="15.75" customHeight="1">
      <c r="A557" s="5"/>
      <c r="B557" s="5"/>
      <c r="C557" s="5"/>
      <c r="D557" s="5"/>
      <c r="E557" s="5"/>
      <c r="F557" s="5"/>
      <c r="G557" s="5"/>
      <c r="H557" s="5"/>
      <c r="I557" s="5"/>
      <c r="J557" s="5"/>
      <c r="K557" s="5"/>
      <c r="L557" s="5"/>
      <c r="M557" s="5"/>
      <c r="N557" s="5"/>
      <c r="O557" s="5"/>
      <c r="P557" s="5"/>
      <c r="Q557" s="5"/>
      <c r="R557" s="5"/>
    </row>
    <row r="558" ht="15.75" customHeight="1">
      <c r="A558" s="5"/>
      <c r="B558" s="5"/>
      <c r="C558" s="5"/>
      <c r="D558" s="5"/>
      <c r="E558" s="5"/>
      <c r="F558" s="5"/>
      <c r="G558" s="5"/>
      <c r="H558" s="5"/>
      <c r="I558" s="5"/>
      <c r="J558" s="5"/>
      <c r="K558" s="5"/>
      <c r="L558" s="5"/>
      <c r="M558" s="5"/>
      <c r="N558" s="5"/>
      <c r="O558" s="5"/>
      <c r="P558" s="5"/>
      <c r="Q558" s="5"/>
      <c r="R558" s="5"/>
    </row>
    <row r="559" ht="15.75" customHeight="1">
      <c r="A559" s="5"/>
      <c r="B559" s="5"/>
      <c r="C559" s="5"/>
      <c r="D559" s="5"/>
      <c r="E559" s="5"/>
      <c r="F559" s="5"/>
      <c r="G559" s="5"/>
      <c r="H559" s="5"/>
      <c r="I559" s="5"/>
      <c r="J559" s="5"/>
      <c r="K559" s="5"/>
      <c r="L559" s="5"/>
      <c r="M559" s="5"/>
      <c r="N559" s="5"/>
      <c r="O559" s="5"/>
      <c r="P559" s="5"/>
      <c r="Q559" s="5"/>
      <c r="R559" s="5"/>
    </row>
    <row r="560" ht="15.75" customHeight="1">
      <c r="A560" s="5"/>
      <c r="B560" s="5"/>
      <c r="C560" s="5"/>
      <c r="D560" s="5"/>
      <c r="E560" s="5"/>
      <c r="F560" s="5"/>
      <c r="G560" s="5"/>
      <c r="H560" s="5"/>
      <c r="I560" s="5"/>
      <c r="J560" s="5"/>
      <c r="K560" s="5"/>
      <c r="L560" s="5"/>
      <c r="M560" s="5"/>
      <c r="N560" s="5"/>
      <c r="O560" s="5"/>
      <c r="P560" s="5"/>
      <c r="Q560" s="5"/>
      <c r="R560" s="5"/>
    </row>
    <row r="561" ht="15.75" customHeight="1">
      <c r="A561" s="5"/>
      <c r="B561" s="5"/>
      <c r="C561" s="5"/>
      <c r="D561" s="5"/>
      <c r="E561" s="5"/>
      <c r="F561" s="5"/>
      <c r="G561" s="5"/>
      <c r="H561" s="5"/>
      <c r="I561" s="5"/>
      <c r="J561" s="5"/>
      <c r="K561" s="5"/>
      <c r="L561" s="5"/>
      <c r="M561" s="5"/>
      <c r="N561" s="5"/>
      <c r="O561" s="5"/>
      <c r="P561" s="5"/>
      <c r="Q561" s="5"/>
      <c r="R561" s="5"/>
    </row>
    <row r="562" ht="15.75" customHeight="1">
      <c r="A562" s="5"/>
      <c r="B562" s="5"/>
      <c r="C562" s="5"/>
      <c r="D562" s="5"/>
      <c r="E562" s="5"/>
      <c r="F562" s="5"/>
      <c r="G562" s="5"/>
      <c r="H562" s="5"/>
      <c r="I562" s="5"/>
      <c r="J562" s="5"/>
      <c r="K562" s="5"/>
      <c r="L562" s="5"/>
      <c r="M562" s="5"/>
      <c r="N562" s="5"/>
      <c r="O562" s="5"/>
      <c r="P562" s="5"/>
      <c r="Q562" s="5"/>
      <c r="R562" s="5"/>
    </row>
    <row r="563" ht="15.75" customHeight="1">
      <c r="A563" s="5"/>
      <c r="B563" s="5"/>
      <c r="C563" s="5"/>
      <c r="D563" s="5"/>
      <c r="E563" s="5"/>
      <c r="F563" s="5"/>
      <c r="G563" s="5"/>
      <c r="H563" s="5"/>
      <c r="I563" s="5"/>
      <c r="J563" s="5"/>
      <c r="K563" s="5"/>
      <c r="L563" s="5"/>
      <c r="M563" s="5"/>
      <c r="N563" s="5"/>
      <c r="O563" s="5"/>
      <c r="P563" s="5"/>
      <c r="Q563" s="5"/>
      <c r="R563" s="5"/>
    </row>
    <row r="564" ht="15.75" customHeight="1">
      <c r="A564" s="5"/>
      <c r="B564" s="5"/>
      <c r="C564" s="5"/>
      <c r="D564" s="5"/>
      <c r="E564" s="5"/>
      <c r="F564" s="5"/>
      <c r="G564" s="5"/>
      <c r="H564" s="5"/>
      <c r="I564" s="5"/>
      <c r="J564" s="5"/>
      <c r="K564" s="5"/>
      <c r="L564" s="5"/>
      <c r="M564" s="5"/>
      <c r="N564" s="5"/>
      <c r="O564" s="5"/>
      <c r="P564" s="5"/>
      <c r="Q564" s="5"/>
      <c r="R564" s="5"/>
    </row>
    <row r="565" ht="15.75" customHeight="1">
      <c r="A565" s="5"/>
      <c r="B565" s="5"/>
      <c r="C565" s="5"/>
      <c r="D565" s="5"/>
      <c r="E565" s="5"/>
      <c r="F565" s="5"/>
      <c r="G565" s="5"/>
      <c r="H565" s="5"/>
      <c r="I565" s="5"/>
      <c r="J565" s="5"/>
      <c r="K565" s="5"/>
      <c r="L565" s="5"/>
      <c r="M565" s="5"/>
      <c r="N565" s="5"/>
      <c r="O565" s="5"/>
      <c r="P565" s="5"/>
      <c r="Q565" s="5"/>
      <c r="R565" s="5"/>
    </row>
    <row r="566" ht="15.75" customHeight="1">
      <c r="A566" s="5"/>
      <c r="B566" s="5"/>
      <c r="C566" s="5"/>
      <c r="D566" s="5"/>
      <c r="E566" s="5"/>
      <c r="F566" s="5"/>
      <c r="G566" s="5"/>
      <c r="H566" s="5"/>
      <c r="I566" s="5"/>
      <c r="J566" s="5"/>
      <c r="K566" s="5"/>
      <c r="L566" s="5"/>
      <c r="M566" s="5"/>
      <c r="N566" s="5"/>
      <c r="O566" s="5"/>
      <c r="P566" s="5"/>
      <c r="Q566" s="5"/>
      <c r="R566" s="5"/>
    </row>
    <row r="567" ht="15.75" customHeight="1">
      <c r="A567" s="5"/>
      <c r="B567" s="5"/>
      <c r="C567" s="5"/>
      <c r="D567" s="5"/>
      <c r="E567" s="5"/>
      <c r="F567" s="5"/>
      <c r="G567" s="5"/>
      <c r="H567" s="5"/>
      <c r="I567" s="5"/>
      <c r="J567" s="5"/>
      <c r="K567" s="5"/>
      <c r="L567" s="5"/>
      <c r="M567" s="5"/>
      <c r="N567" s="5"/>
      <c r="O567" s="5"/>
      <c r="P567" s="5"/>
      <c r="Q567" s="5"/>
      <c r="R567" s="5"/>
    </row>
    <row r="568" ht="15.75" customHeight="1">
      <c r="A568" s="5"/>
      <c r="B568" s="5"/>
      <c r="C568" s="5"/>
      <c r="D568" s="5"/>
      <c r="E568" s="5"/>
      <c r="F568" s="5"/>
      <c r="G568" s="5"/>
      <c r="H568" s="5"/>
      <c r="I568" s="5"/>
      <c r="J568" s="5"/>
      <c r="K568" s="5"/>
      <c r="L568" s="5"/>
      <c r="M568" s="5"/>
      <c r="N568" s="5"/>
      <c r="O568" s="5"/>
      <c r="P568" s="5"/>
      <c r="Q568" s="5"/>
      <c r="R568" s="5"/>
    </row>
    <row r="569" ht="15.75" customHeight="1">
      <c r="A569" s="5"/>
      <c r="B569" s="5"/>
      <c r="C569" s="5"/>
      <c r="D569" s="5"/>
      <c r="E569" s="5"/>
      <c r="F569" s="5"/>
      <c r="G569" s="5"/>
      <c r="H569" s="5"/>
      <c r="I569" s="5"/>
      <c r="J569" s="5"/>
      <c r="K569" s="5"/>
      <c r="L569" s="5"/>
      <c r="M569" s="5"/>
      <c r="N569" s="5"/>
      <c r="O569" s="5"/>
      <c r="P569" s="5"/>
      <c r="Q569" s="5"/>
      <c r="R569" s="5"/>
    </row>
    <row r="570" ht="15.75" customHeight="1">
      <c r="A570" s="5"/>
      <c r="B570" s="5"/>
      <c r="C570" s="5"/>
      <c r="D570" s="5"/>
      <c r="E570" s="5"/>
      <c r="F570" s="5"/>
      <c r="G570" s="5"/>
      <c r="H570" s="5"/>
      <c r="I570" s="5"/>
      <c r="J570" s="5"/>
      <c r="K570" s="5"/>
      <c r="L570" s="5"/>
      <c r="M570" s="5"/>
      <c r="N570" s="5"/>
      <c r="O570" s="5"/>
      <c r="P570" s="5"/>
      <c r="Q570" s="5"/>
      <c r="R570" s="5"/>
    </row>
    <row r="571" ht="15.75" customHeight="1">
      <c r="A571" s="5"/>
      <c r="B571" s="5"/>
      <c r="C571" s="5"/>
      <c r="D571" s="5"/>
      <c r="E571" s="5"/>
      <c r="F571" s="5"/>
      <c r="G571" s="5"/>
      <c r="H571" s="5"/>
      <c r="I571" s="5"/>
      <c r="J571" s="5"/>
      <c r="K571" s="5"/>
      <c r="L571" s="5"/>
      <c r="M571" s="5"/>
      <c r="N571" s="5"/>
      <c r="O571" s="5"/>
      <c r="P571" s="5"/>
      <c r="Q571" s="5"/>
      <c r="R571" s="5"/>
    </row>
    <row r="572" ht="15.75" customHeight="1">
      <c r="A572" s="5"/>
      <c r="B572" s="5"/>
      <c r="C572" s="5"/>
      <c r="D572" s="5"/>
      <c r="E572" s="5"/>
      <c r="F572" s="5"/>
      <c r="G572" s="5"/>
      <c r="H572" s="5"/>
      <c r="I572" s="5"/>
      <c r="J572" s="5"/>
      <c r="K572" s="5"/>
      <c r="L572" s="5"/>
      <c r="M572" s="5"/>
      <c r="N572" s="5"/>
      <c r="O572" s="5"/>
      <c r="P572" s="5"/>
      <c r="Q572" s="5"/>
      <c r="R572" s="5"/>
    </row>
    <row r="573" ht="15.75" customHeight="1">
      <c r="A573" s="5"/>
      <c r="B573" s="5"/>
      <c r="C573" s="5"/>
      <c r="D573" s="5"/>
      <c r="E573" s="5"/>
      <c r="F573" s="5"/>
      <c r="G573" s="5"/>
      <c r="H573" s="5"/>
      <c r="I573" s="5"/>
      <c r="J573" s="5"/>
      <c r="K573" s="5"/>
      <c r="L573" s="5"/>
      <c r="M573" s="5"/>
      <c r="N573" s="5"/>
      <c r="O573" s="5"/>
      <c r="P573" s="5"/>
      <c r="Q573" s="5"/>
      <c r="R573" s="5"/>
    </row>
    <row r="574" ht="15.75" customHeight="1">
      <c r="A574" s="5"/>
      <c r="B574" s="5"/>
      <c r="C574" s="5"/>
      <c r="D574" s="5"/>
      <c r="E574" s="5"/>
      <c r="F574" s="5"/>
      <c r="G574" s="5"/>
      <c r="H574" s="5"/>
      <c r="I574" s="5"/>
      <c r="J574" s="5"/>
      <c r="K574" s="5"/>
      <c r="L574" s="5"/>
      <c r="M574" s="5"/>
      <c r="N574" s="5"/>
      <c r="O574" s="5"/>
      <c r="P574" s="5"/>
      <c r="Q574" s="5"/>
      <c r="R574" s="5"/>
    </row>
    <row r="575" ht="15.75" customHeight="1">
      <c r="A575" s="5"/>
      <c r="B575" s="5"/>
      <c r="C575" s="5"/>
      <c r="D575" s="5"/>
      <c r="E575" s="5"/>
      <c r="F575" s="5"/>
      <c r="G575" s="5"/>
      <c r="H575" s="5"/>
      <c r="I575" s="5"/>
      <c r="J575" s="5"/>
      <c r="K575" s="5"/>
      <c r="L575" s="5"/>
      <c r="M575" s="5"/>
      <c r="N575" s="5"/>
      <c r="O575" s="5"/>
      <c r="P575" s="5"/>
      <c r="Q575" s="5"/>
      <c r="R575" s="5"/>
    </row>
    <row r="576" ht="15.75" customHeight="1">
      <c r="A576" s="5"/>
      <c r="B576" s="5"/>
      <c r="C576" s="5"/>
      <c r="D576" s="5"/>
      <c r="E576" s="5"/>
      <c r="F576" s="5"/>
      <c r="G576" s="5"/>
      <c r="H576" s="5"/>
      <c r="I576" s="5"/>
      <c r="J576" s="5"/>
      <c r="K576" s="5"/>
      <c r="L576" s="5"/>
      <c r="M576" s="5"/>
      <c r="N576" s="5"/>
      <c r="O576" s="5"/>
      <c r="P576" s="5"/>
      <c r="Q576" s="5"/>
      <c r="R576" s="5"/>
    </row>
    <row r="577" ht="15.75" customHeight="1">
      <c r="A577" s="5"/>
      <c r="B577" s="5"/>
      <c r="C577" s="5"/>
      <c r="D577" s="5"/>
      <c r="E577" s="5"/>
      <c r="F577" s="5"/>
      <c r="G577" s="5"/>
      <c r="H577" s="5"/>
      <c r="I577" s="5"/>
      <c r="J577" s="5"/>
      <c r="K577" s="5"/>
      <c r="L577" s="5"/>
      <c r="M577" s="5"/>
      <c r="N577" s="5"/>
      <c r="O577" s="5"/>
      <c r="P577" s="5"/>
      <c r="Q577" s="5"/>
      <c r="R577" s="5"/>
    </row>
    <row r="578" ht="15.75" customHeight="1">
      <c r="A578" s="5"/>
      <c r="B578" s="5"/>
      <c r="C578" s="5"/>
      <c r="D578" s="5"/>
      <c r="E578" s="5"/>
      <c r="F578" s="5"/>
      <c r="G578" s="5"/>
      <c r="H578" s="5"/>
      <c r="I578" s="5"/>
      <c r="J578" s="5"/>
      <c r="K578" s="5"/>
      <c r="L578" s="5"/>
      <c r="M578" s="5"/>
      <c r="N578" s="5"/>
      <c r="O578" s="5"/>
      <c r="P578" s="5"/>
      <c r="Q578" s="5"/>
      <c r="R578" s="5"/>
    </row>
    <row r="579" ht="15.75" customHeight="1">
      <c r="A579" s="5"/>
      <c r="B579" s="5"/>
      <c r="C579" s="5"/>
      <c r="D579" s="5"/>
      <c r="E579" s="5"/>
      <c r="F579" s="5"/>
      <c r="G579" s="5"/>
      <c r="H579" s="5"/>
      <c r="I579" s="5"/>
      <c r="J579" s="5"/>
      <c r="K579" s="5"/>
      <c r="L579" s="5"/>
      <c r="M579" s="5"/>
      <c r="N579" s="5"/>
      <c r="O579" s="5"/>
      <c r="P579" s="5"/>
      <c r="Q579" s="5"/>
      <c r="R579" s="5"/>
    </row>
    <row r="580" ht="15.75" customHeight="1">
      <c r="A580" s="5"/>
      <c r="B580" s="5"/>
      <c r="C580" s="5"/>
      <c r="D580" s="5"/>
      <c r="E580" s="5"/>
      <c r="F580" s="5"/>
      <c r="G580" s="5"/>
      <c r="H580" s="5"/>
      <c r="I580" s="5"/>
      <c r="J580" s="5"/>
      <c r="K580" s="5"/>
      <c r="L580" s="5"/>
      <c r="M580" s="5"/>
      <c r="N580" s="5"/>
      <c r="O580" s="5"/>
      <c r="P580" s="5"/>
      <c r="Q580" s="5"/>
      <c r="R580" s="5"/>
    </row>
    <row r="581" ht="15.75" customHeight="1">
      <c r="A581" s="5"/>
      <c r="B581" s="5"/>
      <c r="C581" s="5"/>
      <c r="D581" s="5"/>
      <c r="E581" s="5"/>
      <c r="F581" s="5"/>
      <c r="G581" s="5"/>
      <c r="H581" s="5"/>
      <c r="I581" s="5"/>
      <c r="J581" s="5"/>
      <c r="K581" s="5"/>
      <c r="L581" s="5"/>
      <c r="M581" s="5"/>
      <c r="N581" s="5"/>
      <c r="O581" s="5"/>
      <c r="P581" s="5"/>
      <c r="Q581" s="5"/>
      <c r="R581" s="5"/>
    </row>
    <row r="582" ht="15.75" customHeight="1">
      <c r="A582" s="5"/>
      <c r="B582" s="5"/>
      <c r="C582" s="5"/>
      <c r="D582" s="5"/>
      <c r="E582" s="5"/>
      <c r="F582" s="5"/>
      <c r="G582" s="5"/>
      <c r="H582" s="5"/>
      <c r="I582" s="5"/>
      <c r="J582" s="5"/>
      <c r="K582" s="5"/>
      <c r="L582" s="5"/>
      <c r="M582" s="5"/>
      <c r="N582" s="5"/>
      <c r="O582" s="5"/>
      <c r="P582" s="5"/>
      <c r="Q582" s="5"/>
      <c r="R582" s="5"/>
    </row>
    <row r="583" ht="15.75" customHeight="1">
      <c r="A583" s="5"/>
      <c r="B583" s="5"/>
      <c r="C583" s="5"/>
      <c r="D583" s="5"/>
      <c r="E583" s="5"/>
      <c r="F583" s="5"/>
      <c r="G583" s="5"/>
      <c r="H583" s="5"/>
      <c r="I583" s="5"/>
      <c r="J583" s="5"/>
      <c r="K583" s="5"/>
      <c r="L583" s="5"/>
      <c r="M583" s="5"/>
      <c r="N583" s="5"/>
      <c r="O583" s="5"/>
      <c r="P583" s="5"/>
      <c r="Q583" s="5"/>
      <c r="R583" s="5"/>
    </row>
    <row r="584" ht="15.75" customHeight="1">
      <c r="A584" s="5"/>
      <c r="B584" s="5"/>
      <c r="C584" s="5"/>
      <c r="D584" s="5"/>
      <c r="E584" s="5"/>
      <c r="F584" s="5"/>
      <c r="G584" s="5"/>
      <c r="H584" s="5"/>
      <c r="I584" s="5"/>
      <c r="J584" s="5"/>
      <c r="K584" s="5"/>
      <c r="L584" s="5"/>
      <c r="M584" s="5"/>
      <c r="N584" s="5"/>
      <c r="O584" s="5"/>
      <c r="P584" s="5"/>
      <c r="Q584" s="5"/>
      <c r="R584" s="5"/>
    </row>
    <row r="585" ht="15.75" customHeight="1">
      <c r="A585" s="5"/>
      <c r="B585" s="5"/>
      <c r="C585" s="5"/>
      <c r="D585" s="5"/>
      <c r="E585" s="5"/>
      <c r="F585" s="5"/>
      <c r="G585" s="5"/>
      <c r="H585" s="5"/>
      <c r="I585" s="5"/>
      <c r="J585" s="5"/>
      <c r="K585" s="5"/>
      <c r="L585" s="5"/>
      <c r="M585" s="5"/>
      <c r="N585" s="5"/>
      <c r="O585" s="5"/>
      <c r="P585" s="5"/>
      <c r="Q585" s="5"/>
      <c r="R585" s="5"/>
    </row>
    <row r="586" ht="15.75" customHeight="1">
      <c r="A586" s="5"/>
      <c r="B586" s="5"/>
      <c r="C586" s="5"/>
      <c r="D586" s="5"/>
      <c r="E586" s="5"/>
      <c r="F586" s="5"/>
      <c r="G586" s="5"/>
      <c r="H586" s="5"/>
      <c r="I586" s="5"/>
      <c r="J586" s="5"/>
      <c r="K586" s="5"/>
      <c r="L586" s="5"/>
      <c r="M586" s="5"/>
      <c r="N586" s="5"/>
      <c r="O586" s="5"/>
      <c r="P586" s="5"/>
      <c r="Q586" s="5"/>
      <c r="R586" s="5"/>
    </row>
    <row r="587" ht="15.75" customHeight="1">
      <c r="A587" s="5"/>
      <c r="B587" s="5"/>
      <c r="C587" s="5"/>
      <c r="D587" s="5"/>
      <c r="E587" s="5"/>
      <c r="F587" s="5"/>
      <c r="G587" s="5"/>
      <c r="H587" s="5"/>
      <c r="I587" s="5"/>
      <c r="J587" s="5"/>
      <c r="K587" s="5"/>
      <c r="L587" s="5"/>
      <c r="M587" s="5"/>
      <c r="N587" s="5"/>
      <c r="O587" s="5"/>
      <c r="P587" s="5"/>
      <c r="Q587" s="5"/>
      <c r="R587" s="5"/>
    </row>
    <row r="588" ht="15.75" customHeight="1">
      <c r="A588" s="5"/>
      <c r="B588" s="5"/>
      <c r="C588" s="5"/>
      <c r="D588" s="5"/>
      <c r="E588" s="5"/>
      <c r="F588" s="5"/>
      <c r="G588" s="5"/>
      <c r="H588" s="5"/>
      <c r="I588" s="5"/>
      <c r="J588" s="5"/>
      <c r="K588" s="5"/>
      <c r="L588" s="5"/>
      <c r="M588" s="5"/>
      <c r="N588" s="5"/>
      <c r="O588" s="5"/>
      <c r="P588" s="5"/>
      <c r="Q588" s="5"/>
      <c r="R588" s="5"/>
    </row>
    <row r="589" ht="15.75" customHeight="1">
      <c r="A589" s="5"/>
      <c r="B589" s="5"/>
      <c r="C589" s="5"/>
      <c r="D589" s="5"/>
      <c r="E589" s="5"/>
      <c r="F589" s="5"/>
      <c r="G589" s="5"/>
      <c r="H589" s="5"/>
      <c r="I589" s="5"/>
      <c r="J589" s="5"/>
      <c r="K589" s="5"/>
      <c r="L589" s="5"/>
      <c r="M589" s="5"/>
      <c r="N589" s="5"/>
      <c r="O589" s="5"/>
      <c r="P589" s="5"/>
      <c r="Q589" s="5"/>
      <c r="R589" s="5"/>
    </row>
    <row r="590" ht="15.75" customHeight="1">
      <c r="A590" s="5"/>
      <c r="B590" s="5"/>
      <c r="C590" s="5"/>
      <c r="D590" s="5"/>
      <c r="E590" s="5"/>
      <c r="F590" s="5"/>
      <c r="G590" s="5"/>
      <c r="H590" s="5"/>
      <c r="I590" s="5"/>
      <c r="J590" s="5"/>
      <c r="K590" s="5"/>
      <c r="L590" s="5"/>
      <c r="M590" s="5"/>
      <c r="N590" s="5"/>
      <c r="O590" s="5"/>
      <c r="P590" s="5"/>
      <c r="Q590" s="5"/>
      <c r="R590" s="5"/>
    </row>
    <row r="591" ht="15.75" customHeight="1">
      <c r="A591" s="5"/>
      <c r="B591" s="5"/>
      <c r="C591" s="5"/>
      <c r="D591" s="5"/>
      <c r="E591" s="5"/>
      <c r="F591" s="5"/>
      <c r="G591" s="5"/>
      <c r="H591" s="5"/>
      <c r="I591" s="5"/>
      <c r="J591" s="5"/>
      <c r="K591" s="5"/>
      <c r="L591" s="5"/>
      <c r="M591" s="5"/>
      <c r="N591" s="5"/>
      <c r="O591" s="5"/>
      <c r="P591" s="5"/>
      <c r="Q591" s="5"/>
      <c r="R591" s="5"/>
    </row>
    <row r="592" ht="15.75" customHeight="1">
      <c r="A592" s="5"/>
      <c r="B592" s="5"/>
      <c r="C592" s="5"/>
      <c r="D592" s="5"/>
      <c r="E592" s="5"/>
      <c r="F592" s="5"/>
      <c r="G592" s="5"/>
      <c r="H592" s="5"/>
      <c r="I592" s="5"/>
      <c r="J592" s="5"/>
      <c r="K592" s="5"/>
      <c r="L592" s="5"/>
      <c r="M592" s="5"/>
      <c r="N592" s="5"/>
      <c r="O592" s="5"/>
      <c r="P592" s="5"/>
      <c r="Q592" s="5"/>
      <c r="R592" s="5"/>
    </row>
    <row r="593" ht="15.75" customHeight="1">
      <c r="A593" s="5"/>
      <c r="B593" s="5"/>
      <c r="C593" s="5"/>
      <c r="D593" s="5"/>
      <c r="E593" s="5"/>
      <c r="F593" s="5"/>
      <c r="G593" s="5"/>
      <c r="H593" s="5"/>
      <c r="I593" s="5"/>
      <c r="J593" s="5"/>
      <c r="K593" s="5"/>
      <c r="L593" s="5"/>
      <c r="M593" s="5"/>
      <c r="N593" s="5"/>
      <c r="O593" s="5"/>
      <c r="P593" s="5"/>
      <c r="Q593" s="5"/>
      <c r="R593" s="5"/>
    </row>
    <row r="594" ht="15.75" customHeight="1">
      <c r="A594" s="5"/>
      <c r="B594" s="5"/>
      <c r="C594" s="5"/>
      <c r="D594" s="5"/>
      <c r="E594" s="5"/>
      <c r="F594" s="5"/>
      <c r="G594" s="5"/>
      <c r="H594" s="5"/>
      <c r="I594" s="5"/>
      <c r="J594" s="5"/>
      <c r="K594" s="5"/>
      <c r="L594" s="5"/>
      <c r="M594" s="5"/>
      <c r="N594" s="5"/>
      <c r="O594" s="5"/>
      <c r="P594" s="5"/>
      <c r="Q594" s="5"/>
      <c r="R594" s="5"/>
    </row>
    <row r="595" ht="15.75" customHeight="1">
      <c r="A595" s="5"/>
      <c r="B595" s="5"/>
      <c r="C595" s="5"/>
      <c r="D595" s="5"/>
      <c r="E595" s="5"/>
      <c r="F595" s="5"/>
      <c r="G595" s="5"/>
      <c r="H595" s="5"/>
      <c r="I595" s="5"/>
      <c r="J595" s="5"/>
      <c r="K595" s="5"/>
      <c r="L595" s="5"/>
      <c r="M595" s="5"/>
      <c r="N595" s="5"/>
      <c r="O595" s="5"/>
      <c r="P595" s="5"/>
      <c r="Q595" s="5"/>
      <c r="R595" s="5"/>
    </row>
    <row r="596" ht="15.75" customHeight="1">
      <c r="A596" s="5"/>
      <c r="B596" s="5"/>
      <c r="C596" s="5"/>
      <c r="D596" s="5"/>
      <c r="E596" s="5"/>
      <c r="F596" s="5"/>
      <c r="G596" s="5"/>
      <c r="H596" s="5"/>
      <c r="I596" s="5"/>
      <c r="J596" s="5"/>
      <c r="K596" s="5"/>
      <c r="L596" s="5"/>
      <c r="M596" s="5"/>
      <c r="N596" s="5"/>
      <c r="O596" s="5"/>
      <c r="P596" s="5"/>
      <c r="Q596" s="5"/>
      <c r="R596" s="5"/>
    </row>
    <row r="597" ht="15.75" customHeight="1">
      <c r="A597" s="5"/>
      <c r="B597" s="5"/>
      <c r="C597" s="5"/>
      <c r="D597" s="5"/>
      <c r="E597" s="5"/>
      <c r="F597" s="5"/>
      <c r="G597" s="5"/>
      <c r="H597" s="5"/>
      <c r="I597" s="5"/>
      <c r="J597" s="5"/>
      <c r="K597" s="5"/>
      <c r="L597" s="5"/>
      <c r="M597" s="5"/>
      <c r="N597" s="5"/>
      <c r="O597" s="5"/>
      <c r="P597" s="5"/>
      <c r="Q597" s="5"/>
      <c r="R597" s="5"/>
    </row>
    <row r="598" ht="15.75" customHeight="1">
      <c r="A598" s="5"/>
      <c r="B598" s="5"/>
      <c r="C598" s="5"/>
      <c r="D598" s="5"/>
      <c r="E598" s="5"/>
      <c r="F598" s="5"/>
      <c r="G598" s="5"/>
      <c r="H598" s="5"/>
      <c r="I598" s="5"/>
      <c r="J598" s="5"/>
      <c r="K598" s="5"/>
      <c r="L598" s="5"/>
      <c r="M598" s="5"/>
      <c r="N598" s="5"/>
      <c r="O598" s="5"/>
      <c r="P598" s="5"/>
      <c r="Q598" s="5"/>
      <c r="R598" s="5"/>
    </row>
    <row r="599" ht="15.75" customHeight="1">
      <c r="A599" s="5"/>
      <c r="B599" s="5"/>
      <c r="C599" s="5"/>
      <c r="D599" s="5"/>
      <c r="E599" s="5"/>
      <c r="F599" s="5"/>
      <c r="G599" s="5"/>
      <c r="H599" s="5"/>
      <c r="I599" s="5"/>
      <c r="J599" s="5"/>
      <c r="K599" s="5"/>
      <c r="L599" s="5"/>
      <c r="M599" s="5"/>
      <c r="N599" s="5"/>
      <c r="O599" s="5"/>
      <c r="P599" s="5"/>
      <c r="Q599" s="5"/>
      <c r="R599" s="5"/>
    </row>
    <row r="600" ht="15.75" customHeight="1">
      <c r="A600" s="5"/>
      <c r="B600" s="5"/>
      <c r="C600" s="5"/>
      <c r="D600" s="5"/>
      <c r="E600" s="5"/>
      <c r="F600" s="5"/>
      <c r="G600" s="5"/>
      <c r="H600" s="5"/>
      <c r="I600" s="5"/>
      <c r="J600" s="5"/>
      <c r="K600" s="5"/>
      <c r="L600" s="5"/>
      <c r="M600" s="5"/>
      <c r="N600" s="5"/>
      <c r="O600" s="5"/>
      <c r="P600" s="5"/>
      <c r="Q600" s="5"/>
      <c r="R600" s="5"/>
    </row>
    <row r="601" ht="15.75" customHeight="1">
      <c r="A601" s="5"/>
      <c r="B601" s="5"/>
      <c r="C601" s="5"/>
      <c r="D601" s="5"/>
      <c r="E601" s="5"/>
      <c r="F601" s="5"/>
      <c r="G601" s="5"/>
      <c r="H601" s="5"/>
      <c r="I601" s="5"/>
      <c r="J601" s="5"/>
      <c r="K601" s="5"/>
      <c r="L601" s="5"/>
      <c r="M601" s="5"/>
      <c r="N601" s="5"/>
      <c r="O601" s="5"/>
      <c r="P601" s="5"/>
      <c r="Q601" s="5"/>
      <c r="R601" s="5"/>
    </row>
    <row r="602" ht="15.75" customHeight="1">
      <c r="A602" s="5"/>
      <c r="B602" s="5"/>
      <c r="C602" s="5"/>
      <c r="D602" s="5"/>
      <c r="E602" s="5"/>
      <c r="F602" s="5"/>
      <c r="G602" s="5"/>
      <c r="H602" s="5"/>
      <c r="I602" s="5"/>
      <c r="J602" s="5"/>
      <c r="K602" s="5"/>
      <c r="L602" s="5"/>
      <c r="M602" s="5"/>
      <c r="N602" s="5"/>
      <c r="O602" s="5"/>
      <c r="P602" s="5"/>
      <c r="Q602" s="5"/>
      <c r="R602" s="5"/>
    </row>
    <row r="603" ht="15.75" customHeight="1">
      <c r="A603" s="5"/>
      <c r="B603" s="5"/>
      <c r="C603" s="5"/>
      <c r="D603" s="5"/>
      <c r="E603" s="5"/>
      <c r="F603" s="5"/>
      <c r="G603" s="5"/>
      <c r="H603" s="5"/>
      <c r="I603" s="5"/>
      <c r="J603" s="5"/>
      <c r="K603" s="5"/>
      <c r="L603" s="5"/>
      <c r="M603" s="5"/>
      <c r="N603" s="5"/>
      <c r="O603" s="5"/>
      <c r="P603" s="5"/>
      <c r="Q603" s="5"/>
      <c r="R603" s="5"/>
    </row>
    <row r="604" ht="15.75" customHeight="1">
      <c r="A604" s="5"/>
      <c r="B604" s="5"/>
      <c r="C604" s="5"/>
      <c r="D604" s="5"/>
      <c r="E604" s="5"/>
      <c r="F604" s="5"/>
      <c r="G604" s="5"/>
      <c r="H604" s="5"/>
      <c r="I604" s="5"/>
      <c r="J604" s="5"/>
      <c r="K604" s="5"/>
      <c r="L604" s="5"/>
      <c r="M604" s="5"/>
      <c r="N604" s="5"/>
      <c r="O604" s="5"/>
      <c r="P604" s="5"/>
      <c r="Q604" s="5"/>
      <c r="R604" s="5"/>
    </row>
    <row r="605" ht="15.75" customHeight="1">
      <c r="A605" s="5"/>
      <c r="B605" s="5"/>
      <c r="C605" s="5"/>
      <c r="D605" s="5"/>
      <c r="E605" s="5"/>
      <c r="F605" s="5"/>
      <c r="G605" s="5"/>
      <c r="H605" s="5"/>
      <c r="I605" s="5"/>
      <c r="J605" s="5"/>
      <c r="K605" s="5"/>
      <c r="L605" s="5"/>
      <c r="M605" s="5"/>
      <c r="N605" s="5"/>
      <c r="O605" s="5"/>
      <c r="P605" s="5"/>
      <c r="Q605" s="5"/>
      <c r="R605" s="5"/>
    </row>
    <row r="606" ht="15.75" customHeight="1">
      <c r="A606" s="5"/>
      <c r="B606" s="5"/>
      <c r="C606" s="5"/>
      <c r="D606" s="5"/>
      <c r="E606" s="5"/>
      <c r="F606" s="5"/>
      <c r="G606" s="5"/>
      <c r="H606" s="5"/>
      <c r="I606" s="5"/>
      <c r="J606" s="5"/>
      <c r="K606" s="5"/>
      <c r="L606" s="5"/>
      <c r="M606" s="5"/>
      <c r="N606" s="5"/>
      <c r="O606" s="5"/>
      <c r="P606" s="5"/>
      <c r="Q606" s="5"/>
      <c r="R606" s="5"/>
    </row>
    <row r="607" ht="15.75" customHeight="1">
      <c r="A607" s="5"/>
      <c r="B607" s="5"/>
      <c r="C607" s="5"/>
      <c r="D607" s="5"/>
      <c r="E607" s="5"/>
      <c r="F607" s="5"/>
      <c r="G607" s="5"/>
      <c r="H607" s="5"/>
      <c r="I607" s="5"/>
      <c r="J607" s="5"/>
      <c r="K607" s="5"/>
      <c r="L607" s="5"/>
      <c r="M607" s="5"/>
      <c r="N607" s="5"/>
      <c r="O607" s="5"/>
      <c r="P607" s="5"/>
      <c r="Q607" s="5"/>
      <c r="R607" s="5"/>
    </row>
    <row r="608" ht="15.75" customHeight="1">
      <c r="A608" s="5"/>
      <c r="B608" s="5"/>
      <c r="C608" s="5"/>
      <c r="D608" s="5"/>
      <c r="E608" s="5"/>
      <c r="F608" s="5"/>
      <c r="G608" s="5"/>
      <c r="H608" s="5"/>
      <c r="I608" s="5"/>
      <c r="J608" s="5"/>
      <c r="K608" s="5"/>
      <c r="L608" s="5"/>
      <c r="M608" s="5"/>
      <c r="N608" s="5"/>
      <c r="O608" s="5"/>
      <c r="P608" s="5"/>
      <c r="Q608" s="5"/>
      <c r="R608" s="5"/>
    </row>
    <row r="609" ht="15.75" customHeight="1">
      <c r="A609" s="5"/>
      <c r="B609" s="5"/>
      <c r="C609" s="5"/>
      <c r="D609" s="5"/>
      <c r="E609" s="5"/>
      <c r="F609" s="5"/>
      <c r="G609" s="5"/>
      <c r="H609" s="5"/>
      <c r="I609" s="5"/>
      <c r="J609" s="5"/>
      <c r="K609" s="5"/>
      <c r="L609" s="5"/>
      <c r="M609" s="5"/>
      <c r="N609" s="5"/>
      <c r="O609" s="5"/>
      <c r="P609" s="5"/>
      <c r="Q609" s="5"/>
      <c r="R609" s="5"/>
    </row>
    <row r="610" ht="15.75" customHeight="1">
      <c r="A610" s="5"/>
      <c r="B610" s="5"/>
      <c r="C610" s="5"/>
      <c r="D610" s="5"/>
      <c r="E610" s="5"/>
      <c r="F610" s="5"/>
      <c r="G610" s="5"/>
      <c r="H610" s="5"/>
      <c r="I610" s="5"/>
      <c r="J610" s="5"/>
      <c r="K610" s="5"/>
      <c r="L610" s="5"/>
      <c r="M610" s="5"/>
      <c r="N610" s="5"/>
      <c r="O610" s="5"/>
      <c r="P610" s="5"/>
      <c r="Q610" s="5"/>
      <c r="R610" s="5"/>
    </row>
    <row r="611" ht="15.75" customHeight="1">
      <c r="A611" s="5"/>
      <c r="B611" s="5"/>
      <c r="C611" s="5"/>
      <c r="D611" s="5"/>
      <c r="E611" s="5"/>
      <c r="F611" s="5"/>
      <c r="G611" s="5"/>
      <c r="H611" s="5"/>
      <c r="I611" s="5"/>
      <c r="J611" s="5"/>
      <c r="K611" s="5"/>
      <c r="L611" s="5"/>
      <c r="M611" s="5"/>
      <c r="N611" s="5"/>
      <c r="O611" s="5"/>
      <c r="P611" s="5"/>
      <c r="Q611" s="5"/>
      <c r="R611" s="5"/>
    </row>
    <row r="612" ht="15.75" customHeight="1">
      <c r="A612" s="5"/>
      <c r="B612" s="5"/>
      <c r="C612" s="5"/>
      <c r="D612" s="5"/>
      <c r="E612" s="5"/>
      <c r="F612" s="5"/>
      <c r="G612" s="5"/>
      <c r="H612" s="5"/>
      <c r="I612" s="5"/>
      <c r="J612" s="5"/>
      <c r="K612" s="5"/>
      <c r="L612" s="5"/>
      <c r="M612" s="5"/>
      <c r="N612" s="5"/>
      <c r="O612" s="5"/>
      <c r="P612" s="5"/>
      <c r="Q612" s="5"/>
      <c r="R612" s="5"/>
    </row>
    <row r="613" ht="15.75" customHeight="1">
      <c r="A613" s="5"/>
      <c r="B613" s="5"/>
      <c r="C613" s="5"/>
      <c r="D613" s="5"/>
      <c r="E613" s="5"/>
      <c r="F613" s="5"/>
      <c r="G613" s="5"/>
      <c r="H613" s="5"/>
      <c r="I613" s="5"/>
      <c r="J613" s="5"/>
      <c r="K613" s="5"/>
      <c r="L613" s="5"/>
      <c r="M613" s="5"/>
      <c r="N613" s="5"/>
      <c r="O613" s="5"/>
      <c r="P613" s="5"/>
      <c r="Q613" s="5"/>
      <c r="R613" s="5"/>
    </row>
    <row r="614" ht="15.75" customHeight="1">
      <c r="A614" s="5"/>
      <c r="B614" s="5"/>
      <c r="C614" s="5"/>
      <c r="D614" s="5"/>
      <c r="E614" s="5"/>
      <c r="F614" s="5"/>
      <c r="G614" s="5"/>
      <c r="H614" s="5"/>
      <c r="I614" s="5"/>
      <c r="J614" s="5"/>
      <c r="K614" s="5"/>
      <c r="L614" s="5"/>
      <c r="M614" s="5"/>
      <c r="N614" s="5"/>
      <c r="O614" s="5"/>
      <c r="P614" s="5"/>
      <c r="Q614" s="5"/>
      <c r="R614" s="5"/>
    </row>
    <row r="615" ht="15.75" customHeight="1">
      <c r="A615" s="5"/>
      <c r="B615" s="5"/>
      <c r="C615" s="5"/>
      <c r="D615" s="5"/>
      <c r="E615" s="5"/>
      <c r="F615" s="5"/>
      <c r="G615" s="5"/>
      <c r="H615" s="5"/>
      <c r="I615" s="5"/>
      <c r="J615" s="5"/>
      <c r="K615" s="5"/>
      <c r="L615" s="5"/>
      <c r="M615" s="5"/>
      <c r="N615" s="5"/>
      <c r="O615" s="5"/>
      <c r="P615" s="5"/>
      <c r="Q615" s="5"/>
      <c r="R615" s="5"/>
    </row>
    <row r="616" ht="15.75" customHeight="1">
      <c r="A616" s="5"/>
      <c r="B616" s="5"/>
      <c r="C616" s="5"/>
      <c r="D616" s="5"/>
      <c r="E616" s="5"/>
      <c r="F616" s="5"/>
      <c r="G616" s="5"/>
      <c r="H616" s="5"/>
      <c r="I616" s="5"/>
      <c r="J616" s="5"/>
      <c r="K616" s="5"/>
      <c r="L616" s="5"/>
      <c r="M616" s="5"/>
      <c r="N616" s="5"/>
      <c r="O616" s="5"/>
      <c r="P616" s="5"/>
      <c r="Q616" s="5"/>
      <c r="R616" s="5"/>
    </row>
    <row r="617" ht="15.75" customHeight="1">
      <c r="A617" s="5"/>
      <c r="B617" s="5"/>
      <c r="C617" s="5"/>
      <c r="D617" s="5"/>
      <c r="E617" s="5"/>
      <c r="F617" s="5"/>
      <c r="G617" s="5"/>
      <c r="H617" s="5"/>
      <c r="I617" s="5"/>
      <c r="J617" s="5"/>
      <c r="K617" s="5"/>
      <c r="L617" s="5"/>
      <c r="M617" s="5"/>
      <c r="N617" s="5"/>
      <c r="O617" s="5"/>
      <c r="P617" s="5"/>
      <c r="Q617" s="5"/>
      <c r="R617" s="5"/>
    </row>
    <row r="618" ht="15.75" customHeight="1">
      <c r="A618" s="5"/>
      <c r="B618" s="5"/>
      <c r="C618" s="5"/>
      <c r="D618" s="5"/>
      <c r="E618" s="5"/>
      <c r="F618" s="5"/>
      <c r="G618" s="5"/>
      <c r="H618" s="5"/>
      <c r="I618" s="5"/>
      <c r="J618" s="5"/>
      <c r="K618" s="5"/>
      <c r="L618" s="5"/>
      <c r="M618" s="5"/>
      <c r="N618" s="5"/>
      <c r="O618" s="5"/>
      <c r="P618" s="5"/>
      <c r="Q618" s="5"/>
      <c r="R618" s="5"/>
    </row>
    <row r="619" ht="15.75" customHeight="1">
      <c r="A619" s="5"/>
      <c r="B619" s="5"/>
      <c r="C619" s="5"/>
      <c r="D619" s="5"/>
      <c r="E619" s="5"/>
      <c r="F619" s="5"/>
      <c r="G619" s="5"/>
      <c r="H619" s="5"/>
      <c r="I619" s="5"/>
      <c r="J619" s="5"/>
      <c r="K619" s="5"/>
      <c r="L619" s="5"/>
      <c r="M619" s="5"/>
      <c r="N619" s="5"/>
      <c r="O619" s="5"/>
      <c r="P619" s="5"/>
      <c r="Q619" s="5"/>
      <c r="R619" s="5"/>
    </row>
    <row r="620" ht="15.75" customHeight="1">
      <c r="A620" s="5"/>
      <c r="B620" s="5"/>
      <c r="C620" s="5"/>
      <c r="D620" s="5"/>
      <c r="E620" s="5"/>
      <c r="F620" s="5"/>
      <c r="G620" s="5"/>
      <c r="H620" s="5"/>
      <c r="I620" s="5"/>
      <c r="J620" s="5"/>
      <c r="K620" s="5"/>
      <c r="L620" s="5"/>
      <c r="M620" s="5"/>
      <c r="N620" s="5"/>
      <c r="O620" s="5"/>
      <c r="P620" s="5"/>
      <c r="Q620" s="5"/>
      <c r="R620" s="5"/>
    </row>
    <row r="621" ht="15.75" customHeight="1">
      <c r="A621" s="5"/>
      <c r="B621" s="5"/>
      <c r="C621" s="5"/>
      <c r="D621" s="5"/>
      <c r="E621" s="5"/>
      <c r="F621" s="5"/>
      <c r="G621" s="5"/>
      <c r="H621" s="5"/>
      <c r="I621" s="5"/>
      <c r="J621" s="5"/>
      <c r="K621" s="5"/>
      <c r="L621" s="5"/>
      <c r="M621" s="5"/>
      <c r="N621" s="5"/>
      <c r="O621" s="5"/>
      <c r="P621" s="5"/>
      <c r="Q621" s="5"/>
      <c r="R621" s="5"/>
    </row>
    <row r="622" ht="15.75" customHeight="1">
      <c r="A622" s="5"/>
      <c r="B622" s="5"/>
      <c r="C622" s="5"/>
      <c r="D622" s="5"/>
      <c r="E622" s="5"/>
      <c r="F622" s="5"/>
      <c r="G622" s="5"/>
      <c r="H622" s="5"/>
      <c r="I622" s="5"/>
      <c r="J622" s="5"/>
      <c r="K622" s="5"/>
      <c r="L622" s="5"/>
      <c r="M622" s="5"/>
      <c r="N622" s="5"/>
      <c r="O622" s="5"/>
      <c r="P622" s="5"/>
      <c r="Q622" s="5"/>
      <c r="R622" s="5"/>
    </row>
    <row r="623" ht="15.75" customHeight="1">
      <c r="A623" s="5"/>
      <c r="B623" s="5"/>
      <c r="C623" s="5"/>
      <c r="D623" s="5"/>
      <c r="E623" s="5"/>
      <c r="F623" s="5"/>
      <c r="G623" s="5"/>
      <c r="H623" s="5"/>
      <c r="I623" s="5"/>
      <c r="J623" s="5"/>
      <c r="K623" s="5"/>
      <c r="L623" s="5"/>
      <c r="M623" s="5"/>
      <c r="N623" s="5"/>
      <c r="O623" s="5"/>
      <c r="P623" s="5"/>
      <c r="Q623" s="5"/>
      <c r="R623" s="5"/>
    </row>
    <row r="624" ht="15.75" customHeight="1">
      <c r="A624" s="5"/>
      <c r="B624" s="5"/>
      <c r="C624" s="5"/>
      <c r="D624" s="5"/>
      <c r="E624" s="5"/>
      <c r="F624" s="5"/>
      <c r="G624" s="5"/>
      <c r="H624" s="5"/>
      <c r="I624" s="5"/>
      <c r="J624" s="5"/>
      <c r="K624" s="5"/>
      <c r="L624" s="5"/>
      <c r="M624" s="5"/>
      <c r="N624" s="5"/>
      <c r="O624" s="5"/>
      <c r="P624" s="5"/>
      <c r="Q624" s="5"/>
      <c r="R624" s="5"/>
    </row>
    <row r="625" ht="15.75" customHeight="1">
      <c r="A625" s="5"/>
      <c r="B625" s="5"/>
      <c r="C625" s="5"/>
      <c r="D625" s="5"/>
      <c r="E625" s="5"/>
      <c r="F625" s="5"/>
      <c r="G625" s="5"/>
      <c r="H625" s="5"/>
      <c r="I625" s="5"/>
      <c r="J625" s="5"/>
      <c r="K625" s="5"/>
      <c r="L625" s="5"/>
      <c r="M625" s="5"/>
      <c r="N625" s="5"/>
      <c r="O625" s="5"/>
      <c r="P625" s="5"/>
      <c r="Q625" s="5"/>
      <c r="R625" s="5"/>
    </row>
    <row r="626" ht="15.75" customHeight="1">
      <c r="A626" s="5"/>
      <c r="B626" s="5"/>
      <c r="C626" s="5"/>
      <c r="D626" s="5"/>
      <c r="E626" s="5"/>
      <c r="F626" s="5"/>
      <c r="G626" s="5"/>
      <c r="H626" s="5"/>
      <c r="I626" s="5"/>
      <c r="J626" s="5"/>
      <c r="K626" s="5"/>
      <c r="L626" s="5"/>
      <c r="M626" s="5"/>
      <c r="N626" s="5"/>
      <c r="O626" s="5"/>
      <c r="P626" s="5"/>
      <c r="Q626" s="5"/>
      <c r="R626" s="5"/>
    </row>
    <row r="627" ht="15.75" customHeight="1">
      <c r="A627" s="5"/>
      <c r="B627" s="5"/>
      <c r="C627" s="5"/>
      <c r="D627" s="5"/>
      <c r="E627" s="5"/>
      <c r="F627" s="5"/>
      <c r="G627" s="5"/>
      <c r="H627" s="5"/>
      <c r="I627" s="5"/>
      <c r="J627" s="5"/>
      <c r="K627" s="5"/>
      <c r="L627" s="5"/>
      <c r="M627" s="5"/>
      <c r="N627" s="5"/>
      <c r="O627" s="5"/>
      <c r="P627" s="5"/>
      <c r="Q627" s="5"/>
      <c r="R627" s="5"/>
    </row>
    <row r="628" ht="15.75" customHeight="1">
      <c r="A628" s="5"/>
      <c r="B628" s="5"/>
      <c r="C628" s="5"/>
      <c r="D628" s="5"/>
      <c r="E628" s="5"/>
      <c r="F628" s="5"/>
      <c r="G628" s="5"/>
      <c r="H628" s="5"/>
      <c r="I628" s="5"/>
      <c r="J628" s="5"/>
      <c r="K628" s="5"/>
      <c r="L628" s="5"/>
      <c r="M628" s="5"/>
      <c r="N628" s="5"/>
      <c r="O628" s="5"/>
      <c r="P628" s="5"/>
      <c r="Q628" s="5"/>
      <c r="R628" s="5"/>
    </row>
    <row r="629" ht="15.75" customHeight="1">
      <c r="A629" s="5"/>
      <c r="B629" s="5"/>
      <c r="C629" s="5"/>
      <c r="D629" s="5"/>
      <c r="E629" s="5"/>
      <c r="F629" s="5"/>
      <c r="G629" s="5"/>
      <c r="H629" s="5"/>
      <c r="I629" s="5"/>
      <c r="J629" s="5"/>
      <c r="K629" s="5"/>
      <c r="L629" s="5"/>
      <c r="M629" s="5"/>
      <c r="N629" s="5"/>
      <c r="O629" s="5"/>
      <c r="P629" s="5"/>
      <c r="Q629" s="5"/>
      <c r="R629" s="5"/>
    </row>
    <row r="630" ht="15.75" customHeight="1">
      <c r="A630" s="5"/>
      <c r="B630" s="5"/>
      <c r="C630" s="5"/>
      <c r="D630" s="5"/>
      <c r="E630" s="5"/>
      <c r="F630" s="5"/>
      <c r="G630" s="5"/>
      <c r="H630" s="5"/>
      <c r="I630" s="5"/>
      <c r="J630" s="5"/>
      <c r="K630" s="5"/>
      <c r="L630" s="5"/>
      <c r="M630" s="5"/>
      <c r="N630" s="5"/>
      <c r="O630" s="5"/>
      <c r="P630" s="5"/>
      <c r="Q630" s="5"/>
      <c r="R630" s="5"/>
    </row>
    <row r="631" ht="15.75" customHeight="1">
      <c r="A631" s="5"/>
      <c r="B631" s="5"/>
      <c r="C631" s="5"/>
      <c r="D631" s="5"/>
      <c r="E631" s="5"/>
      <c r="F631" s="5"/>
      <c r="G631" s="5"/>
      <c r="H631" s="5"/>
      <c r="I631" s="5"/>
      <c r="J631" s="5"/>
      <c r="K631" s="5"/>
      <c r="L631" s="5"/>
      <c r="M631" s="5"/>
      <c r="N631" s="5"/>
      <c r="O631" s="5"/>
      <c r="P631" s="5"/>
      <c r="Q631" s="5"/>
      <c r="R631" s="5"/>
    </row>
    <row r="632" ht="15.75" customHeight="1">
      <c r="A632" s="5"/>
      <c r="B632" s="5"/>
      <c r="C632" s="5"/>
      <c r="D632" s="5"/>
      <c r="E632" s="5"/>
      <c r="F632" s="5"/>
      <c r="G632" s="5"/>
      <c r="H632" s="5"/>
      <c r="I632" s="5"/>
      <c r="J632" s="5"/>
      <c r="K632" s="5"/>
      <c r="L632" s="5"/>
      <c r="M632" s="5"/>
      <c r="N632" s="5"/>
      <c r="O632" s="5"/>
      <c r="P632" s="5"/>
      <c r="Q632" s="5"/>
      <c r="R632" s="5"/>
    </row>
    <row r="633" ht="15.75" customHeight="1">
      <c r="A633" s="5"/>
      <c r="B633" s="5"/>
      <c r="C633" s="5"/>
      <c r="D633" s="5"/>
      <c r="E633" s="5"/>
      <c r="F633" s="5"/>
      <c r="G633" s="5"/>
      <c r="H633" s="5"/>
      <c r="I633" s="5"/>
      <c r="J633" s="5"/>
      <c r="K633" s="5"/>
      <c r="L633" s="5"/>
      <c r="M633" s="5"/>
      <c r="N633" s="5"/>
      <c r="O633" s="5"/>
      <c r="P633" s="5"/>
      <c r="Q633" s="5"/>
      <c r="R633" s="5"/>
    </row>
    <row r="634" ht="15.75" customHeight="1">
      <c r="A634" s="5"/>
      <c r="B634" s="5"/>
      <c r="C634" s="5"/>
      <c r="D634" s="5"/>
      <c r="E634" s="5"/>
      <c r="F634" s="5"/>
      <c r="G634" s="5"/>
      <c r="H634" s="5"/>
      <c r="I634" s="5"/>
      <c r="J634" s="5"/>
      <c r="K634" s="5"/>
      <c r="L634" s="5"/>
      <c r="M634" s="5"/>
      <c r="N634" s="5"/>
      <c r="O634" s="5"/>
      <c r="P634" s="5"/>
      <c r="Q634" s="5"/>
      <c r="R634" s="5"/>
    </row>
    <row r="635" ht="15.75" customHeight="1">
      <c r="A635" s="5"/>
      <c r="B635" s="5"/>
      <c r="C635" s="5"/>
      <c r="D635" s="5"/>
      <c r="E635" s="5"/>
      <c r="F635" s="5"/>
      <c r="G635" s="5"/>
      <c r="H635" s="5"/>
      <c r="I635" s="5"/>
      <c r="J635" s="5"/>
      <c r="K635" s="5"/>
      <c r="L635" s="5"/>
      <c r="M635" s="5"/>
      <c r="N635" s="5"/>
      <c r="O635" s="5"/>
      <c r="P635" s="5"/>
      <c r="Q635" s="5"/>
      <c r="R635" s="5"/>
    </row>
    <row r="636" ht="15.75" customHeight="1">
      <c r="A636" s="5"/>
      <c r="B636" s="5"/>
      <c r="C636" s="5"/>
      <c r="D636" s="5"/>
      <c r="E636" s="5"/>
      <c r="F636" s="5"/>
      <c r="G636" s="5"/>
      <c r="H636" s="5"/>
      <c r="I636" s="5"/>
      <c r="J636" s="5"/>
      <c r="K636" s="5"/>
      <c r="L636" s="5"/>
      <c r="M636" s="5"/>
      <c r="N636" s="5"/>
      <c r="O636" s="5"/>
      <c r="P636" s="5"/>
      <c r="Q636" s="5"/>
      <c r="R636" s="5"/>
    </row>
    <row r="637" ht="15.75" customHeight="1">
      <c r="A637" s="5"/>
      <c r="B637" s="5"/>
      <c r="C637" s="5"/>
      <c r="D637" s="5"/>
      <c r="E637" s="5"/>
      <c r="F637" s="5"/>
      <c r="G637" s="5"/>
      <c r="H637" s="5"/>
      <c r="I637" s="5"/>
      <c r="J637" s="5"/>
      <c r="K637" s="5"/>
      <c r="L637" s="5"/>
      <c r="M637" s="5"/>
      <c r="N637" s="5"/>
      <c r="O637" s="5"/>
      <c r="P637" s="5"/>
      <c r="Q637" s="5"/>
      <c r="R637" s="5"/>
    </row>
    <row r="638" ht="15.75" customHeight="1">
      <c r="A638" s="5"/>
      <c r="B638" s="5"/>
      <c r="C638" s="5"/>
      <c r="D638" s="5"/>
      <c r="E638" s="5"/>
      <c r="F638" s="5"/>
      <c r="G638" s="5"/>
      <c r="H638" s="5"/>
      <c r="I638" s="5"/>
      <c r="J638" s="5"/>
      <c r="K638" s="5"/>
      <c r="L638" s="5"/>
      <c r="M638" s="5"/>
      <c r="N638" s="5"/>
      <c r="O638" s="5"/>
      <c r="P638" s="5"/>
      <c r="Q638" s="5"/>
      <c r="R638" s="5"/>
    </row>
    <row r="639" ht="15.75" customHeight="1">
      <c r="A639" s="5"/>
      <c r="B639" s="5"/>
      <c r="C639" s="5"/>
      <c r="D639" s="5"/>
      <c r="E639" s="5"/>
      <c r="F639" s="5"/>
      <c r="G639" s="5"/>
      <c r="H639" s="5"/>
      <c r="I639" s="5"/>
      <c r="J639" s="5"/>
      <c r="K639" s="5"/>
      <c r="L639" s="5"/>
      <c r="M639" s="5"/>
      <c r="N639" s="5"/>
      <c r="O639" s="5"/>
      <c r="P639" s="5"/>
      <c r="Q639" s="5"/>
      <c r="R639" s="5"/>
    </row>
    <row r="640" ht="15.75" customHeight="1">
      <c r="A640" s="5"/>
      <c r="B640" s="5"/>
      <c r="C640" s="5"/>
      <c r="D640" s="5"/>
      <c r="E640" s="5"/>
      <c r="F640" s="5"/>
      <c r="G640" s="5"/>
      <c r="H640" s="5"/>
      <c r="I640" s="5"/>
      <c r="J640" s="5"/>
      <c r="K640" s="5"/>
      <c r="L640" s="5"/>
      <c r="M640" s="5"/>
      <c r="N640" s="5"/>
      <c r="O640" s="5"/>
      <c r="P640" s="5"/>
      <c r="Q640" s="5"/>
      <c r="R640" s="5"/>
    </row>
    <row r="641" ht="15.75" customHeight="1">
      <c r="A641" s="5"/>
      <c r="B641" s="5"/>
      <c r="C641" s="5"/>
      <c r="D641" s="5"/>
      <c r="E641" s="5"/>
      <c r="F641" s="5"/>
      <c r="G641" s="5"/>
      <c r="H641" s="5"/>
      <c r="I641" s="5"/>
      <c r="J641" s="5"/>
      <c r="K641" s="5"/>
      <c r="L641" s="5"/>
      <c r="M641" s="5"/>
      <c r="N641" s="5"/>
      <c r="O641" s="5"/>
      <c r="P641" s="5"/>
      <c r="Q641" s="5"/>
      <c r="R641" s="5"/>
    </row>
    <row r="642" ht="15.75" customHeight="1">
      <c r="A642" s="5"/>
      <c r="B642" s="5"/>
      <c r="C642" s="5"/>
      <c r="D642" s="5"/>
      <c r="E642" s="5"/>
      <c r="F642" s="5"/>
      <c r="G642" s="5"/>
      <c r="H642" s="5"/>
      <c r="I642" s="5"/>
      <c r="J642" s="5"/>
      <c r="K642" s="5"/>
      <c r="L642" s="5"/>
      <c r="M642" s="5"/>
      <c r="N642" s="5"/>
      <c r="O642" s="5"/>
      <c r="P642" s="5"/>
      <c r="Q642" s="5"/>
      <c r="R642" s="5"/>
    </row>
    <row r="643" ht="15.75" customHeight="1">
      <c r="A643" s="5"/>
      <c r="B643" s="5"/>
      <c r="C643" s="5"/>
      <c r="D643" s="5"/>
      <c r="E643" s="5"/>
      <c r="F643" s="5"/>
      <c r="G643" s="5"/>
      <c r="H643" s="5"/>
      <c r="I643" s="5"/>
      <c r="J643" s="5"/>
      <c r="K643" s="5"/>
      <c r="L643" s="5"/>
      <c r="M643" s="5"/>
      <c r="N643" s="5"/>
      <c r="O643" s="5"/>
      <c r="P643" s="5"/>
      <c r="Q643" s="5"/>
      <c r="R643" s="5"/>
    </row>
    <row r="644" ht="15.75" customHeight="1">
      <c r="A644" s="5"/>
      <c r="B644" s="5"/>
      <c r="C644" s="5"/>
      <c r="D644" s="5"/>
      <c r="E644" s="5"/>
      <c r="F644" s="5"/>
      <c r="G644" s="5"/>
      <c r="H644" s="5"/>
      <c r="I644" s="5"/>
      <c r="J644" s="5"/>
      <c r="K644" s="5"/>
      <c r="L644" s="5"/>
      <c r="M644" s="5"/>
      <c r="N644" s="5"/>
      <c r="O644" s="5"/>
      <c r="P644" s="5"/>
      <c r="Q644" s="5"/>
      <c r="R644" s="5"/>
    </row>
    <row r="645" ht="15.75" customHeight="1">
      <c r="A645" s="5"/>
      <c r="B645" s="5"/>
      <c r="C645" s="5"/>
      <c r="D645" s="5"/>
      <c r="E645" s="5"/>
      <c r="F645" s="5"/>
      <c r="G645" s="5"/>
      <c r="H645" s="5"/>
      <c r="I645" s="5"/>
      <c r="J645" s="5"/>
      <c r="K645" s="5"/>
      <c r="L645" s="5"/>
      <c r="M645" s="5"/>
      <c r="N645" s="5"/>
      <c r="O645" s="5"/>
      <c r="P645" s="5"/>
      <c r="Q645" s="5"/>
      <c r="R645" s="5"/>
    </row>
    <row r="646" ht="15.75" customHeight="1">
      <c r="A646" s="5"/>
      <c r="B646" s="5"/>
      <c r="C646" s="5"/>
      <c r="D646" s="5"/>
      <c r="E646" s="5"/>
      <c r="F646" s="5"/>
      <c r="G646" s="5"/>
      <c r="H646" s="5"/>
      <c r="I646" s="5"/>
      <c r="J646" s="5"/>
      <c r="K646" s="5"/>
      <c r="L646" s="5"/>
      <c r="M646" s="5"/>
      <c r="N646" s="5"/>
      <c r="O646" s="5"/>
      <c r="P646" s="5"/>
      <c r="Q646" s="5"/>
      <c r="R646" s="5"/>
    </row>
    <row r="647" ht="15.75" customHeight="1">
      <c r="A647" s="5"/>
      <c r="B647" s="5"/>
      <c r="C647" s="5"/>
      <c r="D647" s="5"/>
      <c r="E647" s="5"/>
      <c r="F647" s="5"/>
      <c r="G647" s="5"/>
      <c r="H647" s="5"/>
      <c r="I647" s="5"/>
      <c r="J647" s="5"/>
      <c r="K647" s="5"/>
      <c r="L647" s="5"/>
      <c r="M647" s="5"/>
      <c r="N647" s="5"/>
      <c r="O647" s="5"/>
      <c r="P647" s="5"/>
      <c r="Q647" s="5"/>
      <c r="R647" s="5"/>
    </row>
    <row r="648" ht="15.75" customHeight="1">
      <c r="A648" s="5"/>
      <c r="B648" s="5"/>
      <c r="C648" s="5"/>
      <c r="D648" s="5"/>
      <c r="E648" s="5"/>
      <c r="F648" s="5"/>
      <c r="G648" s="5"/>
      <c r="H648" s="5"/>
      <c r="I648" s="5"/>
      <c r="J648" s="5"/>
      <c r="K648" s="5"/>
      <c r="L648" s="5"/>
      <c r="M648" s="5"/>
      <c r="N648" s="5"/>
      <c r="O648" s="5"/>
      <c r="P648" s="5"/>
      <c r="Q648" s="5"/>
      <c r="R648" s="5"/>
    </row>
    <row r="649" ht="15.75" customHeight="1">
      <c r="A649" s="5"/>
      <c r="B649" s="5"/>
      <c r="C649" s="5"/>
      <c r="D649" s="5"/>
      <c r="E649" s="5"/>
      <c r="F649" s="5"/>
      <c r="G649" s="5"/>
      <c r="H649" s="5"/>
      <c r="I649" s="5"/>
      <c r="J649" s="5"/>
      <c r="K649" s="5"/>
      <c r="L649" s="5"/>
      <c r="M649" s="5"/>
      <c r="N649" s="5"/>
      <c r="O649" s="5"/>
      <c r="P649" s="5"/>
      <c r="Q649" s="5"/>
      <c r="R649" s="5"/>
    </row>
    <row r="650" ht="15.75" customHeight="1">
      <c r="A650" s="5"/>
      <c r="B650" s="5"/>
      <c r="C650" s="5"/>
      <c r="D650" s="5"/>
      <c r="E650" s="5"/>
      <c r="F650" s="5"/>
      <c r="G650" s="5"/>
      <c r="H650" s="5"/>
      <c r="I650" s="5"/>
      <c r="J650" s="5"/>
      <c r="K650" s="5"/>
      <c r="L650" s="5"/>
      <c r="M650" s="5"/>
      <c r="N650" s="5"/>
      <c r="O650" s="5"/>
      <c r="P650" s="5"/>
      <c r="Q650" s="5"/>
      <c r="R650" s="5"/>
    </row>
    <row r="651" ht="15.75" customHeight="1">
      <c r="A651" s="5"/>
      <c r="B651" s="5"/>
      <c r="C651" s="5"/>
      <c r="D651" s="5"/>
      <c r="E651" s="5"/>
      <c r="F651" s="5"/>
      <c r="G651" s="5"/>
      <c r="H651" s="5"/>
      <c r="I651" s="5"/>
      <c r="J651" s="5"/>
      <c r="K651" s="5"/>
      <c r="L651" s="5"/>
      <c r="M651" s="5"/>
      <c r="N651" s="5"/>
      <c r="O651" s="5"/>
      <c r="P651" s="5"/>
      <c r="Q651" s="5"/>
      <c r="R651" s="5"/>
    </row>
    <row r="652" ht="15.75" customHeight="1">
      <c r="A652" s="5"/>
      <c r="B652" s="5"/>
      <c r="C652" s="5"/>
      <c r="D652" s="5"/>
      <c r="E652" s="5"/>
      <c r="F652" s="5"/>
      <c r="G652" s="5"/>
      <c r="H652" s="5"/>
      <c r="I652" s="5"/>
      <c r="J652" s="5"/>
      <c r="K652" s="5"/>
      <c r="L652" s="5"/>
      <c r="M652" s="5"/>
      <c r="N652" s="5"/>
      <c r="O652" s="5"/>
      <c r="P652" s="5"/>
      <c r="Q652" s="5"/>
      <c r="R652" s="5"/>
    </row>
    <row r="653" ht="15.75" customHeight="1">
      <c r="A653" s="5"/>
      <c r="B653" s="5"/>
      <c r="C653" s="5"/>
      <c r="D653" s="5"/>
      <c r="E653" s="5"/>
      <c r="F653" s="5"/>
      <c r="G653" s="5"/>
      <c r="H653" s="5"/>
      <c r="I653" s="5"/>
      <c r="J653" s="5"/>
      <c r="K653" s="5"/>
      <c r="L653" s="5"/>
      <c r="M653" s="5"/>
      <c r="N653" s="5"/>
      <c r="O653" s="5"/>
      <c r="P653" s="5"/>
      <c r="Q653" s="5"/>
      <c r="R653" s="5"/>
    </row>
    <row r="654" ht="15.75" customHeight="1">
      <c r="A654" s="5"/>
      <c r="B654" s="5"/>
      <c r="C654" s="5"/>
      <c r="D654" s="5"/>
      <c r="E654" s="5"/>
      <c r="F654" s="5"/>
      <c r="G654" s="5"/>
      <c r="H654" s="5"/>
      <c r="I654" s="5"/>
      <c r="J654" s="5"/>
      <c r="K654" s="5"/>
      <c r="L654" s="5"/>
      <c r="M654" s="5"/>
      <c r="N654" s="5"/>
      <c r="O654" s="5"/>
      <c r="P654" s="5"/>
      <c r="Q654" s="5"/>
      <c r="R654" s="5"/>
    </row>
    <row r="655" ht="15.75" customHeight="1">
      <c r="A655" s="5"/>
      <c r="B655" s="5"/>
      <c r="C655" s="5"/>
      <c r="D655" s="5"/>
      <c r="E655" s="5"/>
      <c r="F655" s="5"/>
      <c r="G655" s="5"/>
      <c r="H655" s="5"/>
      <c r="I655" s="5"/>
      <c r="J655" s="5"/>
      <c r="K655" s="5"/>
      <c r="L655" s="5"/>
      <c r="M655" s="5"/>
      <c r="N655" s="5"/>
      <c r="O655" s="5"/>
      <c r="P655" s="5"/>
      <c r="Q655" s="5"/>
      <c r="R655" s="5"/>
    </row>
    <row r="656" ht="15.75" customHeight="1">
      <c r="A656" s="5"/>
      <c r="B656" s="5"/>
      <c r="C656" s="5"/>
      <c r="D656" s="5"/>
      <c r="E656" s="5"/>
      <c r="F656" s="5"/>
      <c r="G656" s="5"/>
      <c r="H656" s="5"/>
      <c r="I656" s="5"/>
      <c r="J656" s="5"/>
      <c r="K656" s="5"/>
      <c r="L656" s="5"/>
      <c r="M656" s="5"/>
      <c r="N656" s="5"/>
      <c r="O656" s="5"/>
      <c r="P656" s="5"/>
      <c r="Q656" s="5"/>
      <c r="R656" s="5"/>
    </row>
    <row r="657" ht="15.75" customHeight="1">
      <c r="A657" s="5"/>
      <c r="B657" s="5"/>
      <c r="C657" s="5"/>
      <c r="D657" s="5"/>
      <c r="E657" s="5"/>
      <c r="F657" s="5"/>
      <c r="G657" s="5"/>
      <c r="H657" s="5"/>
      <c r="I657" s="5"/>
      <c r="J657" s="5"/>
      <c r="K657" s="5"/>
      <c r="L657" s="5"/>
      <c r="M657" s="5"/>
      <c r="N657" s="5"/>
      <c r="O657" s="5"/>
      <c r="P657" s="5"/>
      <c r="Q657" s="5"/>
      <c r="R657" s="5"/>
    </row>
    <row r="658" ht="15.75" customHeight="1">
      <c r="A658" s="5"/>
      <c r="B658" s="5"/>
      <c r="C658" s="5"/>
      <c r="D658" s="5"/>
      <c r="E658" s="5"/>
      <c r="F658" s="5"/>
      <c r="G658" s="5"/>
      <c r="H658" s="5"/>
      <c r="I658" s="5"/>
      <c r="J658" s="5"/>
      <c r="K658" s="5"/>
      <c r="L658" s="5"/>
      <c r="M658" s="5"/>
      <c r="N658" s="5"/>
      <c r="O658" s="5"/>
      <c r="P658" s="5"/>
      <c r="Q658" s="5"/>
      <c r="R658" s="5"/>
    </row>
    <row r="659" ht="15.75" customHeight="1">
      <c r="A659" s="5"/>
      <c r="B659" s="5"/>
      <c r="C659" s="5"/>
      <c r="D659" s="5"/>
      <c r="E659" s="5"/>
      <c r="F659" s="5"/>
      <c r="G659" s="5"/>
      <c r="H659" s="5"/>
      <c r="I659" s="5"/>
      <c r="J659" s="5"/>
      <c r="K659" s="5"/>
      <c r="L659" s="5"/>
      <c r="M659" s="5"/>
      <c r="N659" s="5"/>
      <c r="O659" s="5"/>
      <c r="P659" s="5"/>
      <c r="Q659" s="5"/>
      <c r="R659" s="5"/>
    </row>
    <row r="660" ht="15.75" customHeight="1">
      <c r="A660" s="5"/>
      <c r="B660" s="5"/>
      <c r="C660" s="5"/>
      <c r="D660" s="5"/>
      <c r="E660" s="5"/>
      <c r="F660" s="5"/>
      <c r="G660" s="5"/>
      <c r="H660" s="5"/>
      <c r="I660" s="5"/>
      <c r="J660" s="5"/>
      <c r="K660" s="5"/>
      <c r="L660" s="5"/>
      <c r="M660" s="5"/>
      <c r="N660" s="5"/>
      <c r="O660" s="5"/>
      <c r="P660" s="5"/>
      <c r="Q660" s="5"/>
      <c r="R660" s="5"/>
    </row>
    <row r="661" ht="15.75" customHeight="1">
      <c r="A661" s="5"/>
      <c r="B661" s="5"/>
      <c r="C661" s="5"/>
      <c r="D661" s="5"/>
      <c r="E661" s="5"/>
      <c r="F661" s="5"/>
      <c r="G661" s="5"/>
      <c r="H661" s="5"/>
      <c r="I661" s="5"/>
      <c r="J661" s="5"/>
      <c r="K661" s="5"/>
      <c r="L661" s="5"/>
      <c r="M661" s="5"/>
      <c r="N661" s="5"/>
      <c r="O661" s="5"/>
      <c r="P661" s="5"/>
      <c r="Q661" s="5"/>
      <c r="R661" s="5"/>
    </row>
    <row r="662" ht="15.75" customHeight="1">
      <c r="A662" s="5"/>
      <c r="B662" s="5"/>
      <c r="C662" s="5"/>
      <c r="D662" s="5"/>
      <c r="E662" s="5"/>
      <c r="F662" s="5"/>
      <c r="G662" s="5"/>
      <c r="H662" s="5"/>
      <c r="I662" s="5"/>
      <c r="J662" s="5"/>
      <c r="K662" s="5"/>
      <c r="L662" s="5"/>
      <c r="M662" s="5"/>
      <c r="N662" s="5"/>
      <c r="O662" s="5"/>
      <c r="P662" s="5"/>
      <c r="Q662" s="5"/>
      <c r="R662" s="5"/>
    </row>
    <row r="663" ht="15.75" customHeight="1">
      <c r="A663" s="5"/>
      <c r="B663" s="5"/>
      <c r="C663" s="5"/>
      <c r="D663" s="5"/>
      <c r="E663" s="5"/>
      <c r="F663" s="5"/>
      <c r="G663" s="5"/>
      <c r="H663" s="5"/>
      <c r="I663" s="5"/>
      <c r="J663" s="5"/>
      <c r="K663" s="5"/>
      <c r="L663" s="5"/>
      <c r="M663" s="5"/>
      <c r="N663" s="5"/>
      <c r="O663" s="5"/>
      <c r="P663" s="5"/>
      <c r="Q663" s="5"/>
      <c r="R663" s="5"/>
    </row>
    <row r="664" ht="15.75" customHeight="1">
      <c r="A664" s="5"/>
      <c r="B664" s="5"/>
      <c r="C664" s="5"/>
      <c r="D664" s="5"/>
      <c r="E664" s="5"/>
      <c r="F664" s="5"/>
      <c r="G664" s="5"/>
      <c r="H664" s="5"/>
      <c r="I664" s="5"/>
      <c r="J664" s="5"/>
      <c r="K664" s="5"/>
      <c r="L664" s="5"/>
      <c r="M664" s="5"/>
      <c r="N664" s="5"/>
      <c r="O664" s="5"/>
      <c r="P664" s="5"/>
      <c r="Q664" s="5"/>
      <c r="R664" s="5"/>
    </row>
    <row r="665" ht="15.75" customHeight="1">
      <c r="A665" s="5"/>
      <c r="B665" s="5"/>
      <c r="C665" s="5"/>
      <c r="D665" s="5"/>
      <c r="E665" s="5"/>
      <c r="F665" s="5"/>
      <c r="G665" s="5"/>
      <c r="H665" s="5"/>
      <c r="I665" s="5"/>
      <c r="J665" s="5"/>
      <c r="K665" s="5"/>
      <c r="L665" s="5"/>
      <c r="M665" s="5"/>
      <c r="N665" s="5"/>
      <c r="O665" s="5"/>
      <c r="P665" s="5"/>
      <c r="Q665" s="5"/>
      <c r="R665" s="5"/>
    </row>
    <row r="666" ht="15.75" customHeight="1">
      <c r="A666" s="5"/>
      <c r="B666" s="5"/>
      <c r="C666" s="5"/>
      <c r="D666" s="5"/>
      <c r="E666" s="5"/>
      <c r="F666" s="5"/>
      <c r="G666" s="5"/>
      <c r="H666" s="5"/>
      <c r="I666" s="5"/>
      <c r="J666" s="5"/>
      <c r="K666" s="5"/>
      <c r="L666" s="5"/>
      <c r="M666" s="5"/>
      <c r="N666" s="5"/>
      <c r="O666" s="5"/>
      <c r="P666" s="5"/>
      <c r="Q666" s="5"/>
      <c r="R666" s="5"/>
    </row>
    <row r="667" ht="15.75" customHeight="1">
      <c r="A667" s="5"/>
      <c r="B667" s="5"/>
      <c r="C667" s="5"/>
      <c r="D667" s="5"/>
      <c r="E667" s="5"/>
      <c r="F667" s="5"/>
      <c r="G667" s="5"/>
      <c r="H667" s="5"/>
      <c r="I667" s="5"/>
      <c r="J667" s="5"/>
      <c r="K667" s="5"/>
      <c r="L667" s="5"/>
      <c r="M667" s="5"/>
      <c r="N667" s="5"/>
      <c r="O667" s="5"/>
      <c r="P667" s="5"/>
      <c r="Q667" s="5"/>
      <c r="R667" s="5"/>
    </row>
    <row r="668" ht="15.75" customHeight="1">
      <c r="A668" s="5"/>
      <c r="B668" s="5"/>
      <c r="C668" s="5"/>
      <c r="D668" s="5"/>
      <c r="E668" s="5"/>
      <c r="F668" s="5"/>
      <c r="G668" s="5"/>
      <c r="H668" s="5"/>
      <c r="I668" s="5"/>
      <c r="J668" s="5"/>
      <c r="K668" s="5"/>
      <c r="L668" s="5"/>
      <c r="M668" s="5"/>
      <c r="N668" s="5"/>
      <c r="O668" s="5"/>
      <c r="P668" s="5"/>
      <c r="Q668" s="5"/>
      <c r="R668" s="5"/>
    </row>
    <row r="669" ht="15.75" customHeight="1">
      <c r="A669" s="5"/>
      <c r="B669" s="5"/>
      <c r="C669" s="5"/>
      <c r="D669" s="5"/>
      <c r="E669" s="5"/>
      <c r="F669" s="5"/>
      <c r="G669" s="5"/>
      <c r="H669" s="5"/>
      <c r="I669" s="5"/>
      <c r="J669" s="5"/>
      <c r="K669" s="5"/>
      <c r="L669" s="5"/>
      <c r="M669" s="5"/>
      <c r="N669" s="5"/>
      <c r="O669" s="5"/>
      <c r="P669" s="5"/>
      <c r="Q669" s="5"/>
      <c r="R669" s="5"/>
    </row>
    <row r="670" ht="15.75" customHeight="1">
      <c r="A670" s="5"/>
      <c r="B670" s="5"/>
      <c r="C670" s="5"/>
      <c r="D670" s="5"/>
      <c r="E670" s="5"/>
      <c r="F670" s="5"/>
      <c r="G670" s="5"/>
      <c r="H670" s="5"/>
      <c r="I670" s="5"/>
      <c r="J670" s="5"/>
      <c r="K670" s="5"/>
      <c r="L670" s="5"/>
      <c r="M670" s="5"/>
      <c r="N670" s="5"/>
      <c r="O670" s="5"/>
      <c r="P670" s="5"/>
      <c r="Q670" s="5"/>
      <c r="R670" s="5"/>
    </row>
    <row r="671" ht="15.75" customHeight="1">
      <c r="A671" s="5"/>
      <c r="B671" s="5"/>
      <c r="C671" s="5"/>
      <c r="D671" s="5"/>
      <c r="E671" s="5"/>
      <c r="F671" s="5"/>
      <c r="G671" s="5"/>
      <c r="H671" s="5"/>
      <c r="I671" s="5"/>
      <c r="J671" s="5"/>
      <c r="K671" s="5"/>
      <c r="L671" s="5"/>
      <c r="M671" s="5"/>
      <c r="N671" s="5"/>
      <c r="O671" s="5"/>
      <c r="P671" s="5"/>
      <c r="Q671" s="5"/>
      <c r="R671" s="5"/>
    </row>
    <row r="672" ht="15.75" customHeight="1">
      <c r="A672" s="5"/>
      <c r="B672" s="5"/>
      <c r="C672" s="5"/>
      <c r="D672" s="5"/>
      <c r="E672" s="5"/>
      <c r="F672" s="5"/>
      <c r="G672" s="5"/>
      <c r="H672" s="5"/>
      <c r="I672" s="5"/>
      <c r="J672" s="5"/>
      <c r="K672" s="5"/>
      <c r="L672" s="5"/>
      <c r="M672" s="5"/>
      <c r="N672" s="5"/>
      <c r="O672" s="5"/>
      <c r="P672" s="5"/>
      <c r="Q672" s="5"/>
      <c r="R672" s="5"/>
    </row>
    <row r="673" ht="15.75" customHeight="1">
      <c r="A673" s="5"/>
      <c r="B673" s="5"/>
      <c r="C673" s="5"/>
      <c r="D673" s="5"/>
      <c r="E673" s="5"/>
      <c r="F673" s="5"/>
      <c r="G673" s="5"/>
      <c r="H673" s="5"/>
      <c r="I673" s="5"/>
      <c r="J673" s="5"/>
      <c r="K673" s="5"/>
      <c r="L673" s="5"/>
      <c r="M673" s="5"/>
      <c r="N673" s="5"/>
      <c r="O673" s="5"/>
      <c r="P673" s="5"/>
      <c r="Q673" s="5"/>
      <c r="R673" s="5"/>
    </row>
    <row r="674" ht="15.75" customHeight="1">
      <c r="A674" s="5"/>
      <c r="B674" s="5"/>
      <c r="C674" s="5"/>
      <c r="D674" s="5"/>
      <c r="E674" s="5"/>
      <c r="F674" s="5"/>
      <c r="G674" s="5"/>
      <c r="H674" s="5"/>
      <c r="I674" s="5"/>
      <c r="J674" s="5"/>
      <c r="K674" s="5"/>
      <c r="L674" s="5"/>
      <c r="M674" s="5"/>
      <c r="N674" s="5"/>
      <c r="O674" s="5"/>
      <c r="P674" s="5"/>
      <c r="Q674" s="5"/>
      <c r="R674" s="5"/>
    </row>
    <row r="675" ht="15.75" customHeight="1">
      <c r="A675" s="5"/>
      <c r="B675" s="5"/>
      <c r="C675" s="5"/>
      <c r="D675" s="5"/>
      <c r="E675" s="5"/>
      <c r="F675" s="5"/>
      <c r="G675" s="5"/>
      <c r="H675" s="5"/>
      <c r="I675" s="5"/>
      <c r="J675" s="5"/>
      <c r="K675" s="5"/>
      <c r="L675" s="5"/>
      <c r="M675" s="5"/>
      <c r="N675" s="5"/>
      <c r="O675" s="5"/>
      <c r="P675" s="5"/>
      <c r="Q675" s="5"/>
      <c r="R675" s="5"/>
    </row>
    <row r="676" ht="15.75" customHeight="1">
      <c r="A676" s="5"/>
      <c r="B676" s="5"/>
      <c r="C676" s="5"/>
      <c r="D676" s="5"/>
      <c r="E676" s="5"/>
      <c r="F676" s="5"/>
      <c r="G676" s="5"/>
      <c r="H676" s="5"/>
      <c r="I676" s="5"/>
      <c r="J676" s="5"/>
      <c r="K676" s="5"/>
      <c r="L676" s="5"/>
      <c r="M676" s="5"/>
      <c r="N676" s="5"/>
      <c r="O676" s="5"/>
      <c r="P676" s="5"/>
      <c r="Q676" s="5"/>
      <c r="R676" s="5"/>
    </row>
    <row r="677" ht="15.75" customHeight="1">
      <c r="A677" s="5"/>
      <c r="B677" s="5"/>
      <c r="C677" s="5"/>
      <c r="D677" s="5"/>
      <c r="E677" s="5"/>
      <c r="F677" s="5"/>
      <c r="G677" s="5"/>
      <c r="H677" s="5"/>
      <c r="I677" s="5"/>
      <c r="J677" s="5"/>
      <c r="K677" s="5"/>
      <c r="L677" s="5"/>
      <c r="M677" s="5"/>
      <c r="N677" s="5"/>
      <c r="O677" s="5"/>
      <c r="P677" s="5"/>
      <c r="Q677" s="5"/>
      <c r="R677" s="5"/>
    </row>
    <row r="678" ht="15.75" customHeight="1">
      <c r="A678" s="5"/>
      <c r="B678" s="5"/>
      <c r="C678" s="5"/>
      <c r="D678" s="5"/>
      <c r="E678" s="5"/>
      <c r="F678" s="5"/>
      <c r="G678" s="5"/>
      <c r="H678" s="5"/>
      <c r="I678" s="5"/>
      <c r="J678" s="5"/>
      <c r="K678" s="5"/>
      <c r="L678" s="5"/>
      <c r="M678" s="5"/>
      <c r="N678" s="5"/>
      <c r="O678" s="5"/>
      <c r="P678" s="5"/>
      <c r="Q678" s="5"/>
      <c r="R678" s="5"/>
    </row>
    <row r="679" ht="15.75" customHeight="1">
      <c r="A679" s="5"/>
      <c r="B679" s="5"/>
      <c r="C679" s="5"/>
      <c r="D679" s="5"/>
      <c r="E679" s="5"/>
      <c r="F679" s="5"/>
      <c r="G679" s="5"/>
      <c r="H679" s="5"/>
      <c r="I679" s="5"/>
      <c r="J679" s="5"/>
      <c r="K679" s="5"/>
      <c r="L679" s="5"/>
      <c r="M679" s="5"/>
      <c r="N679" s="5"/>
      <c r="O679" s="5"/>
      <c r="P679" s="5"/>
      <c r="Q679" s="5"/>
      <c r="R679" s="5"/>
    </row>
    <row r="680" ht="15.75" customHeight="1">
      <c r="A680" s="5"/>
      <c r="B680" s="5"/>
      <c r="C680" s="5"/>
      <c r="D680" s="5"/>
      <c r="E680" s="5"/>
      <c r="F680" s="5"/>
      <c r="G680" s="5"/>
      <c r="H680" s="5"/>
      <c r="I680" s="5"/>
      <c r="J680" s="5"/>
      <c r="K680" s="5"/>
      <c r="L680" s="5"/>
      <c r="M680" s="5"/>
      <c r="N680" s="5"/>
      <c r="O680" s="5"/>
      <c r="P680" s="5"/>
      <c r="Q680" s="5"/>
      <c r="R680" s="5"/>
    </row>
    <row r="681" ht="15.75" customHeight="1">
      <c r="A681" s="5"/>
      <c r="B681" s="5"/>
      <c r="C681" s="5"/>
      <c r="D681" s="5"/>
      <c r="E681" s="5"/>
      <c r="F681" s="5"/>
      <c r="G681" s="5"/>
      <c r="H681" s="5"/>
      <c r="I681" s="5"/>
      <c r="J681" s="5"/>
      <c r="K681" s="5"/>
      <c r="L681" s="5"/>
      <c r="M681" s="5"/>
      <c r="N681" s="5"/>
      <c r="O681" s="5"/>
      <c r="P681" s="5"/>
      <c r="Q681" s="5"/>
      <c r="R681" s="5"/>
    </row>
    <row r="682" ht="15.75" customHeight="1">
      <c r="A682" s="5"/>
      <c r="B682" s="5"/>
      <c r="C682" s="5"/>
      <c r="D682" s="5"/>
      <c r="E682" s="5"/>
      <c r="F682" s="5"/>
      <c r="G682" s="5"/>
      <c r="H682" s="5"/>
      <c r="I682" s="5"/>
      <c r="J682" s="5"/>
      <c r="K682" s="5"/>
      <c r="L682" s="5"/>
      <c r="M682" s="5"/>
      <c r="N682" s="5"/>
      <c r="O682" s="5"/>
      <c r="P682" s="5"/>
      <c r="Q682" s="5"/>
      <c r="R682" s="5"/>
    </row>
    <row r="683" ht="15.75" customHeight="1">
      <c r="A683" s="5"/>
      <c r="B683" s="5"/>
      <c r="C683" s="5"/>
      <c r="D683" s="5"/>
      <c r="E683" s="5"/>
      <c r="F683" s="5"/>
      <c r="G683" s="5"/>
      <c r="H683" s="5"/>
      <c r="I683" s="5"/>
      <c r="J683" s="5"/>
      <c r="K683" s="5"/>
      <c r="L683" s="5"/>
      <c r="M683" s="5"/>
      <c r="N683" s="5"/>
      <c r="O683" s="5"/>
      <c r="P683" s="5"/>
      <c r="Q683" s="5"/>
      <c r="R683" s="5"/>
    </row>
    <row r="684" ht="15.75" customHeight="1">
      <c r="A684" s="5"/>
      <c r="B684" s="5"/>
      <c r="C684" s="5"/>
      <c r="D684" s="5"/>
      <c r="E684" s="5"/>
      <c r="F684" s="5"/>
      <c r="G684" s="5"/>
      <c r="H684" s="5"/>
      <c r="I684" s="5"/>
      <c r="J684" s="5"/>
      <c r="K684" s="5"/>
      <c r="L684" s="5"/>
      <c r="M684" s="5"/>
      <c r="N684" s="5"/>
      <c r="O684" s="5"/>
      <c r="P684" s="5"/>
      <c r="Q684" s="5"/>
      <c r="R684" s="5"/>
    </row>
    <row r="685" ht="15.75" customHeight="1">
      <c r="A685" s="5"/>
      <c r="B685" s="5"/>
      <c r="C685" s="5"/>
      <c r="D685" s="5"/>
      <c r="E685" s="5"/>
      <c r="F685" s="5"/>
      <c r="G685" s="5"/>
      <c r="H685" s="5"/>
      <c r="I685" s="5"/>
      <c r="J685" s="5"/>
      <c r="K685" s="5"/>
      <c r="L685" s="5"/>
      <c r="M685" s="5"/>
      <c r="N685" s="5"/>
      <c r="O685" s="5"/>
      <c r="P685" s="5"/>
      <c r="Q685" s="5"/>
      <c r="R685" s="5"/>
    </row>
    <row r="686" ht="15.75" customHeight="1">
      <c r="A686" s="5"/>
      <c r="B686" s="5"/>
      <c r="C686" s="5"/>
      <c r="D686" s="5"/>
      <c r="E686" s="5"/>
      <c r="F686" s="5"/>
      <c r="G686" s="5"/>
      <c r="H686" s="5"/>
      <c r="I686" s="5"/>
      <c r="J686" s="5"/>
      <c r="K686" s="5"/>
      <c r="L686" s="5"/>
      <c r="M686" s="5"/>
      <c r="N686" s="5"/>
      <c r="O686" s="5"/>
      <c r="P686" s="5"/>
      <c r="Q686" s="5"/>
      <c r="R686" s="5"/>
    </row>
    <row r="687" ht="15.75" customHeight="1">
      <c r="A687" s="5"/>
      <c r="B687" s="5"/>
      <c r="C687" s="5"/>
      <c r="D687" s="5"/>
      <c r="E687" s="5"/>
      <c r="F687" s="5"/>
      <c r="G687" s="5"/>
      <c r="H687" s="5"/>
      <c r="I687" s="5"/>
      <c r="J687" s="5"/>
      <c r="K687" s="5"/>
      <c r="L687" s="5"/>
      <c r="M687" s="5"/>
      <c r="N687" s="5"/>
      <c r="O687" s="5"/>
      <c r="P687" s="5"/>
      <c r="Q687" s="5"/>
      <c r="R687" s="5"/>
    </row>
    <row r="688" ht="15.75" customHeight="1">
      <c r="A688" s="5"/>
      <c r="B688" s="5"/>
      <c r="C688" s="5"/>
      <c r="D688" s="5"/>
      <c r="E688" s="5"/>
      <c r="F688" s="5"/>
      <c r="G688" s="5"/>
      <c r="H688" s="5"/>
      <c r="I688" s="5"/>
      <c r="J688" s="5"/>
      <c r="K688" s="5"/>
      <c r="L688" s="5"/>
      <c r="M688" s="5"/>
      <c r="N688" s="5"/>
      <c r="O688" s="5"/>
      <c r="P688" s="5"/>
      <c r="Q688" s="5"/>
      <c r="R688" s="5"/>
    </row>
    <row r="689" ht="15.75" customHeight="1">
      <c r="A689" s="5"/>
      <c r="B689" s="5"/>
      <c r="C689" s="5"/>
      <c r="D689" s="5"/>
      <c r="E689" s="5"/>
      <c r="F689" s="5"/>
      <c r="G689" s="5"/>
      <c r="H689" s="5"/>
      <c r="I689" s="5"/>
      <c r="J689" s="5"/>
      <c r="K689" s="5"/>
      <c r="L689" s="5"/>
      <c r="M689" s="5"/>
      <c r="N689" s="5"/>
      <c r="O689" s="5"/>
      <c r="P689" s="5"/>
      <c r="Q689" s="5"/>
      <c r="R689" s="5"/>
    </row>
    <row r="690" ht="15.75" customHeight="1">
      <c r="A690" s="5"/>
      <c r="B690" s="5"/>
      <c r="C690" s="5"/>
      <c r="D690" s="5"/>
      <c r="E690" s="5"/>
      <c r="F690" s="5"/>
      <c r="G690" s="5"/>
      <c r="H690" s="5"/>
      <c r="I690" s="5"/>
      <c r="J690" s="5"/>
      <c r="K690" s="5"/>
      <c r="L690" s="5"/>
      <c r="M690" s="5"/>
      <c r="N690" s="5"/>
      <c r="O690" s="5"/>
      <c r="P690" s="5"/>
      <c r="Q690" s="5"/>
      <c r="R690" s="5"/>
    </row>
    <row r="691" ht="15.75" customHeight="1">
      <c r="A691" s="5"/>
      <c r="B691" s="5"/>
      <c r="C691" s="5"/>
      <c r="D691" s="5"/>
      <c r="E691" s="5"/>
      <c r="F691" s="5"/>
      <c r="G691" s="5"/>
      <c r="H691" s="5"/>
      <c r="I691" s="5"/>
      <c r="J691" s="5"/>
      <c r="K691" s="5"/>
      <c r="L691" s="5"/>
      <c r="M691" s="5"/>
      <c r="N691" s="5"/>
      <c r="O691" s="5"/>
      <c r="P691" s="5"/>
      <c r="Q691" s="5"/>
      <c r="R691" s="5"/>
    </row>
    <row r="692" ht="15.75" customHeight="1">
      <c r="A692" s="5"/>
      <c r="B692" s="5"/>
      <c r="C692" s="5"/>
      <c r="D692" s="5"/>
      <c r="E692" s="5"/>
      <c r="F692" s="5"/>
      <c r="G692" s="5"/>
      <c r="H692" s="5"/>
      <c r="I692" s="5"/>
      <c r="J692" s="5"/>
      <c r="K692" s="5"/>
      <c r="L692" s="5"/>
      <c r="M692" s="5"/>
      <c r="N692" s="5"/>
      <c r="O692" s="5"/>
      <c r="P692" s="5"/>
      <c r="Q692" s="5"/>
      <c r="R692" s="5"/>
    </row>
    <row r="693" ht="15.75" customHeight="1">
      <c r="A693" s="5"/>
      <c r="B693" s="5"/>
      <c r="C693" s="5"/>
      <c r="D693" s="5"/>
      <c r="E693" s="5"/>
      <c r="F693" s="5"/>
      <c r="G693" s="5"/>
      <c r="H693" s="5"/>
      <c r="I693" s="5"/>
      <c r="J693" s="5"/>
      <c r="K693" s="5"/>
      <c r="L693" s="5"/>
      <c r="M693" s="5"/>
      <c r="N693" s="5"/>
      <c r="O693" s="5"/>
      <c r="P693" s="5"/>
      <c r="Q693" s="5"/>
      <c r="R693" s="5"/>
    </row>
    <row r="694" ht="15.75" customHeight="1">
      <c r="A694" s="5"/>
      <c r="B694" s="5"/>
      <c r="C694" s="5"/>
      <c r="D694" s="5"/>
      <c r="E694" s="5"/>
      <c r="F694" s="5"/>
      <c r="G694" s="5"/>
      <c r="H694" s="5"/>
      <c r="I694" s="5"/>
      <c r="J694" s="5"/>
      <c r="K694" s="5"/>
      <c r="L694" s="5"/>
      <c r="M694" s="5"/>
      <c r="N694" s="5"/>
      <c r="O694" s="5"/>
      <c r="P694" s="5"/>
      <c r="Q694" s="5"/>
      <c r="R694" s="5"/>
    </row>
    <row r="695" ht="15.75" customHeight="1">
      <c r="A695" s="5"/>
      <c r="B695" s="5"/>
      <c r="C695" s="5"/>
      <c r="D695" s="5"/>
      <c r="E695" s="5"/>
      <c r="F695" s="5"/>
      <c r="G695" s="5"/>
      <c r="H695" s="5"/>
      <c r="I695" s="5"/>
      <c r="J695" s="5"/>
      <c r="K695" s="5"/>
      <c r="L695" s="5"/>
      <c r="M695" s="5"/>
      <c r="N695" s="5"/>
      <c r="O695" s="5"/>
      <c r="P695" s="5"/>
      <c r="Q695" s="5"/>
      <c r="R695" s="5"/>
    </row>
    <row r="696" ht="15.75" customHeight="1">
      <c r="A696" s="5"/>
      <c r="B696" s="5"/>
      <c r="C696" s="5"/>
      <c r="D696" s="5"/>
      <c r="E696" s="5"/>
      <c r="F696" s="5"/>
      <c r="G696" s="5"/>
      <c r="H696" s="5"/>
      <c r="I696" s="5"/>
      <c r="J696" s="5"/>
      <c r="K696" s="5"/>
      <c r="L696" s="5"/>
      <c r="M696" s="5"/>
      <c r="N696" s="5"/>
      <c r="O696" s="5"/>
      <c r="P696" s="5"/>
      <c r="Q696" s="5"/>
      <c r="R696" s="5"/>
    </row>
    <row r="697" ht="15.75" customHeight="1">
      <c r="A697" s="5"/>
      <c r="B697" s="5"/>
      <c r="C697" s="5"/>
      <c r="D697" s="5"/>
      <c r="E697" s="5"/>
      <c r="F697" s="5"/>
      <c r="G697" s="5"/>
      <c r="H697" s="5"/>
      <c r="I697" s="5"/>
      <c r="J697" s="5"/>
      <c r="K697" s="5"/>
      <c r="L697" s="5"/>
      <c r="M697" s="5"/>
      <c r="N697" s="5"/>
      <c r="O697" s="5"/>
      <c r="P697" s="5"/>
      <c r="Q697" s="5"/>
      <c r="R697" s="5"/>
    </row>
    <row r="698" ht="15.75" customHeight="1">
      <c r="A698" s="5"/>
      <c r="B698" s="5"/>
      <c r="C698" s="5"/>
      <c r="D698" s="5"/>
      <c r="E698" s="5"/>
      <c r="F698" s="5"/>
      <c r="G698" s="5"/>
      <c r="H698" s="5"/>
      <c r="I698" s="5"/>
      <c r="J698" s="5"/>
      <c r="K698" s="5"/>
      <c r="L698" s="5"/>
      <c r="M698" s="5"/>
      <c r="N698" s="5"/>
      <c r="O698" s="5"/>
      <c r="P698" s="5"/>
      <c r="Q698" s="5"/>
      <c r="R698" s="5"/>
    </row>
    <row r="699" ht="15.75" customHeight="1">
      <c r="A699" s="5"/>
      <c r="B699" s="5"/>
      <c r="C699" s="5"/>
      <c r="D699" s="5"/>
      <c r="E699" s="5"/>
      <c r="F699" s="5"/>
      <c r="G699" s="5"/>
      <c r="H699" s="5"/>
      <c r="I699" s="5"/>
      <c r="J699" s="5"/>
      <c r="K699" s="5"/>
      <c r="L699" s="5"/>
      <c r="M699" s="5"/>
      <c r="N699" s="5"/>
      <c r="O699" s="5"/>
      <c r="P699" s="5"/>
      <c r="Q699" s="5"/>
      <c r="R699" s="5"/>
    </row>
    <row r="700" ht="15.75" customHeight="1">
      <c r="A700" s="5"/>
      <c r="B700" s="5"/>
      <c r="C700" s="5"/>
      <c r="D700" s="5"/>
      <c r="E700" s="5"/>
      <c r="F700" s="5"/>
      <c r="G700" s="5"/>
      <c r="H700" s="5"/>
      <c r="I700" s="5"/>
      <c r="J700" s="5"/>
      <c r="K700" s="5"/>
      <c r="L700" s="5"/>
      <c r="M700" s="5"/>
      <c r="N700" s="5"/>
      <c r="O700" s="5"/>
      <c r="P700" s="5"/>
      <c r="Q700" s="5"/>
      <c r="R700" s="5"/>
    </row>
    <row r="701" ht="15.75" customHeight="1">
      <c r="A701" s="5"/>
      <c r="B701" s="5"/>
      <c r="C701" s="5"/>
      <c r="D701" s="5"/>
      <c r="E701" s="5"/>
      <c r="F701" s="5"/>
      <c r="G701" s="5"/>
      <c r="H701" s="5"/>
      <c r="I701" s="5"/>
      <c r="J701" s="5"/>
      <c r="K701" s="5"/>
      <c r="L701" s="5"/>
      <c r="M701" s="5"/>
      <c r="N701" s="5"/>
      <c r="O701" s="5"/>
      <c r="P701" s="5"/>
      <c r="Q701" s="5"/>
      <c r="R701" s="5"/>
    </row>
    <row r="702" ht="15.75" customHeight="1">
      <c r="A702" s="5"/>
      <c r="B702" s="5"/>
      <c r="C702" s="5"/>
      <c r="D702" s="5"/>
      <c r="E702" s="5"/>
      <c r="F702" s="5"/>
      <c r="G702" s="5"/>
      <c r="H702" s="5"/>
      <c r="I702" s="5"/>
      <c r="J702" s="5"/>
      <c r="K702" s="5"/>
      <c r="L702" s="5"/>
      <c r="M702" s="5"/>
      <c r="N702" s="5"/>
      <c r="O702" s="5"/>
      <c r="P702" s="5"/>
      <c r="Q702" s="5"/>
      <c r="R702" s="5"/>
    </row>
    <row r="703" ht="15.75" customHeight="1">
      <c r="A703" s="5"/>
      <c r="B703" s="5"/>
      <c r="C703" s="5"/>
      <c r="D703" s="5"/>
      <c r="E703" s="5"/>
      <c r="F703" s="5"/>
      <c r="G703" s="5"/>
      <c r="H703" s="5"/>
      <c r="I703" s="5"/>
      <c r="J703" s="5"/>
      <c r="K703" s="5"/>
      <c r="L703" s="5"/>
      <c r="M703" s="5"/>
      <c r="N703" s="5"/>
      <c r="O703" s="5"/>
      <c r="P703" s="5"/>
      <c r="Q703" s="5"/>
      <c r="R703" s="5"/>
    </row>
    <row r="704" ht="15.75" customHeight="1">
      <c r="A704" s="5"/>
      <c r="B704" s="5"/>
      <c r="C704" s="5"/>
      <c r="D704" s="5"/>
      <c r="E704" s="5"/>
      <c r="F704" s="5"/>
      <c r="G704" s="5"/>
      <c r="H704" s="5"/>
      <c r="I704" s="5"/>
      <c r="J704" s="5"/>
      <c r="K704" s="5"/>
      <c r="L704" s="5"/>
      <c r="M704" s="5"/>
      <c r="N704" s="5"/>
      <c r="O704" s="5"/>
      <c r="P704" s="5"/>
      <c r="Q704" s="5"/>
      <c r="R704" s="5"/>
    </row>
    <row r="705" ht="15.75" customHeight="1">
      <c r="A705" s="5"/>
      <c r="B705" s="5"/>
      <c r="C705" s="5"/>
      <c r="D705" s="5"/>
      <c r="E705" s="5"/>
      <c r="F705" s="5"/>
      <c r="G705" s="5"/>
      <c r="H705" s="5"/>
      <c r="I705" s="5"/>
      <c r="J705" s="5"/>
      <c r="K705" s="5"/>
      <c r="L705" s="5"/>
      <c r="M705" s="5"/>
      <c r="N705" s="5"/>
      <c r="O705" s="5"/>
      <c r="P705" s="5"/>
      <c r="Q705" s="5"/>
      <c r="R705" s="5"/>
    </row>
    <row r="706" ht="15.75" customHeight="1">
      <c r="A706" s="5"/>
      <c r="B706" s="5"/>
      <c r="C706" s="5"/>
      <c r="D706" s="5"/>
      <c r="E706" s="5"/>
      <c r="F706" s="5"/>
      <c r="G706" s="5"/>
      <c r="H706" s="5"/>
      <c r="I706" s="5"/>
      <c r="J706" s="5"/>
      <c r="K706" s="5"/>
      <c r="L706" s="5"/>
      <c r="M706" s="5"/>
      <c r="N706" s="5"/>
      <c r="O706" s="5"/>
      <c r="P706" s="5"/>
      <c r="Q706" s="5"/>
      <c r="R706" s="5"/>
    </row>
    <row r="707" ht="15.75" customHeight="1">
      <c r="A707" s="5"/>
      <c r="B707" s="5"/>
      <c r="C707" s="5"/>
      <c r="D707" s="5"/>
      <c r="E707" s="5"/>
      <c r="F707" s="5"/>
      <c r="G707" s="5"/>
      <c r="H707" s="5"/>
      <c r="I707" s="5"/>
      <c r="J707" s="5"/>
      <c r="K707" s="5"/>
      <c r="L707" s="5"/>
      <c r="M707" s="5"/>
      <c r="N707" s="5"/>
      <c r="O707" s="5"/>
      <c r="P707" s="5"/>
      <c r="Q707" s="5"/>
      <c r="R707" s="5"/>
    </row>
    <row r="708" ht="15.75" customHeight="1">
      <c r="A708" s="5"/>
      <c r="B708" s="5"/>
      <c r="C708" s="5"/>
      <c r="D708" s="5"/>
      <c r="E708" s="5"/>
      <c r="F708" s="5"/>
      <c r="G708" s="5"/>
      <c r="H708" s="5"/>
      <c r="I708" s="5"/>
      <c r="J708" s="5"/>
      <c r="K708" s="5"/>
      <c r="L708" s="5"/>
      <c r="M708" s="5"/>
      <c r="N708" s="5"/>
      <c r="O708" s="5"/>
      <c r="P708" s="5"/>
      <c r="Q708" s="5"/>
      <c r="R708" s="5"/>
    </row>
    <row r="709" ht="15.75" customHeight="1">
      <c r="A709" s="5"/>
      <c r="B709" s="5"/>
      <c r="C709" s="5"/>
      <c r="D709" s="5"/>
      <c r="E709" s="5"/>
      <c r="F709" s="5"/>
      <c r="G709" s="5"/>
      <c r="H709" s="5"/>
      <c r="I709" s="5"/>
      <c r="J709" s="5"/>
      <c r="K709" s="5"/>
      <c r="L709" s="5"/>
      <c r="M709" s="5"/>
      <c r="N709" s="5"/>
      <c r="O709" s="5"/>
      <c r="P709" s="5"/>
      <c r="Q709" s="5"/>
      <c r="R709" s="5"/>
    </row>
    <row r="710" ht="15.75" customHeight="1">
      <c r="A710" s="5"/>
      <c r="B710" s="5"/>
      <c r="C710" s="5"/>
      <c r="D710" s="5"/>
      <c r="E710" s="5"/>
      <c r="F710" s="5"/>
      <c r="G710" s="5"/>
      <c r="H710" s="5"/>
      <c r="I710" s="5"/>
      <c r="J710" s="5"/>
      <c r="K710" s="5"/>
      <c r="L710" s="5"/>
      <c r="M710" s="5"/>
      <c r="N710" s="5"/>
      <c r="O710" s="5"/>
      <c r="P710" s="5"/>
      <c r="Q710" s="5"/>
      <c r="R710" s="5"/>
    </row>
    <row r="711" ht="15.75" customHeight="1">
      <c r="A711" s="5"/>
      <c r="B711" s="5"/>
      <c r="C711" s="5"/>
      <c r="D711" s="5"/>
      <c r="E711" s="5"/>
      <c r="F711" s="5"/>
      <c r="G711" s="5"/>
      <c r="H711" s="5"/>
      <c r="I711" s="5"/>
      <c r="J711" s="5"/>
      <c r="K711" s="5"/>
      <c r="L711" s="5"/>
      <c r="M711" s="5"/>
      <c r="N711" s="5"/>
      <c r="O711" s="5"/>
      <c r="P711" s="5"/>
      <c r="Q711" s="5"/>
      <c r="R711" s="5"/>
    </row>
    <row r="712" ht="15.75" customHeight="1">
      <c r="A712" s="5"/>
      <c r="B712" s="5"/>
      <c r="C712" s="5"/>
      <c r="D712" s="5"/>
      <c r="E712" s="5"/>
      <c r="F712" s="5"/>
      <c r="G712" s="5"/>
      <c r="H712" s="5"/>
      <c r="I712" s="5"/>
      <c r="J712" s="5"/>
      <c r="K712" s="5"/>
      <c r="L712" s="5"/>
      <c r="M712" s="5"/>
      <c r="N712" s="5"/>
      <c r="O712" s="5"/>
      <c r="P712" s="5"/>
      <c r="Q712" s="5"/>
      <c r="R712" s="5"/>
    </row>
    <row r="713" ht="15.75" customHeight="1">
      <c r="A713" s="5"/>
      <c r="B713" s="5"/>
      <c r="C713" s="5"/>
      <c r="D713" s="5"/>
      <c r="E713" s="5"/>
      <c r="F713" s="5"/>
      <c r="G713" s="5"/>
      <c r="H713" s="5"/>
      <c r="I713" s="5"/>
      <c r="J713" s="5"/>
      <c r="K713" s="5"/>
      <c r="L713" s="5"/>
      <c r="M713" s="5"/>
      <c r="N713" s="5"/>
      <c r="O713" s="5"/>
      <c r="P713" s="5"/>
      <c r="Q713" s="5"/>
      <c r="R713" s="5"/>
    </row>
    <row r="714" ht="15.75" customHeight="1">
      <c r="A714" s="5"/>
      <c r="B714" s="5"/>
      <c r="C714" s="5"/>
      <c r="D714" s="5"/>
      <c r="E714" s="5"/>
      <c r="F714" s="5"/>
      <c r="G714" s="5"/>
      <c r="H714" s="5"/>
      <c r="I714" s="5"/>
      <c r="J714" s="5"/>
      <c r="K714" s="5"/>
      <c r="L714" s="5"/>
      <c r="M714" s="5"/>
      <c r="N714" s="5"/>
      <c r="O714" s="5"/>
      <c r="P714" s="5"/>
      <c r="Q714" s="5"/>
      <c r="R714" s="5"/>
    </row>
    <row r="715" ht="15.75" customHeight="1">
      <c r="A715" s="5"/>
      <c r="B715" s="5"/>
      <c r="C715" s="5"/>
      <c r="D715" s="5"/>
      <c r="E715" s="5"/>
      <c r="F715" s="5"/>
      <c r="G715" s="5"/>
      <c r="H715" s="5"/>
      <c r="I715" s="5"/>
      <c r="J715" s="5"/>
      <c r="K715" s="5"/>
      <c r="L715" s="5"/>
      <c r="M715" s="5"/>
      <c r="N715" s="5"/>
      <c r="O715" s="5"/>
      <c r="P715" s="5"/>
      <c r="Q715" s="5"/>
      <c r="R715" s="5"/>
    </row>
    <row r="716" ht="15.75" customHeight="1">
      <c r="A716" s="5"/>
      <c r="B716" s="5"/>
      <c r="C716" s="5"/>
      <c r="D716" s="5"/>
      <c r="E716" s="5"/>
      <c r="F716" s="5"/>
      <c r="G716" s="5"/>
      <c r="H716" s="5"/>
      <c r="I716" s="5"/>
      <c r="J716" s="5"/>
      <c r="K716" s="5"/>
      <c r="L716" s="5"/>
      <c r="M716" s="5"/>
      <c r="N716" s="5"/>
      <c r="O716" s="5"/>
      <c r="P716" s="5"/>
      <c r="Q716" s="5"/>
      <c r="R716" s="5"/>
    </row>
    <row r="717" ht="15.75" customHeight="1">
      <c r="A717" s="5"/>
      <c r="B717" s="5"/>
      <c r="C717" s="5"/>
      <c r="D717" s="5"/>
      <c r="E717" s="5"/>
      <c r="F717" s="5"/>
      <c r="G717" s="5"/>
      <c r="H717" s="5"/>
      <c r="I717" s="5"/>
      <c r="J717" s="5"/>
      <c r="K717" s="5"/>
      <c r="L717" s="5"/>
      <c r="M717" s="5"/>
      <c r="N717" s="5"/>
      <c r="O717" s="5"/>
      <c r="P717" s="5"/>
      <c r="Q717" s="5"/>
      <c r="R717" s="5"/>
    </row>
    <row r="718" ht="15.75" customHeight="1">
      <c r="A718" s="5"/>
      <c r="B718" s="5"/>
      <c r="C718" s="5"/>
      <c r="D718" s="5"/>
      <c r="E718" s="5"/>
      <c r="F718" s="5"/>
      <c r="G718" s="5"/>
      <c r="H718" s="5"/>
      <c r="I718" s="5"/>
      <c r="J718" s="5"/>
      <c r="K718" s="5"/>
      <c r="L718" s="5"/>
      <c r="M718" s="5"/>
      <c r="N718" s="5"/>
      <c r="O718" s="5"/>
      <c r="P718" s="5"/>
      <c r="Q718" s="5"/>
      <c r="R718" s="5"/>
    </row>
    <row r="719" ht="15.75" customHeight="1">
      <c r="A719" s="5"/>
      <c r="B719" s="5"/>
      <c r="C719" s="5"/>
      <c r="D719" s="5"/>
      <c r="E719" s="5"/>
      <c r="F719" s="5"/>
      <c r="G719" s="5"/>
      <c r="H719" s="5"/>
      <c r="I719" s="5"/>
      <c r="J719" s="5"/>
      <c r="K719" s="5"/>
      <c r="L719" s="5"/>
      <c r="M719" s="5"/>
      <c r="N719" s="5"/>
      <c r="O719" s="5"/>
      <c r="P719" s="5"/>
      <c r="Q719" s="5"/>
      <c r="R719" s="5"/>
    </row>
    <row r="720" ht="15.75" customHeight="1">
      <c r="A720" s="5"/>
      <c r="B720" s="5"/>
      <c r="C720" s="5"/>
      <c r="D720" s="5"/>
      <c r="E720" s="5"/>
      <c r="F720" s="5"/>
      <c r="G720" s="5"/>
      <c r="H720" s="5"/>
      <c r="I720" s="5"/>
      <c r="J720" s="5"/>
      <c r="K720" s="5"/>
      <c r="L720" s="5"/>
      <c r="M720" s="5"/>
      <c r="N720" s="5"/>
      <c r="O720" s="5"/>
      <c r="P720" s="5"/>
      <c r="Q720" s="5"/>
      <c r="R720" s="5"/>
    </row>
    <row r="721" ht="15.75" customHeight="1">
      <c r="A721" s="5"/>
      <c r="B721" s="5"/>
      <c r="C721" s="5"/>
      <c r="D721" s="5"/>
      <c r="E721" s="5"/>
      <c r="F721" s="5"/>
      <c r="G721" s="5"/>
      <c r="H721" s="5"/>
      <c r="I721" s="5"/>
      <c r="J721" s="5"/>
      <c r="K721" s="5"/>
      <c r="L721" s="5"/>
      <c r="M721" s="5"/>
      <c r="N721" s="5"/>
      <c r="O721" s="5"/>
      <c r="P721" s="5"/>
      <c r="Q721" s="5"/>
      <c r="R721" s="5"/>
    </row>
    <row r="722" ht="15.75" customHeight="1">
      <c r="A722" s="5"/>
      <c r="B722" s="5"/>
      <c r="C722" s="5"/>
      <c r="D722" s="5"/>
      <c r="E722" s="5"/>
      <c r="F722" s="5"/>
      <c r="G722" s="5"/>
      <c r="H722" s="5"/>
      <c r="I722" s="5"/>
      <c r="J722" s="5"/>
      <c r="K722" s="5"/>
      <c r="L722" s="5"/>
      <c r="M722" s="5"/>
      <c r="N722" s="5"/>
      <c r="O722" s="5"/>
      <c r="P722" s="5"/>
      <c r="Q722" s="5"/>
      <c r="R722" s="5"/>
    </row>
    <row r="723" ht="15.75" customHeight="1">
      <c r="A723" s="5"/>
      <c r="B723" s="5"/>
      <c r="C723" s="5"/>
      <c r="D723" s="5"/>
      <c r="E723" s="5"/>
      <c r="F723" s="5"/>
      <c r="G723" s="5"/>
      <c r="H723" s="5"/>
      <c r="I723" s="5"/>
      <c r="J723" s="5"/>
      <c r="K723" s="5"/>
      <c r="L723" s="5"/>
      <c r="M723" s="5"/>
      <c r="N723" s="5"/>
      <c r="O723" s="5"/>
      <c r="P723" s="5"/>
      <c r="Q723" s="5"/>
      <c r="R723" s="5"/>
    </row>
    <row r="724" ht="15.75" customHeight="1">
      <c r="A724" s="5"/>
      <c r="B724" s="5"/>
      <c r="C724" s="5"/>
      <c r="D724" s="5"/>
      <c r="E724" s="5"/>
      <c r="F724" s="5"/>
      <c r="G724" s="5"/>
      <c r="H724" s="5"/>
      <c r="I724" s="5"/>
      <c r="J724" s="5"/>
      <c r="K724" s="5"/>
      <c r="L724" s="5"/>
      <c r="M724" s="5"/>
      <c r="N724" s="5"/>
      <c r="O724" s="5"/>
      <c r="P724" s="5"/>
      <c r="Q724" s="5"/>
      <c r="R724" s="5"/>
    </row>
    <row r="725" ht="15.75" customHeight="1">
      <c r="A725" s="5"/>
      <c r="B725" s="5"/>
      <c r="C725" s="5"/>
      <c r="D725" s="5"/>
      <c r="E725" s="5"/>
      <c r="F725" s="5"/>
      <c r="G725" s="5"/>
      <c r="H725" s="5"/>
      <c r="I725" s="5"/>
      <c r="J725" s="5"/>
      <c r="K725" s="5"/>
      <c r="L725" s="5"/>
      <c r="M725" s="5"/>
      <c r="N725" s="5"/>
      <c r="O725" s="5"/>
      <c r="P725" s="5"/>
      <c r="Q725" s="5"/>
      <c r="R725" s="5"/>
    </row>
    <row r="726" ht="15.75" customHeight="1">
      <c r="A726" s="5"/>
      <c r="B726" s="5"/>
      <c r="C726" s="5"/>
      <c r="D726" s="5"/>
      <c r="E726" s="5"/>
      <c r="F726" s="5"/>
      <c r="G726" s="5"/>
      <c r="H726" s="5"/>
      <c r="I726" s="5"/>
      <c r="J726" s="5"/>
      <c r="K726" s="5"/>
      <c r="L726" s="5"/>
      <c r="M726" s="5"/>
      <c r="N726" s="5"/>
      <c r="O726" s="5"/>
      <c r="P726" s="5"/>
      <c r="Q726" s="5"/>
      <c r="R726" s="5"/>
    </row>
    <row r="727" ht="15.75" customHeight="1">
      <c r="A727" s="5"/>
      <c r="B727" s="5"/>
      <c r="C727" s="5"/>
      <c r="D727" s="5"/>
      <c r="E727" s="5"/>
      <c r="F727" s="5"/>
      <c r="G727" s="5"/>
      <c r="H727" s="5"/>
      <c r="I727" s="5"/>
      <c r="J727" s="5"/>
      <c r="K727" s="5"/>
      <c r="L727" s="5"/>
      <c r="M727" s="5"/>
      <c r="N727" s="5"/>
      <c r="O727" s="5"/>
      <c r="P727" s="5"/>
      <c r="Q727" s="5"/>
      <c r="R727" s="5"/>
    </row>
    <row r="728" ht="15.75" customHeight="1">
      <c r="A728" s="5"/>
      <c r="B728" s="5"/>
      <c r="C728" s="5"/>
      <c r="D728" s="5"/>
      <c r="E728" s="5"/>
      <c r="F728" s="5"/>
      <c r="G728" s="5"/>
      <c r="H728" s="5"/>
      <c r="I728" s="5"/>
      <c r="J728" s="5"/>
      <c r="K728" s="5"/>
      <c r="L728" s="5"/>
      <c r="M728" s="5"/>
      <c r="N728" s="5"/>
      <c r="O728" s="5"/>
      <c r="P728" s="5"/>
      <c r="Q728" s="5"/>
      <c r="R728" s="5"/>
    </row>
    <row r="729" ht="15.75" customHeight="1">
      <c r="A729" s="5"/>
      <c r="B729" s="5"/>
      <c r="C729" s="5"/>
      <c r="D729" s="5"/>
      <c r="E729" s="5"/>
      <c r="F729" s="5"/>
      <c r="G729" s="5"/>
      <c r="H729" s="5"/>
      <c r="I729" s="5"/>
      <c r="J729" s="5"/>
      <c r="K729" s="5"/>
      <c r="L729" s="5"/>
      <c r="M729" s="5"/>
      <c r="N729" s="5"/>
      <c r="O729" s="5"/>
      <c r="P729" s="5"/>
      <c r="Q729" s="5"/>
      <c r="R729" s="5"/>
    </row>
    <row r="730" ht="15.75" customHeight="1">
      <c r="A730" s="5"/>
      <c r="B730" s="5"/>
      <c r="C730" s="5"/>
      <c r="D730" s="5"/>
      <c r="E730" s="5"/>
      <c r="F730" s="5"/>
      <c r="G730" s="5"/>
      <c r="H730" s="5"/>
      <c r="I730" s="5"/>
      <c r="J730" s="5"/>
      <c r="K730" s="5"/>
      <c r="L730" s="5"/>
      <c r="M730" s="5"/>
      <c r="N730" s="5"/>
      <c r="O730" s="5"/>
      <c r="P730" s="5"/>
      <c r="Q730" s="5"/>
      <c r="R730" s="5"/>
    </row>
    <row r="731" ht="15.75" customHeight="1">
      <c r="A731" s="5"/>
      <c r="B731" s="5"/>
      <c r="C731" s="5"/>
      <c r="D731" s="5"/>
      <c r="E731" s="5"/>
      <c r="F731" s="5"/>
      <c r="G731" s="5"/>
      <c r="H731" s="5"/>
      <c r="I731" s="5"/>
      <c r="J731" s="5"/>
      <c r="K731" s="5"/>
      <c r="L731" s="5"/>
      <c r="M731" s="5"/>
      <c r="N731" s="5"/>
      <c r="O731" s="5"/>
      <c r="P731" s="5"/>
      <c r="Q731" s="5"/>
      <c r="R731" s="5"/>
    </row>
    <row r="732" ht="15.75" customHeight="1">
      <c r="A732" s="5"/>
      <c r="B732" s="5"/>
      <c r="C732" s="5"/>
      <c r="D732" s="5"/>
      <c r="E732" s="5"/>
      <c r="F732" s="5"/>
      <c r="G732" s="5"/>
      <c r="H732" s="5"/>
      <c r="I732" s="5"/>
      <c r="J732" s="5"/>
      <c r="K732" s="5"/>
      <c r="L732" s="5"/>
      <c r="M732" s="5"/>
      <c r="N732" s="5"/>
      <c r="O732" s="5"/>
      <c r="P732" s="5"/>
      <c r="Q732" s="5"/>
      <c r="R732" s="5"/>
    </row>
    <row r="733" ht="15.75" customHeight="1">
      <c r="A733" s="5"/>
      <c r="B733" s="5"/>
      <c r="C733" s="5"/>
      <c r="D733" s="5"/>
      <c r="E733" s="5"/>
      <c r="F733" s="5"/>
      <c r="G733" s="5"/>
      <c r="H733" s="5"/>
      <c r="I733" s="5"/>
      <c r="J733" s="5"/>
      <c r="K733" s="5"/>
      <c r="L733" s="5"/>
      <c r="M733" s="5"/>
      <c r="N733" s="5"/>
      <c r="O733" s="5"/>
      <c r="P733" s="5"/>
      <c r="Q733" s="5"/>
      <c r="R733" s="5"/>
    </row>
    <row r="734" ht="15.75" customHeight="1">
      <c r="A734" s="5"/>
      <c r="B734" s="5"/>
      <c r="C734" s="5"/>
      <c r="D734" s="5"/>
      <c r="E734" s="5"/>
      <c r="F734" s="5"/>
      <c r="G734" s="5"/>
      <c r="H734" s="5"/>
      <c r="I734" s="5"/>
      <c r="J734" s="5"/>
      <c r="K734" s="5"/>
      <c r="L734" s="5"/>
      <c r="M734" s="5"/>
      <c r="N734" s="5"/>
      <c r="O734" s="5"/>
      <c r="P734" s="5"/>
      <c r="Q734" s="5"/>
      <c r="R734" s="5"/>
    </row>
    <row r="735" ht="15.75" customHeight="1">
      <c r="A735" s="5"/>
      <c r="B735" s="5"/>
      <c r="C735" s="5"/>
      <c r="D735" s="5"/>
      <c r="E735" s="5"/>
      <c r="F735" s="5"/>
      <c r="G735" s="5"/>
      <c r="H735" s="5"/>
      <c r="I735" s="5"/>
      <c r="J735" s="5"/>
      <c r="K735" s="5"/>
      <c r="L735" s="5"/>
      <c r="M735" s="5"/>
      <c r="N735" s="5"/>
      <c r="O735" s="5"/>
      <c r="P735" s="5"/>
      <c r="Q735" s="5"/>
      <c r="R735" s="5"/>
    </row>
    <row r="736" ht="15.75" customHeight="1">
      <c r="A736" s="5"/>
      <c r="B736" s="5"/>
      <c r="C736" s="5"/>
      <c r="D736" s="5"/>
      <c r="E736" s="5"/>
      <c r="F736" s="5"/>
      <c r="G736" s="5"/>
      <c r="H736" s="5"/>
      <c r="I736" s="5"/>
      <c r="J736" s="5"/>
      <c r="K736" s="5"/>
      <c r="L736" s="5"/>
      <c r="M736" s="5"/>
      <c r="N736" s="5"/>
      <c r="O736" s="5"/>
      <c r="P736" s="5"/>
      <c r="Q736" s="5"/>
      <c r="R736" s="5"/>
    </row>
    <row r="737" ht="15.75" customHeight="1">
      <c r="A737" s="5"/>
      <c r="B737" s="5"/>
      <c r="C737" s="5"/>
      <c r="D737" s="5"/>
      <c r="E737" s="5"/>
      <c r="F737" s="5"/>
      <c r="G737" s="5"/>
      <c r="H737" s="5"/>
      <c r="I737" s="5"/>
      <c r="J737" s="5"/>
      <c r="K737" s="5"/>
      <c r="L737" s="5"/>
      <c r="M737" s="5"/>
      <c r="N737" s="5"/>
      <c r="O737" s="5"/>
      <c r="P737" s="5"/>
      <c r="Q737" s="5"/>
      <c r="R737" s="5"/>
    </row>
    <row r="738" ht="15.75" customHeight="1">
      <c r="A738" s="5"/>
      <c r="B738" s="5"/>
      <c r="C738" s="5"/>
      <c r="D738" s="5"/>
      <c r="E738" s="5"/>
      <c r="F738" s="5"/>
      <c r="G738" s="5"/>
      <c r="H738" s="5"/>
      <c r="I738" s="5"/>
      <c r="J738" s="5"/>
      <c r="K738" s="5"/>
      <c r="L738" s="5"/>
      <c r="M738" s="5"/>
      <c r="N738" s="5"/>
      <c r="O738" s="5"/>
      <c r="P738" s="5"/>
      <c r="Q738" s="5"/>
      <c r="R738" s="5"/>
    </row>
    <row r="739" ht="15.75" customHeight="1">
      <c r="A739" s="5"/>
      <c r="B739" s="5"/>
      <c r="C739" s="5"/>
      <c r="D739" s="5"/>
      <c r="E739" s="5"/>
      <c r="F739" s="5"/>
      <c r="G739" s="5"/>
      <c r="H739" s="5"/>
      <c r="I739" s="5"/>
      <c r="J739" s="5"/>
      <c r="K739" s="5"/>
      <c r="L739" s="5"/>
      <c r="M739" s="5"/>
      <c r="N739" s="5"/>
      <c r="O739" s="5"/>
      <c r="P739" s="5"/>
      <c r="Q739" s="5"/>
      <c r="R739" s="5"/>
    </row>
    <row r="740" ht="15.75" customHeight="1">
      <c r="A740" s="5"/>
      <c r="B740" s="5"/>
      <c r="C740" s="5"/>
      <c r="D740" s="5"/>
      <c r="E740" s="5"/>
      <c r="F740" s="5"/>
      <c r="G740" s="5"/>
      <c r="H740" s="5"/>
      <c r="I740" s="5"/>
      <c r="J740" s="5"/>
      <c r="K740" s="5"/>
      <c r="L740" s="5"/>
      <c r="M740" s="5"/>
      <c r="N740" s="5"/>
      <c r="O740" s="5"/>
      <c r="P740" s="5"/>
      <c r="Q740" s="5"/>
      <c r="R740" s="5"/>
    </row>
    <row r="741" ht="15.75" customHeight="1">
      <c r="A741" s="5"/>
      <c r="B741" s="5"/>
      <c r="C741" s="5"/>
      <c r="D741" s="5"/>
      <c r="E741" s="5"/>
      <c r="F741" s="5"/>
      <c r="G741" s="5"/>
      <c r="H741" s="5"/>
      <c r="I741" s="5"/>
      <c r="J741" s="5"/>
      <c r="K741" s="5"/>
      <c r="L741" s="5"/>
      <c r="M741" s="5"/>
      <c r="N741" s="5"/>
      <c r="O741" s="5"/>
      <c r="P741" s="5"/>
      <c r="Q741" s="5"/>
      <c r="R741" s="5"/>
    </row>
    <row r="742" ht="15.75" customHeight="1">
      <c r="A742" s="5"/>
      <c r="B742" s="5"/>
      <c r="C742" s="5"/>
      <c r="D742" s="5"/>
      <c r="E742" s="5"/>
      <c r="F742" s="5"/>
      <c r="G742" s="5"/>
      <c r="H742" s="5"/>
      <c r="I742" s="5"/>
      <c r="J742" s="5"/>
      <c r="K742" s="5"/>
      <c r="L742" s="5"/>
      <c r="M742" s="5"/>
      <c r="N742" s="5"/>
      <c r="O742" s="5"/>
      <c r="P742" s="5"/>
      <c r="Q742" s="5"/>
      <c r="R742" s="5"/>
    </row>
    <row r="743" ht="15.75" customHeight="1">
      <c r="A743" s="5"/>
      <c r="B743" s="5"/>
      <c r="C743" s="5"/>
      <c r="D743" s="5"/>
      <c r="E743" s="5"/>
      <c r="F743" s="5"/>
      <c r="G743" s="5"/>
      <c r="H743" s="5"/>
      <c r="I743" s="5"/>
      <c r="J743" s="5"/>
      <c r="K743" s="5"/>
      <c r="L743" s="5"/>
      <c r="M743" s="5"/>
      <c r="N743" s="5"/>
      <c r="O743" s="5"/>
      <c r="P743" s="5"/>
      <c r="Q743" s="5"/>
      <c r="R743" s="5"/>
    </row>
    <row r="744" ht="15.75" customHeight="1">
      <c r="A744" s="5"/>
      <c r="B744" s="5"/>
      <c r="C744" s="5"/>
      <c r="D744" s="5"/>
      <c r="E744" s="5"/>
      <c r="F744" s="5"/>
      <c r="G744" s="5"/>
      <c r="H744" s="5"/>
      <c r="I744" s="5"/>
      <c r="J744" s="5"/>
      <c r="K744" s="5"/>
      <c r="L744" s="5"/>
      <c r="M744" s="5"/>
      <c r="N744" s="5"/>
      <c r="O744" s="5"/>
      <c r="P744" s="5"/>
      <c r="Q744" s="5"/>
      <c r="R744" s="5"/>
    </row>
    <row r="745" ht="15.75" customHeight="1">
      <c r="A745" s="5"/>
      <c r="B745" s="5"/>
      <c r="C745" s="5"/>
      <c r="D745" s="5"/>
      <c r="E745" s="5"/>
      <c r="F745" s="5"/>
      <c r="G745" s="5"/>
      <c r="H745" s="5"/>
      <c r="I745" s="5"/>
      <c r="J745" s="5"/>
      <c r="K745" s="5"/>
      <c r="L745" s="5"/>
      <c r="M745" s="5"/>
      <c r="N745" s="5"/>
      <c r="O745" s="5"/>
      <c r="P745" s="5"/>
      <c r="Q745" s="5"/>
      <c r="R745" s="5"/>
    </row>
    <row r="746" ht="15.75" customHeight="1">
      <c r="A746" s="5"/>
      <c r="B746" s="5"/>
      <c r="C746" s="5"/>
      <c r="D746" s="5"/>
      <c r="E746" s="5"/>
      <c r="F746" s="5"/>
      <c r="G746" s="5"/>
      <c r="H746" s="5"/>
      <c r="I746" s="5"/>
      <c r="J746" s="5"/>
      <c r="K746" s="5"/>
      <c r="L746" s="5"/>
      <c r="M746" s="5"/>
      <c r="N746" s="5"/>
      <c r="O746" s="5"/>
      <c r="P746" s="5"/>
      <c r="Q746" s="5"/>
      <c r="R746" s="5"/>
    </row>
    <row r="747" ht="15.75" customHeight="1">
      <c r="A747" s="5"/>
      <c r="B747" s="5"/>
      <c r="C747" s="5"/>
      <c r="D747" s="5"/>
      <c r="E747" s="5"/>
      <c r="F747" s="5"/>
      <c r="G747" s="5"/>
      <c r="H747" s="5"/>
      <c r="I747" s="5"/>
      <c r="J747" s="5"/>
      <c r="K747" s="5"/>
      <c r="L747" s="5"/>
      <c r="M747" s="5"/>
      <c r="N747" s="5"/>
      <c r="O747" s="5"/>
      <c r="P747" s="5"/>
      <c r="Q747" s="5"/>
      <c r="R747" s="5"/>
    </row>
    <row r="748" ht="15.75" customHeight="1">
      <c r="A748" s="5"/>
      <c r="B748" s="5"/>
      <c r="C748" s="5"/>
      <c r="D748" s="5"/>
      <c r="E748" s="5"/>
      <c r="F748" s="5"/>
      <c r="G748" s="5"/>
      <c r="H748" s="5"/>
      <c r="I748" s="5"/>
      <c r="J748" s="5"/>
      <c r="K748" s="5"/>
      <c r="L748" s="5"/>
      <c r="M748" s="5"/>
      <c r="N748" s="5"/>
      <c r="O748" s="5"/>
      <c r="P748" s="5"/>
      <c r="Q748" s="5"/>
      <c r="R748" s="5"/>
    </row>
    <row r="749" ht="15.75" customHeight="1">
      <c r="A749" s="5"/>
      <c r="B749" s="5"/>
      <c r="C749" s="5"/>
      <c r="D749" s="5"/>
      <c r="E749" s="5"/>
      <c r="F749" s="5"/>
      <c r="G749" s="5"/>
      <c r="H749" s="5"/>
      <c r="I749" s="5"/>
      <c r="J749" s="5"/>
      <c r="K749" s="5"/>
      <c r="L749" s="5"/>
      <c r="M749" s="5"/>
      <c r="N749" s="5"/>
      <c r="O749" s="5"/>
      <c r="P749" s="5"/>
      <c r="Q749" s="5"/>
      <c r="R749" s="5"/>
    </row>
    <row r="750" ht="15.75" customHeight="1">
      <c r="A750" s="5"/>
      <c r="B750" s="5"/>
      <c r="C750" s="5"/>
      <c r="D750" s="5"/>
      <c r="E750" s="5"/>
      <c r="F750" s="5"/>
      <c r="G750" s="5"/>
      <c r="H750" s="5"/>
      <c r="I750" s="5"/>
      <c r="J750" s="5"/>
      <c r="K750" s="5"/>
      <c r="L750" s="5"/>
      <c r="M750" s="5"/>
      <c r="N750" s="5"/>
      <c r="O750" s="5"/>
      <c r="P750" s="5"/>
      <c r="Q750" s="5"/>
      <c r="R750" s="5"/>
    </row>
    <row r="751" ht="15.75" customHeight="1">
      <c r="A751" s="5"/>
      <c r="B751" s="5"/>
      <c r="C751" s="5"/>
      <c r="D751" s="5"/>
      <c r="E751" s="5"/>
      <c r="F751" s="5"/>
      <c r="G751" s="5"/>
      <c r="H751" s="5"/>
      <c r="I751" s="5"/>
      <c r="J751" s="5"/>
      <c r="K751" s="5"/>
      <c r="L751" s="5"/>
      <c r="M751" s="5"/>
      <c r="N751" s="5"/>
      <c r="O751" s="5"/>
      <c r="P751" s="5"/>
      <c r="Q751" s="5"/>
      <c r="R751" s="5"/>
    </row>
    <row r="752" ht="15.75" customHeight="1">
      <c r="A752" s="5"/>
      <c r="B752" s="5"/>
      <c r="C752" s="5"/>
      <c r="D752" s="5"/>
      <c r="E752" s="5"/>
      <c r="F752" s="5"/>
      <c r="G752" s="5"/>
      <c r="H752" s="5"/>
      <c r="I752" s="5"/>
      <c r="J752" s="5"/>
      <c r="K752" s="5"/>
      <c r="L752" s="5"/>
      <c r="M752" s="5"/>
      <c r="N752" s="5"/>
      <c r="O752" s="5"/>
      <c r="P752" s="5"/>
      <c r="Q752" s="5"/>
      <c r="R752" s="5"/>
    </row>
    <row r="753" ht="15.75" customHeight="1">
      <c r="A753" s="5"/>
      <c r="B753" s="5"/>
      <c r="C753" s="5"/>
      <c r="D753" s="5"/>
      <c r="E753" s="5"/>
      <c r="F753" s="5"/>
      <c r="G753" s="5"/>
      <c r="H753" s="5"/>
      <c r="I753" s="5"/>
      <c r="J753" s="5"/>
      <c r="K753" s="5"/>
      <c r="L753" s="5"/>
      <c r="M753" s="5"/>
      <c r="N753" s="5"/>
      <c r="O753" s="5"/>
      <c r="P753" s="5"/>
      <c r="Q753" s="5"/>
      <c r="R753" s="5"/>
    </row>
    <row r="754" ht="15.75" customHeight="1">
      <c r="A754" s="5"/>
      <c r="B754" s="5"/>
      <c r="C754" s="5"/>
      <c r="D754" s="5"/>
      <c r="E754" s="5"/>
      <c r="F754" s="5"/>
      <c r="G754" s="5"/>
      <c r="H754" s="5"/>
      <c r="I754" s="5"/>
      <c r="J754" s="5"/>
      <c r="K754" s="5"/>
      <c r="L754" s="5"/>
      <c r="M754" s="5"/>
      <c r="N754" s="5"/>
      <c r="O754" s="5"/>
      <c r="P754" s="5"/>
      <c r="Q754" s="5"/>
      <c r="R754" s="5"/>
    </row>
    <row r="755" ht="15.75" customHeight="1">
      <c r="A755" s="5"/>
      <c r="B755" s="5"/>
      <c r="C755" s="5"/>
      <c r="D755" s="5"/>
      <c r="E755" s="5"/>
      <c r="F755" s="5"/>
      <c r="G755" s="5"/>
      <c r="H755" s="5"/>
      <c r="I755" s="5"/>
      <c r="J755" s="5"/>
      <c r="K755" s="5"/>
      <c r="L755" s="5"/>
      <c r="M755" s="5"/>
      <c r="N755" s="5"/>
      <c r="O755" s="5"/>
      <c r="P755" s="5"/>
      <c r="Q755" s="5"/>
      <c r="R755" s="5"/>
    </row>
    <row r="756" ht="15.75" customHeight="1">
      <c r="A756" s="5"/>
      <c r="B756" s="5"/>
      <c r="C756" s="5"/>
      <c r="D756" s="5"/>
      <c r="E756" s="5"/>
      <c r="F756" s="5"/>
      <c r="G756" s="5"/>
      <c r="H756" s="5"/>
      <c r="I756" s="5"/>
      <c r="J756" s="5"/>
      <c r="K756" s="5"/>
      <c r="L756" s="5"/>
      <c r="M756" s="5"/>
      <c r="N756" s="5"/>
      <c r="O756" s="5"/>
      <c r="P756" s="5"/>
      <c r="Q756" s="5"/>
      <c r="R756" s="5"/>
    </row>
    <row r="757" ht="15.75" customHeight="1">
      <c r="A757" s="5"/>
      <c r="B757" s="5"/>
      <c r="C757" s="5"/>
      <c r="D757" s="5"/>
      <c r="E757" s="5"/>
      <c r="F757" s="5"/>
      <c r="G757" s="5"/>
      <c r="H757" s="5"/>
      <c r="I757" s="5"/>
      <c r="J757" s="5"/>
      <c r="K757" s="5"/>
      <c r="L757" s="5"/>
      <c r="M757" s="5"/>
      <c r="N757" s="5"/>
      <c r="O757" s="5"/>
      <c r="P757" s="5"/>
      <c r="Q757" s="5"/>
      <c r="R757" s="5"/>
    </row>
    <row r="758" ht="15.75" customHeight="1">
      <c r="A758" s="5"/>
      <c r="B758" s="5"/>
      <c r="C758" s="5"/>
      <c r="D758" s="5"/>
      <c r="E758" s="5"/>
      <c r="F758" s="5"/>
      <c r="G758" s="5"/>
      <c r="H758" s="5"/>
      <c r="I758" s="5"/>
      <c r="J758" s="5"/>
      <c r="K758" s="5"/>
      <c r="L758" s="5"/>
      <c r="M758" s="5"/>
      <c r="N758" s="5"/>
      <c r="O758" s="5"/>
      <c r="P758" s="5"/>
      <c r="Q758" s="5"/>
      <c r="R758" s="5"/>
    </row>
    <row r="759" ht="15.75" customHeight="1">
      <c r="A759" s="5"/>
      <c r="B759" s="5"/>
      <c r="C759" s="5"/>
      <c r="D759" s="5"/>
      <c r="E759" s="5"/>
      <c r="F759" s="5"/>
      <c r="G759" s="5"/>
      <c r="H759" s="5"/>
      <c r="I759" s="5"/>
      <c r="J759" s="5"/>
      <c r="K759" s="5"/>
      <c r="L759" s="5"/>
      <c r="M759" s="5"/>
      <c r="N759" s="5"/>
      <c r="O759" s="5"/>
      <c r="P759" s="5"/>
      <c r="Q759" s="5"/>
      <c r="R759" s="5"/>
    </row>
    <row r="760" ht="15.75" customHeight="1">
      <c r="A760" s="5"/>
      <c r="B760" s="5"/>
      <c r="C760" s="5"/>
      <c r="D760" s="5"/>
      <c r="E760" s="5"/>
      <c r="F760" s="5"/>
      <c r="G760" s="5"/>
      <c r="H760" s="5"/>
      <c r="I760" s="5"/>
      <c r="J760" s="5"/>
      <c r="K760" s="5"/>
      <c r="L760" s="5"/>
      <c r="M760" s="5"/>
      <c r="N760" s="5"/>
      <c r="O760" s="5"/>
      <c r="P760" s="5"/>
      <c r="Q760" s="5"/>
      <c r="R760" s="5"/>
    </row>
    <row r="761" ht="15.75" customHeight="1">
      <c r="A761" s="5"/>
      <c r="B761" s="5"/>
      <c r="C761" s="5"/>
      <c r="D761" s="5"/>
      <c r="E761" s="5"/>
      <c r="F761" s="5"/>
      <c r="G761" s="5"/>
      <c r="H761" s="5"/>
      <c r="I761" s="5"/>
      <c r="J761" s="5"/>
      <c r="K761" s="5"/>
      <c r="L761" s="5"/>
      <c r="M761" s="5"/>
      <c r="N761" s="5"/>
      <c r="O761" s="5"/>
      <c r="P761" s="5"/>
      <c r="Q761" s="5"/>
      <c r="R761" s="5"/>
    </row>
    <row r="762" ht="15.75" customHeight="1">
      <c r="A762" s="5"/>
      <c r="B762" s="5"/>
      <c r="C762" s="5"/>
      <c r="D762" s="5"/>
      <c r="E762" s="5"/>
      <c r="F762" s="5"/>
      <c r="G762" s="5"/>
      <c r="H762" s="5"/>
      <c r="I762" s="5"/>
      <c r="J762" s="5"/>
      <c r="K762" s="5"/>
      <c r="L762" s="5"/>
      <c r="M762" s="5"/>
      <c r="N762" s="5"/>
      <c r="O762" s="5"/>
      <c r="P762" s="5"/>
      <c r="Q762" s="5"/>
      <c r="R762" s="5"/>
    </row>
    <row r="763" ht="15.75" customHeight="1">
      <c r="A763" s="5"/>
      <c r="B763" s="5"/>
      <c r="C763" s="5"/>
      <c r="D763" s="5"/>
      <c r="E763" s="5"/>
      <c r="F763" s="5"/>
      <c r="G763" s="5"/>
      <c r="H763" s="5"/>
      <c r="I763" s="5"/>
      <c r="J763" s="5"/>
      <c r="K763" s="5"/>
      <c r="L763" s="5"/>
      <c r="M763" s="5"/>
      <c r="N763" s="5"/>
      <c r="O763" s="5"/>
      <c r="P763" s="5"/>
      <c r="Q763" s="5"/>
      <c r="R763" s="5"/>
    </row>
    <row r="764" ht="15.75" customHeight="1">
      <c r="A764" s="5"/>
      <c r="B764" s="5"/>
      <c r="C764" s="5"/>
      <c r="D764" s="5"/>
      <c r="E764" s="5"/>
      <c r="F764" s="5"/>
      <c r="G764" s="5"/>
      <c r="H764" s="5"/>
      <c r="I764" s="5"/>
      <c r="J764" s="5"/>
      <c r="K764" s="5"/>
      <c r="L764" s="5"/>
      <c r="M764" s="5"/>
      <c r="N764" s="5"/>
      <c r="O764" s="5"/>
      <c r="P764" s="5"/>
      <c r="Q764" s="5"/>
      <c r="R764" s="5"/>
    </row>
    <row r="765" ht="15.75" customHeight="1">
      <c r="A765" s="5"/>
      <c r="B765" s="5"/>
      <c r="C765" s="5"/>
      <c r="D765" s="5"/>
      <c r="E765" s="5"/>
      <c r="F765" s="5"/>
      <c r="G765" s="5"/>
      <c r="H765" s="5"/>
      <c r="I765" s="5"/>
      <c r="J765" s="5"/>
      <c r="K765" s="5"/>
      <c r="L765" s="5"/>
      <c r="M765" s="5"/>
      <c r="N765" s="5"/>
      <c r="O765" s="5"/>
      <c r="P765" s="5"/>
      <c r="Q765" s="5"/>
      <c r="R765" s="5"/>
    </row>
    <row r="766" ht="15.75" customHeight="1">
      <c r="A766" s="5"/>
      <c r="B766" s="5"/>
      <c r="C766" s="5"/>
      <c r="D766" s="5"/>
      <c r="E766" s="5"/>
      <c r="F766" s="5"/>
      <c r="G766" s="5"/>
      <c r="H766" s="5"/>
      <c r="I766" s="5"/>
      <c r="J766" s="5"/>
      <c r="K766" s="5"/>
      <c r="L766" s="5"/>
      <c r="M766" s="5"/>
      <c r="N766" s="5"/>
      <c r="O766" s="5"/>
      <c r="P766" s="5"/>
      <c r="Q766" s="5"/>
      <c r="R766" s="5"/>
    </row>
    <row r="767" ht="15.75" customHeight="1">
      <c r="A767" s="5"/>
      <c r="B767" s="5"/>
      <c r="C767" s="5"/>
      <c r="D767" s="5"/>
      <c r="E767" s="5"/>
      <c r="F767" s="5"/>
      <c r="G767" s="5"/>
      <c r="H767" s="5"/>
      <c r="I767" s="5"/>
      <c r="J767" s="5"/>
      <c r="K767" s="5"/>
      <c r="L767" s="5"/>
      <c r="M767" s="5"/>
      <c r="N767" s="5"/>
      <c r="O767" s="5"/>
      <c r="P767" s="5"/>
      <c r="Q767" s="5"/>
      <c r="R767" s="5"/>
    </row>
    <row r="768" ht="15.75" customHeight="1">
      <c r="A768" s="5"/>
      <c r="B768" s="5"/>
      <c r="C768" s="5"/>
      <c r="D768" s="5"/>
      <c r="E768" s="5"/>
      <c r="F768" s="5"/>
      <c r="G768" s="5"/>
      <c r="H768" s="5"/>
      <c r="I768" s="5"/>
      <c r="J768" s="5"/>
      <c r="K768" s="5"/>
      <c r="L768" s="5"/>
      <c r="M768" s="5"/>
      <c r="N768" s="5"/>
      <c r="O768" s="5"/>
      <c r="P768" s="5"/>
      <c r="Q768" s="5"/>
      <c r="R768" s="5"/>
    </row>
    <row r="769" ht="15.75" customHeight="1">
      <c r="A769" s="5"/>
      <c r="B769" s="5"/>
      <c r="C769" s="5"/>
      <c r="D769" s="5"/>
      <c r="E769" s="5"/>
      <c r="F769" s="5"/>
      <c r="G769" s="5"/>
      <c r="H769" s="5"/>
      <c r="I769" s="5"/>
      <c r="J769" s="5"/>
      <c r="K769" s="5"/>
      <c r="L769" s="5"/>
      <c r="M769" s="5"/>
      <c r="N769" s="5"/>
      <c r="O769" s="5"/>
      <c r="P769" s="5"/>
      <c r="Q769" s="5"/>
      <c r="R769" s="5"/>
    </row>
    <row r="770" ht="15.75" customHeight="1">
      <c r="A770" s="5"/>
      <c r="B770" s="5"/>
      <c r="C770" s="5"/>
      <c r="D770" s="5"/>
      <c r="E770" s="5"/>
      <c r="F770" s="5"/>
      <c r="G770" s="5"/>
      <c r="H770" s="5"/>
      <c r="I770" s="5"/>
      <c r="J770" s="5"/>
      <c r="K770" s="5"/>
      <c r="L770" s="5"/>
      <c r="M770" s="5"/>
      <c r="N770" s="5"/>
      <c r="O770" s="5"/>
      <c r="P770" s="5"/>
      <c r="Q770" s="5"/>
      <c r="R770" s="5"/>
    </row>
    <row r="771" ht="15.75" customHeight="1">
      <c r="A771" s="5"/>
      <c r="B771" s="5"/>
      <c r="C771" s="5"/>
      <c r="D771" s="5"/>
      <c r="E771" s="5"/>
      <c r="F771" s="5"/>
      <c r="G771" s="5"/>
      <c r="H771" s="5"/>
      <c r="I771" s="5"/>
      <c r="J771" s="5"/>
      <c r="K771" s="5"/>
      <c r="L771" s="5"/>
      <c r="M771" s="5"/>
      <c r="N771" s="5"/>
      <c r="O771" s="5"/>
      <c r="P771" s="5"/>
      <c r="Q771" s="5"/>
      <c r="R771" s="5"/>
    </row>
    <row r="772" ht="15.75" customHeight="1">
      <c r="A772" s="5"/>
      <c r="B772" s="5"/>
      <c r="C772" s="5"/>
      <c r="D772" s="5"/>
      <c r="E772" s="5"/>
      <c r="F772" s="5"/>
      <c r="G772" s="5"/>
      <c r="H772" s="5"/>
      <c r="I772" s="5"/>
      <c r="J772" s="5"/>
      <c r="K772" s="5"/>
      <c r="L772" s="5"/>
      <c r="M772" s="5"/>
      <c r="N772" s="5"/>
      <c r="O772" s="5"/>
      <c r="P772" s="5"/>
      <c r="Q772" s="5"/>
      <c r="R772" s="5"/>
    </row>
    <row r="773" ht="15.75" customHeight="1">
      <c r="A773" s="5"/>
      <c r="B773" s="5"/>
      <c r="C773" s="5"/>
      <c r="D773" s="5"/>
      <c r="E773" s="5"/>
      <c r="F773" s="5"/>
      <c r="G773" s="5"/>
      <c r="H773" s="5"/>
      <c r="I773" s="5"/>
      <c r="J773" s="5"/>
      <c r="K773" s="5"/>
      <c r="L773" s="5"/>
      <c r="M773" s="5"/>
      <c r="N773" s="5"/>
      <c r="O773" s="5"/>
      <c r="P773" s="5"/>
      <c r="Q773" s="5"/>
      <c r="R773" s="5"/>
    </row>
    <row r="774" ht="15.75" customHeight="1">
      <c r="A774" s="5"/>
      <c r="B774" s="5"/>
      <c r="C774" s="5"/>
      <c r="D774" s="5"/>
      <c r="E774" s="5"/>
      <c r="F774" s="5"/>
      <c r="G774" s="5"/>
      <c r="H774" s="5"/>
      <c r="I774" s="5"/>
      <c r="J774" s="5"/>
      <c r="K774" s="5"/>
      <c r="L774" s="5"/>
      <c r="M774" s="5"/>
      <c r="N774" s="5"/>
      <c r="O774" s="5"/>
      <c r="P774" s="5"/>
      <c r="Q774" s="5"/>
      <c r="R774" s="5"/>
    </row>
    <row r="775" ht="15.75" customHeight="1">
      <c r="A775" s="5"/>
      <c r="B775" s="5"/>
      <c r="C775" s="5"/>
      <c r="D775" s="5"/>
      <c r="E775" s="5"/>
      <c r="F775" s="5"/>
      <c r="G775" s="5"/>
      <c r="H775" s="5"/>
      <c r="I775" s="5"/>
      <c r="J775" s="5"/>
      <c r="K775" s="5"/>
      <c r="L775" s="5"/>
      <c r="M775" s="5"/>
      <c r="N775" s="5"/>
      <c r="O775" s="5"/>
      <c r="P775" s="5"/>
      <c r="Q775" s="5"/>
      <c r="R775" s="5"/>
    </row>
    <row r="776" ht="15.75" customHeight="1">
      <c r="A776" s="5"/>
      <c r="B776" s="5"/>
      <c r="C776" s="5"/>
      <c r="D776" s="5"/>
      <c r="E776" s="5"/>
      <c r="F776" s="5"/>
      <c r="G776" s="5"/>
      <c r="H776" s="5"/>
      <c r="I776" s="5"/>
      <c r="J776" s="5"/>
      <c r="K776" s="5"/>
      <c r="L776" s="5"/>
      <c r="M776" s="5"/>
      <c r="N776" s="5"/>
      <c r="O776" s="5"/>
      <c r="P776" s="5"/>
      <c r="Q776" s="5"/>
      <c r="R776" s="5"/>
    </row>
    <row r="777" ht="15.75" customHeight="1">
      <c r="A777" s="5"/>
      <c r="B777" s="5"/>
      <c r="C777" s="5"/>
      <c r="D777" s="5"/>
      <c r="E777" s="5"/>
      <c r="F777" s="5"/>
      <c r="G777" s="5"/>
      <c r="H777" s="5"/>
      <c r="I777" s="5"/>
      <c r="J777" s="5"/>
      <c r="K777" s="5"/>
      <c r="L777" s="5"/>
      <c r="M777" s="5"/>
      <c r="N777" s="5"/>
      <c r="O777" s="5"/>
      <c r="P777" s="5"/>
      <c r="Q777" s="5"/>
      <c r="R777" s="5"/>
    </row>
    <row r="778" ht="15.75" customHeight="1">
      <c r="A778" s="5"/>
      <c r="B778" s="5"/>
      <c r="C778" s="5"/>
      <c r="D778" s="5"/>
      <c r="E778" s="5"/>
      <c r="F778" s="5"/>
      <c r="G778" s="5"/>
      <c r="H778" s="5"/>
      <c r="I778" s="5"/>
      <c r="J778" s="5"/>
      <c r="K778" s="5"/>
      <c r="L778" s="5"/>
      <c r="M778" s="5"/>
      <c r="N778" s="5"/>
      <c r="O778" s="5"/>
      <c r="P778" s="5"/>
      <c r="Q778" s="5"/>
      <c r="R778" s="5"/>
    </row>
    <row r="779" ht="15.75" customHeight="1">
      <c r="A779" s="5"/>
      <c r="B779" s="5"/>
      <c r="C779" s="5"/>
      <c r="D779" s="5"/>
      <c r="E779" s="5"/>
      <c r="F779" s="5"/>
      <c r="G779" s="5"/>
      <c r="H779" s="5"/>
      <c r="I779" s="5"/>
      <c r="J779" s="5"/>
      <c r="K779" s="5"/>
      <c r="L779" s="5"/>
      <c r="M779" s="5"/>
      <c r="N779" s="5"/>
      <c r="O779" s="5"/>
      <c r="P779" s="5"/>
      <c r="Q779" s="5"/>
      <c r="R779" s="5"/>
    </row>
    <row r="780" ht="15.75" customHeight="1">
      <c r="A780" s="5"/>
      <c r="B780" s="5"/>
      <c r="C780" s="5"/>
      <c r="D780" s="5"/>
      <c r="E780" s="5"/>
      <c r="F780" s="5"/>
      <c r="G780" s="5"/>
      <c r="H780" s="5"/>
      <c r="I780" s="5"/>
      <c r="J780" s="5"/>
      <c r="K780" s="5"/>
      <c r="L780" s="5"/>
      <c r="M780" s="5"/>
      <c r="N780" s="5"/>
      <c r="O780" s="5"/>
      <c r="P780" s="5"/>
      <c r="Q780" s="5"/>
      <c r="R780" s="5"/>
    </row>
    <row r="781" ht="15.75" customHeight="1">
      <c r="A781" s="5"/>
      <c r="B781" s="5"/>
      <c r="C781" s="5"/>
      <c r="D781" s="5"/>
      <c r="E781" s="5"/>
      <c r="F781" s="5"/>
      <c r="G781" s="5"/>
      <c r="H781" s="5"/>
      <c r="I781" s="5"/>
      <c r="J781" s="5"/>
      <c r="K781" s="5"/>
      <c r="L781" s="5"/>
      <c r="M781" s="5"/>
      <c r="N781" s="5"/>
      <c r="O781" s="5"/>
      <c r="P781" s="5"/>
      <c r="Q781" s="5"/>
      <c r="R781" s="5"/>
    </row>
    <row r="782" ht="15.75" customHeight="1">
      <c r="A782" s="5"/>
      <c r="B782" s="5"/>
      <c r="C782" s="5"/>
      <c r="D782" s="5"/>
      <c r="E782" s="5"/>
      <c r="F782" s="5"/>
      <c r="G782" s="5"/>
      <c r="H782" s="5"/>
      <c r="I782" s="5"/>
      <c r="J782" s="5"/>
      <c r="K782" s="5"/>
      <c r="L782" s="5"/>
      <c r="M782" s="5"/>
      <c r="N782" s="5"/>
      <c r="O782" s="5"/>
      <c r="P782" s="5"/>
      <c r="Q782" s="5"/>
      <c r="R782" s="5"/>
    </row>
    <row r="783" ht="15.75" customHeight="1">
      <c r="A783" s="5"/>
      <c r="B783" s="5"/>
      <c r="C783" s="5"/>
      <c r="D783" s="5"/>
      <c r="E783" s="5"/>
      <c r="F783" s="5"/>
      <c r="G783" s="5"/>
      <c r="H783" s="5"/>
      <c r="I783" s="5"/>
      <c r="J783" s="5"/>
      <c r="K783" s="5"/>
      <c r="L783" s="5"/>
      <c r="M783" s="5"/>
      <c r="N783" s="5"/>
      <c r="O783" s="5"/>
      <c r="P783" s="5"/>
      <c r="Q783" s="5"/>
      <c r="R783" s="5"/>
    </row>
    <row r="784" ht="15.75" customHeight="1">
      <c r="A784" s="5"/>
      <c r="B784" s="5"/>
      <c r="C784" s="5"/>
      <c r="D784" s="5"/>
      <c r="E784" s="5"/>
      <c r="F784" s="5"/>
      <c r="G784" s="5"/>
      <c r="H784" s="5"/>
      <c r="I784" s="5"/>
      <c r="J784" s="5"/>
      <c r="K784" s="5"/>
      <c r="L784" s="5"/>
      <c r="M784" s="5"/>
      <c r="N784" s="5"/>
      <c r="O784" s="5"/>
      <c r="P784" s="5"/>
      <c r="Q784" s="5"/>
      <c r="R784" s="5"/>
    </row>
    <row r="785" ht="15.75" customHeight="1">
      <c r="A785" s="5"/>
      <c r="B785" s="5"/>
      <c r="C785" s="5"/>
      <c r="D785" s="5"/>
      <c r="E785" s="5"/>
      <c r="F785" s="5"/>
      <c r="G785" s="5"/>
      <c r="H785" s="5"/>
      <c r="I785" s="5"/>
      <c r="J785" s="5"/>
      <c r="K785" s="5"/>
      <c r="L785" s="5"/>
      <c r="M785" s="5"/>
      <c r="N785" s="5"/>
      <c r="O785" s="5"/>
      <c r="P785" s="5"/>
      <c r="Q785" s="5"/>
      <c r="R785" s="5"/>
    </row>
    <row r="786" ht="15.75" customHeight="1">
      <c r="A786" s="5"/>
      <c r="B786" s="5"/>
      <c r="C786" s="5"/>
      <c r="D786" s="5"/>
      <c r="E786" s="5"/>
      <c r="F786" s="5"/>
      <c r="G786" s="5"/>
      <c r="H786" s="5"/>
      <c r="I786" s="5"/>
      <c r="J786" s="5"/>
      <c r="K786" s="5"/>
      <c r="L786" s="5"/>
      <c r="M786" s="5"/>
      <c r="N786" s="5"/>
      <c r="O786" s="5"/>
      <c r="P786" s="5"/>
      <c r="Q786" s="5"/>
      <c r="R786" s="5"/>
    </row>
    <row r="787" ht="15.75" customHeight="1">
      <c r="A787" s="5"/>
      <c r="B787" s="5"/>
      <c r="C787" s="5"/>
      <c r="D787" s="5"/>
      <c r="E787" s="5"/>
      <c r="F787" s="5"/>
      <c r="G787" s="5"/>
      <c r="H787" s="5"/>
      <c r="I787" s="5"/>
      <c r="J787" s="5"/>
      <c r="K787" s="5"/>
      <c r="L787" s="5"/>
      <c r="M787" s="5"/>
      <c r="N787" s="5"/>
      <c r="O787" s="5"/>
      <c r="P787" s="5"/>
      <c r="Q787" s="5"/>
      <c r="R787" s="5"/>
    </row>
    <row r="788" ht="15.75" customHeight="1">
      <c r="A788" s="5"/>
      <c r="B788" s="5"/>
      <c r="C788" s="5"/>
      <c r="D788" s="5"/>
      <c r="E788" s="5"/>
      <c r="F788" s="5"/>
      <c r="G788" s="5"/>
      <c r="H788" s="5"/>
      <c r="I788" s="5"/>
      <c r="J788" s="5"/>
      <c r="K788" s="5"/>
      <c r="L788" s="5"/>
      <c r="M788" s="5"/>
      <c r="N788" s="5"/>
      <c r="O788" s="5"/>
      <c r="P788" s="5"/>
      <c r="Q788" s="5"/>
      <c r="R788" s="5"/>
    </row>
    <row r="789" ht="15.75" customHeight="1">
      <c r="A789" s="5"/>
      <c r="B789" s="5"/>
      <c r="C789" s="5"/>
      <c r="D789" s="5"/>
      <c r="E789" s="5"/>
      <c r="F789" s="5"/>
      <c r="G789" s="5"/>
      <c r="H789" s="5"/>
      <c r="I789" s="5"/>
      <c r="J789" s="5"/>
      <c r="K789" s="5"/>
      <c r="L789" s="5"/>
      <c r="M789" s="5"/>
      <c r="N789" s="5"/>
      <c r="O789" s="5"/>
      <c r="P789" s="5"/>
      <c r="Q789" s="5"/>
      <c r="R789" s="5"/>
    </row>
    <row r="790" ht="15.75" customHeight="1">
      <c r="A790" s="5"/>
      <c r="B790" s="5"/>
      <c r="C790" s="5"/>
      <c r="D790" s="5"/>
      <c r="E790" s="5"/>
      <c r="F790" s="5"/>
      <c r="G790" s="5"/>
      <c r="H790" s="5"/>
      <c r="I790" s="5"/>
      <c r="J790" s="5"/>
      <c r="K790" s="5"/>
      <c r="L790" s="5"/>
      <c r="M790" s="5"/>
      <c r="N790" s="5"/>
      <c r="O790" s="5"/>
      <c r="P790" s="5"/>
      <c r="Q790" s="5"/>
      <c r="R790" s="5"/>
    </row>
    <row r="791" ht="15.75" customHeight="1">
      <c r="A791" s="5"/>
      <c r="B791" s="5"/>
      <c r="C791" s="5"/>
      <c r="D791" s="5"/>
      <c r="E791" s="5"/>
      <c r="F791" s="5"/>
      <c r="G791" s="5"/>
      <c r="H791" s="5"/>
      <c r="I791" s="5"/>
      <c r="J791" s="5"/>
      <c r="K791" s="5"/>
      <c r="L791" s="5"/>
      <c r="M791" s="5"/>
      <c r="N791" s="5"/>
      <c r="O791" s="5"/>
      <c r="P791" s="5"/>
      <c r="Q791" s="5"/>
      <c r="R791" s="5"/>
    </row>
    <row r="792" ht="15.75" customHeight="1">
      <c r="A792" s="5"/>
      <c r="B792" s="5"/>
      <c r="C792" s="5"/>
      <c r="D792" s="5"/>
      <c r="E792" s="5"/>
      <c r="F792" s="5"/>
      <c r="G792" s="5"/>
      <c r="H792" s="5"/>
      <c r="I792" s="5"/>
      <c r="J792" s="5"/>
      <c r="K792" s="5"/>
      <c r="L792" s="5"/>
      <c r="M792" s="5"/>
      <c r="N792" s="5"/>
      <c r="O792" s="5"/>
      <c r="P792" s="5"/>
      <c r="Q792" s="5"/>
      <c r="R792" s="5"/>
    </row>
    <row r="793" ht="15.75" customHeight="1">
      <c r="A793" s="5"/>
      <c r="B793" s="5"/>
      <c r="C793" s="5"/>
      <c r="D793" s="5"/>
      <c r="E793" s="5"/>
      <c r="F793" s="5"/>
      <c r="G793" s="5"/>
      <c r="H793" s="5"/>
      <c r="I793" s="5"/>
      <c r="J793" s="5"/>
      <c r="K793" s="5"/>
      <c r="L793" s="5"/>
      <c r="M793" s="5"/>
      <c r="N793" s="5"/>
      <c r="O793" s="5"/>
      <c r="P793" s="5"/>
      <c r="Q793" s="5"/>
      <c r="R793" s="5"/>
    </row>
    <row r="794" ht="15.75" customHeight="1">
      <c r="A794" s="5"/>
      <c r="B794" s="5"/>
      <c r="C794" s="5"/>
      <c r="D794" s="5"/>
      <c r="E794" s="5"/>
      <c r="F794" s="5"/>
      <c r="G794" s="5"/>
      <c r="H794" s="5"/>
      <c r="I794" s="5"/>
      <c r="J794" s="5"/>
      <c r="K794" s="5"/>
      <c r="L794" s="5"/>
      <c r="M794" s="5"/>
      <c r="N794" s="5"/>
      <c r="O794" s="5"/>
      <c r="P794" s="5"/>
      <c r="Q794" s="5"/>
      <c r="R794" s="5"/>
    </row>
    <row r="795" ht="15.75" customHeight="1">
      <c r="A795" s="5"/>
      <c r="B795" s="5"/>
      <c r="C795" s="5"/>
      <c r="D795" s="5"/>
      <c r="E795" s="5"/>
      <c r="F795" s="5"/>
      <c r="G795" s="5"/>
      <c r="H795" s="5"/>
      <c r="I795" s="5"/>
      <c r="J795" s="5"/>
      <c r="K795" s="5"/>
      <c r="L795" s="5"/>
      <c r="M795" s="5"/>
      <c r="N795" s="5"/>
      <c r="O795" s="5"/>
      <c r="P795" s="5"/>
      <c r="Q795" s="5"/>
      <c r="R795" s="5"/>
    </row>
    <row r="796" ht="15.75" customHeight="1">
      <c r="A796" s="5"/>
      <c r="B796" s="5"/>
      <c r="C796" s="5"/>
      <c r="D796" s="5"/>
      <c r="E796" s="5"/>
      <c r="F796" s="5"/>
      <c r="G796" s="5"/>
      <c r="H796" s="5"/>
      <c r="I796" s="5"/>
      <c r="J796" s="5"/>
      <c r="K796" s="5"/>
      <c r="L796" s="5"/>
      <c r="M796" s="5"/>
      <c r="N796" s="5"/>
      <c r="O796" s="5"/>
      <c r="P796" s="5"/>
      <c r="Q796" s="5"/>
      <c r="R796" s="5"/>
    </row>
    <row r="797" ht="15.75" customHeight="1">
      <c r="A797" s="5"/>
      <c r="B797" s="5"/>
      <c r="C797" s="5"/>
      <c r="D797" s="5"/>
      <c r="E797" s="5"/>
      <c r="F797" s="5"/>
      <c r="G797" s="5"/>
      <c r="H797" s="5"/>
      <c r="I797" s="5"/>
      <c r="J797" s="5"/>
      <c r="K797" s="5"/>
      <c r="L797" s="5"/>
      <c r="M797" s="5"/>
      <c r="N797" s="5"/>
      <c r="O797" s="5"/>
      <c r="P797" s="5"/>
      <c r="Q797" s="5"/>
      <c r="R797" s="5"/>
    </row>
    <row r="798" ht="15.75" customHeight="1">
      <c r="A798" s="5"/>
      <c r="B798" s="5"/>
      <c r="C798" s="5"/>
      <c r="D798" s="5"/>
      <c r="E798" s="5"/>
      <c r="F798" s="5"/>
      <c r="G798" s="5"/>
      <c r="H798" s="5"/>
      <c r="I798" s="5"/>
      <c r="J798" s="5"/>
      <c r="K798" s="5"/>
      <c r="L798" s="5"/>
      <c r="M798" s="5"/>
      <c r="N798" s="5"/>
      <c r="O798" s="5"/>
      <c r="P798" s="5"/>
      <c r="Q798" s="5"/>
      <c r="R798" s="5"/>
    </row>
    <row r="799" ht="15.75" customHeight="1">
      <c r="A799" s="5"/>
      <c r="B799" s="5"/>
      <c r="C799" s="5"/>
      <c r="D799" s="5"/>
      <c r="E799" s="5"/>
      <c r="F799" s="5"/>
      <c r="G799" s="5"/>
      <c r="H799" s="5"/>
      <c r="I799" s="5"/>
      <c r="J799" s="5"/>
      <c r="K799" s="5"/>
      <c r="L799" s="5"/>
      <c r="M799" s="5"/>
      <c r="N799" s="5"/>
      <c r="O799" s="5"/>
      <c r="P799" s="5"/>
      <c r="Q799" s="5"/>
      <c r="R799" s="5"/>
    </row>
    <row r="800" ht="15.75" customHeight="1">
      <c r="A800" s="5"/>
      <c r="B800" s="5"/>
      <c r="C800" s="5"/>
      <c r="D800" s="5"/>
      <c r="E800" s="5"/>
      <c r="F800" s="5"/>
      <c r="G800" s="5"/>
      <c r="H800" s="5"/>
      <c r="I800" s="5"/>
      <c r="J800" s="5"/>
      <c r="K800" s="5"/>
      <c r="L800" s="5"/>
      <c r="M800" s="5"/>
      <c r="N800" s="5"/>
      <c r="O800" s="5"/>
      <c r="P800" s="5"/>
      <c r="Q800" s="5"/>
      <c r="R800" s="5"/>
    </row>
    <row r="801" ht="15.75" customHeight="1">
      <c r="A801" s="5"/>
      <c r="B801" s="5"/>
      <c r="C801" s="5"/>
      <c r="D801" s="5"/>
      <c r="E801" s="5"/>
      <c r="F801" s="5"/>
      <c r="G801" s="5"/>
      <c r="H801" s="5"/>
      <c r="I801" s="5"/>
      <c r="J801" s="5"/>
      <c r="K801" s="5"/>
      <c r="L801" s="5"/>
      <c r="M801" s="5"/>
      <c r="N801" s="5"/>
      <c r="O801" s="5"/>
      <c r="P801" s="5"/>
      <c r="Q801" s="5"/>
      <c r="R801" s="5"/>
    </row>
    <row r="802" ht="15.75" customHeight="1">
      <c r="A802" s="5"/>
      <c r="B802" s="5"/>
      <c r="C802" s="5"/>
      <c r="D802" s="5"/>
      <c r="E802" s="5"/>
      <c r="F802" s="5"/>
      <c r="G802" s="5"/>
      <c r="H802" s="5"/>
      <c r="I802" s="5"/>
      <c r="J802" s="5"/>
      <c r="K802" s="5"/>
      <c r="L802" s="5"/>
      <c r="M802" s="5"/>
      <c r="N802" s="5"/>
      <c r="O802" s="5"/>
      <c r="P802" s="5"/>
      <c r="Q802" s="5"/>
      <c r="R802" s="5"/>
    </row>
    <row r="803" ht="15.75" customHeight="1">
      <c r="A803" s="5"/>
      <c r="B803" s="5"/>
      <c r="C803" s="5"/>
      <c r="D803" s="5"/>
      <c r="E803" s="5"/>
      <c r="F803" s="5"/>
      <c r="G803" s="5"/>
      <c r="H803" s="5"/>
      <c r="I803" s="5"/>
      <c r="J803" s="5"/>
      <c r="K803" s="5"/>
      <c r="L803" s="5"/>
      <c r="M803" s="5"/>
      <c r="N803" s="5"/>
      <c r="O803" s="5"/>
      <c r="P803" s="5"/>
      <c r="Q803" s="5"/>
      <c r="R803" s="5"/>
    </row>
    <row r="804" ht="15.75" customHeight="1">
      <c r="A804" s="5"/>
      <c r="B804" s="5"/>
      <c r="C804" s="5"/>
      <c r="D804" s="5"/>
      <c r="E804" s="5"/>
      <c r="F804" s="5"/>
      <c r="G804" s="5"/>
      <c r="H804" s="5"/>
      <c r="I804" s="5"/>
      <c r="J804" s="5"/>
      <c r="K804" s="5"/>
      <c r="L804" s="5"/>
      <c r="M804" s="5"/>
      <c r="N804" s="5"/>
      <c r="O804" s="5"/>
      <c r="P804" s="5"/>
      <c r="Q804" s="5"/>
      <c r="R804" s="5"/>
    </row>
    <row r="805" ht="15.75" customHeight="1">
      <c r="A805" s="5"/>
      <c r="B805" s="5"/>
      <c r="C805" s="5"/>
      <c r="D805" s="5"/>
      <c r="E805" s="5"/>
      <c r="F805" s="5"/>
      <c r="G805" s="5"/>
      <c r="H805" s="5"/>
      <c r="I805" s="5"/>
      <c r="J805" s="5"/>
      <c r="K805" s="5"/>
      <c r="L805" s="5"/>
      <c r="M805" s="5"/>
      <c r="N805" s="5"/>
      <c r="O805" s="5"/>
      <c r="P805" s="5"/>
      <c r="Q805" s="5"/>
      <c r="R805" s="5"/>
    </row>
    <row r="806" ht="15.75" customHeight="1">
      <c r="A806" s="5"/>
      <c r="B806" s="5"/>
      <c r="C806" s="5"/>
      <c r="D806" s="5"/>
      <c r="E806" s="5"/>
      <c r="F806" s="5"/>
      <c r="G806" s="5"/>
      <c r="H806" s="5"/>
      <c r="I806" s="5"/>
      <c r="J806" s="5"/>
      <c r="K806" s="5"/>
      <c r="L806" s="5"/>
      <c r="M806" s="5"/>
      <c r="N806" s="5"/>
      <c r="O806" s="5"/>
      <c r="P806" s="5"/>
      <c r="Q806" s="5"/>
      <c r="R806" s="5"/>
    </row>
    <row r="807" ht="15.75" customHeight="1">
      <c r="A807" s="5"/>
      <c r="B807" s="5"/>
      <c r="C807" s="5"/>
      <c r="D807" s="5"/>
      <c r="E807" s="5"/>
      <c r="F807" s="5"/>
      <c r="G807" s="5"/>
      <c r="H807" s="5"/>
      <c r="I807" s="5"/>
      <c r="J807" s="5"/>
      <c r="K807" s="5"/>
      <c r="L807" s="5"/>
      <c r="M807" s="5"/>
      <c r="N807" s="5"/>
      <c r="O807" s="5"/>
      <c r="P807" s="5"/>
      <c r="Q807" s="5"/>
      <c r="R807" s="5"/>
    </row>
    <row r="808" ht="15.75" customHeight="1">
      <c r="A808" s="5"/>
      <c r="B808" s="5"/>
      <c r="C808" s="5"/>
      <c r="D808" s="5"/>
      <c r="E808" s="5"/>
      <c r="F808" s="5"/>
      <c r="G808" s="5"/>
      <c r="H808" s="5"/>
      <c r="I808" s="5"/>
      <c r="J808" s="5"/>
      <c r="K808" s="5"/>
      <c r="L808" s="5"/>
      <c r="M808" s="5"/>
      <c r="N808" s="5"/>
      <c r="O808" s="5"/>
      <c r="P808" s="5"/>
      <c r="Q808" s="5"/>
      <c r="R808" s="5"/>
    </row>
    <row r="809" ht="15.75" customHeight="1">
      <c r="A809" s="5"/>
      <c r="B809" s="5"/>
      <c r="C809" s="5"/>
      <c r="D809" s="5"/>
      <c r="E809" s="5"/>
      <c r="F809" s="5"/>
      <c r="G809" s="5"/>
      <c r="H809" s="5"/>
      <c r="I809" s="5"/>
      <c r="J809" s="5"/>
      <c r="K809" s="5"/>
      <c r="L809" s="5"/>
      <c r="M809" s="5"/>
      <c r="N809" s="5"/>
      <c r="O809" s="5"/>
      <c r="P809" s="5"/>
      <c r="Q809" s="5"/>
      <c r="R809" s="5"/>
    </row>
    <row r="810" ht="15.75" customHeight="1">
      <c r="A810" s="5"/>
      <c r="B810" s="5"/>
      <c r="C810" s="5"/>
      <c r="D810" s="5"/>
      <c r="E810" s="5"/>
      <c r="F810" s="5"/>
      <c r="G810" s="5"/>
      <c r="H810" s="5"/>
      <c r="I810" s="5"/>
      <c r="J810" s="5"/>
      <c r="K810" s="5"/>
      <c r="L810" s="5"/>
      <c r="M810" s="5"/>
      <c r="N810" s="5"/>
      <c r="O810" s="5"/>
      <c r="P810" s="5"/>
      <c r="Q810" s="5"/>
      <c r="R810" s="5"/>
    </row>
    <row r="811" ht="15.75" customHeight="1">
      <c r="A811" s="5"/>
      <c r="B811" s="5"/>
      <c r="C811" s="5"/>
      <c r="D811" s="5"/>
      <c r="E811" s="5"/>
      <c r="F811" s="5"/>
      <c r="G811" s="5"/>
      <c r="H811" s="5"/>
      <c r="I811" s="5"/>
      <c r="J811" s="5"/>
      <c r="K811" s="5"/>
      <c r="L811" s="5"/>
      <c r="M811" s="5"/>
      <c r="N811" s="5"/>
      <c r="O811" s="5"/>
      <c r="P811" s="5"/>
      <c r="Q811" s="5"/>
      <c r="R811" s="5"/>
    </row>
    <row r="812" ht="15.75" customHeight="1">
      <c r="A812" s="5"/>
      <c r="B812" s="5"/>
      <c r="C812" s="5"/>
      <c r="D812" s="5"/>
      <c r="E812" s="5"/>
      <c r="F812" s="5"/>
      <c r="G812" s="5"/>
      <c r="H812" s="5"/>
      <c r="I812" s="5"/>
      <c r="J812" s="5"/>
      <c r="K812" s="5"/>
      <c r="L812" s="5"/>
      <c r="M812" s="5"/>
      <c r="N812" s="5"/>
      <c r="O812" s="5"/>
      <c r="P812" s="5"/>
      <c r="Q812" s="5"/>
      <c r="R812" s="5"/>
    </row>
    <row r="813" ht="15.75" customHeight="1">
      <c r="A813" s="5"/>
      <c r="B813" s="5"/>
      <c r="C813" s="5"/>
      <c r="D813" s="5"/>
      <c r="E813" s="5"/>
      <c r="F813" s="5"/>
      <c r="G813" s="5"/>
      <c r="H813" s="5"/>
      <c r="I813" s="5"/>
      <c r="J813" s="5"/>
      <c r="K813" s="5"/>
      <c r="L813" s="5"/>
      <c r="M813" s="5"/>
      <c r="N813" s="5"/>
      <c r="O813" s="5"/>
      <c r="P813" s="5"/>
      <c r="Q813" s="5"/>
      <c r="R813" s="5"/>
    </row>
    <row r="814" ht="15.75" customHeight="1">
      <c r="A814" s="5"/>
      <c r="B814" s="5"/>
      <c r="C814" s="5"/>
      <c r="D814" s="5"/>
      <c r="E814" s="5"/>
      <c r="F814" s="5"/>
      <c r="G814" s="5"/>
      <c r="H814" s="5"/>
      <c r="I814" s="5"/>
      <c r="J814" s="5"/>
      <c r="K814" s="5"/>
      <c r="L814" s="5"/>
      <c r="M814" s="5"/>
      <c r="N814" s="5"/>
      <c r="O814" s="5"/>
      <c r="P814" s="5"/>
      <c r="Q814" s="5"/>
      <c r="R814" s="5"/>
    </row>
    <row r="815" ht="15.75" customHeight="1">
      <c r="A815" s="5"/>
      <c r="B815" s="5"/>
      <c r="C815" s="5"/>
      <c r="D815" s="5"/>
      <c r="E815" s="5"/>
      <c r="F815" s="5"/>
      <c r="G815" s="5"/>
      <c r="H815" s="5"/>
      <c r="I815" s="5"/>
      <c r="J815" s="5"/>
      <c r="K815" s="5"/>
      <c r="L815" s="5"/>
      <c r="M815" s="5"/>
      <c r="N815" s="5"/>
      <c r="O815" s="5"/>
      <c r="P815" s="5"/>
      <c r="Q815" s="5"/>
      <c r="R815" s="5"/>
    </row>
    <row r="816" ht="15.75" customHeight="1">
      <c r="A816" s="5"/>
      <c r="B816" s="5"/>
      <c r="C816" s="5"/>
      <c r="D816" s="5"/>
      <c r="E816" s="5"/>
      <c r="F816" s="5"/>
      <c r="G816" s="5"/>
      <c r="H816" s="5"/>
      <c r="I816" s="5"/>
      <c r="J816" s="5"/>
      <c r="K816" s="5"/>
      <c r="L816" s="5"/>
      <c r="M816" s="5"/>
      <c r="N816" s="5"/>
      <c r="O816" s="5"/>
      <c r="P816" s="5"/>
      <c r="Q816" s="5"/>
      <c r="R816" s="5"/>
    </row>
    <row r="817" ht="15.75" customHeight="1">
      <c r="A817" s="5"/>
      <c r="B817" s="5"/>
      <c r="C817" s="5"/>
      <c r="D817" s="5"/>
      <c r="E817" s="5"/>
      <c r="F817" s="5"/>
      <c r="G817" s="5"/>
      <c r="H817" s="5"/>
      <c r="I817" s="5"/>
      <c r="J817" s="5"/>
      <c r="K817" s="5"/>
      <c r="L817" s="5"/>
      <c r="M817" s="5"/>
      <c r="N817" s="5"/>
      <c r="O817" s="5"/>
      <c r="P817" s="5"/>
      <c r="Q817" s="5"/>
      <c r="R817" s="5"/>
    </row>
    <row r="818" ht="15.75" customHeight="1">
      <c r="A818" s="5"/>
      <c r="B818" s="5"/>
      <c r="C818" s="5"/>
      <c r="D818" s="5"/>
      <c r="E818" s="5"/>
      <c r="F818" s="5"/>
      <c r="G818" s="5"/>
      <c r="H818" s="5"/>
      <c r="I818" s="5"/>
      <c r="J818" s="5"/>
      <c r="K818" s="5"/>
      <c r="L818" s="5"/>
      <c r="M818" s="5"/>
      <c r="N818" s="5"/>
      <c r="O818" s="5"/>
      <c r="P818" s="5"/>
      <c r="Q818" s="5"/>
      <c r="R818" s="5"/>
    </row>
    <row r="819" ht="15.75" customHeight="1">
      <c r="A819" s="5"/>
      <c r="B819" s="5"/>
      <c r="C819" s="5"/>
      <c r="D819" s="5"/>
      <c r="E819" s="5"/>
      <c r="F819" s="5"/>
      <c r="G819" s="5"/>
      <c r="H819" s="5"/>
      <c r="I819" s="5"/>
      <c r="J819" s="5"/>
      <c r="K819" s="5"/>
      <c r="L819" s="5"/>
      <c r="M819" s="5"/>
      <c r="N819" s="5"/>
      <c r="O819" s="5"/>
      <c r="P819" s="5"/>
      <c r="Q819" s="5"/>
      <c r="R819" s="5"/>
    </row>
    <row r="820" ht="15.75" customHeight="1">
      <c r="A820" s="5"/>
      <c r="B820" s="5"/>
      <c r="C820" s="5"/>
      <c r="D820" s="5"/>
      <c r="E820" s="5"/>
      <c r="F820" s="5"/>
      <c r="G820" s="5"/>
      <c r="H820" s="5"/>
      <c r="I820" s="5"/>
      <c r="J820" s="5"/>
      <c r="K820" s="5"/>
      <c r="L820" s="5"/>
      <c r="M820" s="5"/>
      <c r="N820" s="5"/>
      <c r="O820" s="5"/>
      <c r="P820" s="5"/>
      <c r="Q820" s="5"/>
      <c r="R820" s="5"/>
    </row>
    <row r="821" ht="15.75" customHeight="1">
      <c r="A821" s="5"/>
      <c r="B821" s="5"/>
      <c r="C821" s="5"/>
      <c r="D821" s="5"/>
      <c r="E821" s="5"/>
      <c r="F821" s="5"/>
      <c r="G821" s="5"/>
      <c r="H821" s="5"/>
      <c r="I821" s="5"/>
      <c r="J821" s="5"/>
      <c r="K821" s="5"/>
      <c r="L821" s="5"/>
      <c r="M821" s="5"/>
      <c r="N821" s="5"/>
      <c r="O821" s="5"/>
      <c r="P821" s="5"/>
      <c r="Q821" s="5"/>
      <c r="R821" s="5"/>
    </row>
    <row r="822" ht="15.75" customHeight="1">
      <c r="A822" s="5"/>
      <c r="B822" s="5"/>
      <c r="C822" s="5"/>
      <c r="D822" s="5"/>
      <c r="E822" s="5"/>
      <c r="F822" s="5"/>
      <c r="G822" s="5"/>
      <c r="H822" s="5"/>
      <c r="I822" s="5"/>
      <c r="J822" s="5"/>
      <c r="K822" s="5"/>
      <c r="L822" s="5"/>
      <c r="M822" s="5"/>
      <c r="N822" s="5"/>
      <c r="O822" s="5"/>
      <c r="P822" s="5"/>
      <c r="Q822" s="5"/>
      <c r="R822" s="5"/>
    </row>
    <row r="823" ht="15.75" customHeight="1">
      <c r="A823" s="5"/>
      <c r="B823" s="5"/>
      <c r="C823" s="5"/>
      <c r="D823" s="5"/>
      <c r="E823" s="5"/>
      <c r="F823" s="5"/>
      <c r="G823" s="5"/>
      <c r="H823" s="5"/>
      <c r="I823" s="5"/>
      <c r="J823" s="5"/>
      <c r="K823" s="5"/>
      <c r="L823" s="5"/>
      <c r="M823" s="5"/>
      <c r="N823" s="5"/>
      <c r="O823" s="5"/>
      <c r="P823" s="5"/>
      <c r="Q823" s="5"/>
      <c r="R823" s="5"/>
    </row>
    <row r="824" ht="15.75" customHeight="1">
      <c r="A824" s="5"/>
      <c r="B824" s="5"/>
      <c r="C824" s="5"/>
      <c r="D824" s="5"/>
      <c r="E824" s="5"/>
      <c r="F824" s="5"/>
      <c r="G824" s="5"/>
      <c r="H824" s="5"/>
      <c r="I824" s="5"/>
      <c r="J824" s="5"/>
      <c r="K824" s="5"/>
      <c r="L824" s="5"/>
      <c r="M824" s="5"/>
      <c r="N824" s="5"/>
      <c r="O824" s="5"/>
      <c r="P824" s="5"/>
      <c r="Q824" s="5"/>
      <c r="R824" s="5"/>
    </row>
    <row r="825" ht="15.75" customHeight="1">
      <c r="A825" s="5"/>
      <c r="B825" s="5"/>
      <c r="C825" s="5"/>
      <c r="D825" s="5"/>
      <c r="E825" s="5"/>
      <c r="F825" s="5"/>
      <c r="G825" s="5"/>
      <c r="H825" s="5"/>
      <c r="I825" s="5"/>
      <c r="J825" s="5"/>
      <c r="K825" s="5"/>
      <c r="L825" s="5"/>
      <c r="M825" s="5"/>
      <c r="N825" s="5"/>
      <c r="O825" s="5"/>
      <c r="P825" s="5"/>
      <c r="Q825" s="5"/>
      <c r="R825" s="5"/>
    </row>
    <row r="826" ht="15.75" customHeight="1">
      <c r="A826" s="5"/>
      <c r="B826" s="5"/>
      <c r="C826" s="5"/>
      <c r="D826" s="5"/>
      <c r="E826" s="5"/>
      <c r="F826" s="5"/>
      <c r="G826" s="5"/>
      <c r="H826" s="5"/>
      <c r="I826" s="5"/>
      <c r="J826" s="5"/>
      <c r="K826" s="5"/>
      <c r="L826" s="5"/>
      <c r="M826" s="5"/>
      <c r="N826" s="5"/>
      <c r="O826" s="5"/>
      <c r="P826" s="5"/>
      <c r="Q826" s="5"/>
      <c r="R826" s="5"/>
    </row>
    <row r="827" ht="15.75" customHeight="1">
      <c r="A827" s="5"/>
      <c r="B827" s="5"/>
      <c r="C827" s="5"/>
      <c r="D827" s="5"/>
      <c r="E827" s="5"/>
      <c r="F827" s="5"/>
      <c r="G827" s="5"/>
      <c r="H827" s="5"/>
      <c r="I827" s="5"/>
      <c r="J827" s="5"/>
      <c r="K827" s="5"/>
      <c r="L827" s="5"/>
      <c r="M827" s="5"/>
      <c r="N827" s="5"/>
      <c r="O827" s="5"/>
      <c r="P827" s="5"/>
      <c r="Q827" s="5"/>
      <c r="R827" s="5"/>
    </row>
    <row r="828" ht="15.75" customHeight="1">
      <c r="A828" s="5"/>
      <c r="B828" s="5"/>
      <c r="C828" s="5"/>
      <c r="D828" s="5"/>
      <c r="E828" s="5"/>
      <c r="F828" s="5"/>
      <c r="G828" s="5"/>
      <c r="H828" s="5"/>
      <c r="I828" s="5"/>
      <c r="J828" s="5"/>
      <c r="K828" s="5"/>
      <c r="L828" s="5"/>
      <c r="M828" s="5"/>
      <c r="N828" s="5"/>
      <c r="O828" s="5"/>
      <c r="P828" s="5"/>
      <c r="Q828" s="5"/>
      <c r="R828" s="5"/>
    </row>
    <row r="829" ht="15.75" customHeight="1">
      <c r="A829" s="5"/>
      <c r="B829" s="5"/>
      <c r="C829" s="5"/>
      <c r="D829" s="5"/>
      <c r="E829" s="5"/>
      <c r="F829" s="5"/>
      <c r="G829" s="5"/>
      <c r="H829" s="5"/>
      <c r="I829" s="5"/>
      <c r="J829" s="5"/>
      <c r="K829" s="5"/>
      <c r="L829" s="5"/>
      <c r="M829" s="5"/>
      <c r="N829" s="5"/>
      <c r="O829" s="5"/>
      <c r="P829" s="5"/>
      <c r="Q829" s="5"/>
      <c r="R829" s="5"/>
    </row>
    <row r="830" ht="15.75" customHeight="1">
      <c r="A830" s="5"/>
      <c r="B830" s="5"/>
      <c r="C830" s="5"/>
      <c r="D830" s="5"/>
      <c r="E830" s="5"/>
      <c r="F830" s="5"/>
      <c r="G830" s="5"/>
      <c r="H830" s="5"/>
      <c r="I830" s="5"/>
      <c r="J830" s="5"/>
      <c r="K830" s="5"/>
      <c r="L830" s="5"/>
      <c r="M830" s="5"/>
      <c r="N830" s="5"/>
      <c r="O830" s="5"/>
      <c r="P830" s="5"/>
      <c r="Q830" s="5"/>
      <c r="R830" s="5"/>
    </row>
    <row r="831" ht="15.75" customHeight="1">
      <c r="A831" s="5"/>
      <c r="B831" s="5"/>
      <c r="C831" s="5"/>
      <c r="D831" s="5"/>
      <c r="E831" s="5"/>
      <c r="F831" s="5"/>
      <c r="G831" s="5"/>
      <c r="H831" s="5"/>
      <c r="I831" s="5"/>
      <c r="J831" s="5"/>
      <c r="K831" s="5"/>
      <c r="L831" s="5"/>
      <c r="M831" s="5"/>
      <c r="N831" s="5"/>
      <c r="O831" s="5"/>
      <c r="P831" s="5"/>
      <c r="Q831" s="5"/>
      <c r="R831" s="5"/>
    </row>
    <row r="832" ht="15.75" customHeight="1">
      <c r="A832" s="5"/>
      <c r="B832" s="5"/>
      <c r="C832" s="5"/>
      <c r="D832" s="5"/>
      <c r="E832" s="5"/>
      <c r="F832" s="5"/>
      <c r="G832" s="5"/>
      <c r="H832" s="5"/>
      <c r="I832" s="5"/>
      <c r="J832" s="5"/>
      <c r="K832" s="5"/>
      <c r="L832" s="5"/>
      <c r="M832" s="5"/>
      <c r="N832" s="5"/>
      <c r="O832" s="5"/>
      <c r="P832" s="5"/>
      <c r="Q832" s="5"/>
      <c r="R832" s="5"/>
    </row>
    <row r="833" ht="15.75" customHeight="1">
      <c r="A833" s="5"/>
      <c r="B833" s="5"/>
      <c r="C833" s="5"/>
      <c r="D833" s="5"/>
      <c r="E833" s="5"/>
      <c r="F833" s="5"/>
      <c r="G833" s="5"/>
      <c r="H833" s="5"/>
      <c r="I833" s="5"/>
      <c r="J833" s="5"/>
      <c r="K833" s="5"/>
      <c r="L833" s="5"/>
      <c r="M833" s="5"/>
      <c r="N833" s="5"/>
      <c r="O833" s="5"/>
      <c r="P833" s="5"/>
      <c r="Q833" s="5"/>
      <c r="R833" s="5"/>
    </row>
    <row r="834" ht="15.75" customHeight="1">
      <c r="A834" s="5"/>
      <c r="B834" s="5"/>
      <c r="C834" s="5"/>
      <c r="D834" s="5"/>
      <c r="E834" s="5"/>
      <c r="F834" s="5"/>
      <c r="G834" s="5"/>
      <c r="H834" s="5"/>
      <c r="I834" s="5"/>
      <c r="J834" s="5"/>
      <c r="K834" s="5"/>
      <c r="L834" s="5"/>
      <c r="M834" s="5"/>
      <c r="N834" s="5"/>
      <c r="O834" s="5"/>
      <c r="P834" s="5"/>
      <c r="Q834" s="5"/>
      <c r="R834" s="5"/>
    </row>
    <row r="835" ht="15.75" customHeight="1">
      <c r="A835" s="5"/>
      <c r="B835" s="5"/>
      <c r="C835" s="5"/>
      <c r="D835" s="5"/>
      <c r="E835" s="5"/>
      <c r="F835" s="5"/>
      <c r="G835" s="5"/>
      <c r="H835" s="5"/>
      <c r="I835" s="5"/>
      <c r="J835" s="5"/>
      <c r="K835" s="5"/>
      <c r="L835" s="5"/>
      <c r="M835" s="5"/>
      <c r="N835" s="5"/>
      <c r="O835" s="5"/>
      <c r="P835" s="5"/>
      <c r="Q835" s="5"/>
      <c r="R835" s="5"/>
    </row>
    <row r="836" ht="15.75" customHeight="1">
      <c r="A836" s="5"/>
      <c r="B836" s="5"/>
      <c r="C836" s="5"/>
      <c r="D836" s="5"/>
      <c r="E836" s="5"/>
      <c r="F836" s="5"/>
      <c r="G836" s="5"/>
      <c r="H836" s="5"/>
      <c r="I836" s="5"/>
      <c r="J836" s="5"/>
      <c r="K836" s="5"/>
      <c r="L836" s="5"/>
      <c r="M836" s="5"/>
      <c r="N836" s="5"/>
      <c r="O836" s="5"/>
      <c r="P836" s="5"/>
      <c r="Q836" s="5"/>
      <c r="R836" s="5"/>
    </row>
    <row r="837" ht="15.75" customHeight="1">
      <c r="A837" s="5"/>
      <c r="B837" s="5"/>
      <c r="C837" s="5"/>
      <c r="D837" s="5"/>
      <c r="E837" s="5"/>
      <c r="F837" s="5"/>
      <c r="G837" s="5"/>
      <c r="H837" s="5"/>
      <c r="I837" s="5"/>
      <c r="J837" s="5"/>
      <c r="K837" s="5"/>
      <c r="L837" s="5"/>
      <c r="M837" s="5"/>
      <c r="N837" s="5"/>
      <c r="O837" s="5"/>
      <c r="P837" s="5"/>
      <c r="Q837" s="5"/>
      <c r="R837" s="5"/>
    </row>
    <row r="838" ht="15.75" customHeight="1">
      <c r="A838" s="5"/>
      <c r="B838" s="5"/>
      <c r="C838" s="5"/>
      <c r="D838" s="5"/>
      <c r="E838" s="5"/>
      <c r="F838" s="5"/>
      <c r="G838" s="5"/>
      <c r="H838" s="5"/>
      <c r="I838" s="5"/>
      <c r="J838" s="5"/>
      <c r="K838" s="5"/>
      <c r="L838" s="5"/>
      <c r="M838" s="5"/>
      <c r="N838" s="5"/>
      <c r="O838" s="5"/>
      <c r="P838" s="5"/>
      <c r="Q838" s="5"/>
      <c r="R838" s="5"/>
    </row>
    <row r="839" ht="15.75" customHeight="1">
      <c r="A839" s="5"/>
      <c r="B839" s="5"/>
      <c r="C839" s="5"/>
      <c r="D839" s="5"/>
      <c r="E839" s="5"/>
      <c r="F839" s="5"/>
      <c r="G839" s="5"/>
      <c r="H839" s="5"/>
      <c r="I839" s="5"/>
      <c r="J839" s="5"/>
      <c r="K839" s="5"/>
      <c r="L839" s="5"/>
      <c r="M839" s="5"/>
      <c r="N839" s="5"/>
      <c r="O839" s="5"/>
      <c r="P839" s="5"/>
      <c r="Q839" s="5"/>
      <c r="R839" s="5"/>
    </row>
    <row r="840" ht="15.75" customHeight="1">
      <c r="A840" s="5"/>
      <c r="B840" s="5"/>
      <c r="C840" s="5"/>
      <c r="D840" s="5"/>
      <c r="E840" s="5"/>
      <c r="F840" s="5"/>
      <c r="G840" s="5"/>
      <c r="H840" s="5"/>
      <c r="I840" s="5"/>
      <c r="J840" s="5"/>
      <c r="K840" s="5"/>
      <c r="L840" s="5"/>
      <c r="M840" s="5"/>
      <c r="N840" s="5"/>
      <c r="O840" s="5"/>
      <c r="P840" s="5"/>
      <c r="Q840" s="5"/>
      <c r="R840" s="5"/>
    </row>
    <row r="841" ht="15.75" customHeight="1">
      <c r="A841" s="5"/>
      <c r="B841" s="5"/>
      <c r="C841" s="5"/>
      <c r="D841" s="5"/>
      <c r="E841" s="5"/>
      <c r="F841" s="5"/>
      <c r="G841" s="5"/>
      <c r="H841" s="5"/>
      <c r="I841" s="5"/>
      <c r="J841" s="5"/>
      <c r="K841" s="5"/>
      <c r="L841" s="5"/>
      <c r="M841" s="5"/>
      <c r="N841" s="5"/>
      <c r="O841" s="5"/>
      <c r="P841" s="5"/>
      <c r="Q841" s="5"/>
      <c r="R841" s="5"/>
    </row>
    <row r="842" ht="15.75" customHeight="1">
      <c r="A842" s="5"/>
      <c r="B842" s="5"/>
      <c r="C842" s="5"/>
      <c r="D842" s="5"/>
      <c r="E842" s="5"/>
      <c r="F842" s="5"/>
      <c r="G842" s="5"/>
      <c r="H842" s="5"/>
      <c r="I842" s="5"/>
      <c r="J842" s="5"/>
      <c r="K842" s="5"/>
      <c r="L842" s="5"/>
      <c r="M842" s="5"/>
      <c r="N842" s="5"/>
      <c r="O842" s="5"/>
      <c r="P842" s="5"/>
      <c r="Q842" s="5"/>
      <c r="R842" s="5"/>
    </row>
    <row r="843" ht="15.75" customHeight="1">
      <c r="A843" s="5"/>
      <c r="B843" s="5"/>
      <c r="C843" s="5"/>
      <c r="D843" s="5"/>
      <c r="E843" s="5"/>
      <c r="F843" s="5"/>
      <c r="G843" s="5"/>
      <c r="H843" s="5"/>
      <c r="I843" s="5"/>
      <c r="J843" s="5"/>
      <c r="K843" s="5"/>
      <c r="L843" s="5"/>
      <c r="M843" s="5"/>
      <c r="N843" s="5"/>
      <c r="O843" s="5"/>
      <c r="P843" s="5"/>
      <c r="Q843" s="5"/>
      <c r="R843" s="5"/>
    </row>
    <row r="844" ht="15.75" customHeight="1">
      <c r="A844" s="5"/>
      <c r="B844" s="5"/>
      <c r="C844" s="5"/>
      <c r="D844" s="5"/>
      <c r="E844" s="5"/>
      <c r="F844" s="5"/>
      <c r="G844" s="5"/>
      <c r="H844" s="5"/>
      <c r="I844" s="5"/>
      <c r="J844" s="5"/>
      <c r="K844" s="5"/>
      <c r="L844" s="5"/>
      <c r="M844" s="5"/>
      <c r="N844" s="5"/>
      <c r="O844" s="5"/>
      <c r="P844" s="5"/>
      <c r="Q844" s="5"/>
      <c r="R844" s="5"/>
    </row>
    <row r="845" ht="15.75" customHeight="1">
      <c r="A845" s="5"/>
      <c r="B845" s="5"/>
      <c r="C845" s="5"/>
      <c r="D845" s="5"/>
      <c r="E845" s="5"/>
      <c r="F845" s="5"/>
      <c r="G845" s="5"/>
      <c r="H845" s="5"/>
      <c r="I845" s="5"/>
      <c r="J845" s="5"/>
      <c r="K845" s="5"/>
      <c r="L845" s="5"/>
      <c r="M845" s="5"/>
      <c r="N845" s="5"/>
      <c r="O845" s="5"/>
      <c r="P845" s="5"/>
      <c r="Q845" s="5"/>
      <c r="R845" s="5"/>
    </row>
    <row r="846" ht="15.75" customHeight="1">
      <c r="A846" s="5"/>
      <c r="B846" s="5"/>
      <c r="C846" s="5"/>
      <c r="D846" s="5"/>
      <c r="E846" s="5"/>
      <c r="F846" s="5"/>
      <c r="G846" s="5"/>
      <c r="H846" s="5"/>
      <c r="I846" s="5"/>
      <c r="J846" s="5"/>
      <c r="K846" s="5"/>
      <c r="L846" s="5"/>
      <c r="M846" s="5"/>
      <c r="N846" s="5"/>
      <c r="O846" s="5"/>
      <c r="P846" s="5"/>
      <c r="Q846" s="5"/>
      <c r="R846" s="5"/>
    </row>
    <row r="847" ht="15.75" customHeight="1">
      <c r="A847" s="5"/>
      <c r="B847" s="5"/>
      <c r="C847" s="5"/>
      <c r="D847" s="5"/>
      <c r="E847" s="5"/>
      <c r="F847" s="5"/>
      <c r="G847" s="5"/>
      <c r="H847" s="5"/>
      <c r="I847" s="5"/>
      <c r="J847" s="5"/>
      <c r="K847" s="5"/>
      <c r="L847" s="5"/>
      <c r="M847" s="5"/>
      <c r="N847" s="5"/>
      <c r="O847" s="5"/>
      <c r="P847" s="5"/>
      <c r="Q847" s="5"/>
      <c r="R847" s="5"/>
    </row>
    <row r="848" ht="15.75" customHeight="1">
      <c r="A848" s="5"/>
      <c r="B848" s="5"/>
      <c r="C848" s="5"/>
      <c r="D848" s="5"/>
      <c r="E848" s="5"/>
      <c r="F848" s="5"/>
      <c r="G848" s="5"/>
      <c r="H848" s="5"/>
      <c r="I848" s="5"/>
      <c r="J848" s="5"/>
      <c r="K848" s="5"/>
      <c r="L848" s="5"/>
      <c r="M848" s="5"/>
      <c r="N848" s="5"/>
      <c r="O848" s="5"/>
      <c r="P848" s="5"/>
      <c r="Q848" s="5"/>
      <c r="R848" s="5"/>
    </row>
    <row r="849" ht="15.75" customHeight="1">
      <c r="A849" s="5"/>
      <c r="B849" s="5"/>
      <c r="C849" s="5"/>
      <c r="D849" s="5"/>
      <c r="E849" s="5"/>
      <c r="F849" s="5"/>
      <c r="G849" s="5"/>
      <c r="H849" s="5"/>
      <c r="I849" s="5"/>
      <c r="J849" s="5"/>
      <c r="K849" s="5"/>
      <c r="L849" s="5"/>
      <c r="M849" s="5"/>
      <c r="N849" s="5"/>
      <c r="O849" s="5"/>
      <c r="P849" s="5"/>
      <c r="Q849" s="5"/>
      <c r="R849" s="5"/>
    </row>
    <row r="850" ht="15.75" customHeight="1">
      <c r="A850" s="5"/>
      <c r="B850" s="5"/>
      <c r="C850" s="5"/>
      <c r="D850" s="5"/>
      <c r="E850" s="5"/>
      <c r="F850" s="5"/>
      <c r="G850" s="5"/>
      <c r="H850" s="5"/>
      <c r="I850" s="5"/>
      <c r="J850" s="5"/>
      <c r="K850" s="5"/>
      <c r="L850" s="5"/>
      <c r="M850" s="5"/>
      <c r="N850" s="5"/>
      <c r="O850" s="5"/>
      <c r="P850" s="5"/>
      <c r="Q850" s="5"/>
      <c r="R850" s="5"/>
    </row>
    <row r="851" ht="15.75" customHeight="1">
      <c r="A851" s="5"/>
      <c r="B851" s="5"/>
      <c r="C851" s="5"/>
      <c r="D851" s="5"/>
      <c r="E851" s="5"/>
      <c r="F851" s="5"/>
      <c r="G851" s="5"/>
      <c r="H851" s="5"/>
      <c r="I851" s="5"/>
      <c r="J851" s="5"/>
      <c r="K851" s="5"/>
      <c r="L851" s="5"/>
      <c r="M851" s="5"/>
      <c r="N851" s="5"/>
      <c r="O851" s="5"/>
      <c r="P851" s="5"/>
      <c r="Q851" s="5"/>
      <c r="R851" s="5"/>
    </row>
    <row r="852" ht="15.75" customHeight="1">
      <c r="A852" s="5"/>
      <c r="B852" s="5"/>
      <c r="C852" s="5"/>
      <c r="D852" s="5"/>
      <c r="E852" s="5"/>
      <c r="F852" s="5"/>
      <c r="G852" s="5"/>
      <c r="H852" s="5"/>
      <c r="I852" s="5"/>
      <c r="J852" s="5"/>
      <c r="K852" s="5"/>
      <c r="L852" s="5"/>
      <c r="M852" s="5"/>
      <c r="N852" s="5"/>
      <c r="O852" s="5"/>
      <c r="P852" s="5"/>
      <c r="Q852" s="5"/>
      <c r="R852" s="5"/>
    </row>
    <row r="853" ht="15.75" customHeight="1">
      <c r="A853" s="5"/>
      <c r="B853" s="5"/>
      <c r="C853" s="5"/>
      <c r="D853" s="5"/>
      <c r="E853" s="5"/>
      <c r="F853" s="5"/>
      <c r="G853" s="5"/>
      <c r="H853" s="5"/>
      <c r="I853" s="5"/>
      <c r="J853" s="5"/>
      <c r="K853" s="5"/>
      <c r="L853" s="5"/>
      <c r="M853" s="5"/>
      <c r="N853" s="5"/>
      <c r="O853" s="5"/>
      <c r="P853" s="5"/>
      <c r="Q853" s="5"/>
      <c r="R853" s="5"/>
    </row>
    <row r="854" ht="15.75" customHeight="1">
      <c r="A854" s="5"/>
      <c r="B854" s="5"/>
      <c r="C854" s="5"/>
      <c r="D854" s="5"/>
      <c r="E854" s="5"/>
      <c r="F854" s="5"/>
      <c r="G854" s="5"/>
      <c r="H854" s="5"/>
      <c r="I854" s="5"/>
      <c r="J854" s="5"/>
      <c r="K854" s="5"/>
      <c r="L854" s="5"/>
      <c r="M854" s="5"/>
      <c r="N854" s="5"/>
      <c r="O854" s="5"/>
      <c r="P854" s="5"/>
      <c r="Q854" s="5"/>
      <c r="R854" s="5"/>
    </row>
    <row r="855" ht="15.75" customHeight="1">
      <c r="A855" s="5"/>
      <c r="B855" s="5"/>
      <c r="C855" s="5"/>
      <c r="D855" s="5"/>
      <c r="E855" s="5"/>
      <c r="F855" s="5"/>
      <c r="G855" s="5"/>
      <c r="H855" s="5"/>
      <c r="I855" s="5"/>
      <c r="J855" s="5"/>
      <c r="K855" s="5"/>
      <c r="L855" s="5"/>
      <c r="M855" s="5"/>
      <c r="N855" s="5"/>
      <c r="O855" s="5"/>
      <c r="P855" s="5"/>
      <c r="Q855" s="5"/>
      <c r="R855" s="5"/>
    </row>
    <row r="856" ht="15.75" customHeight="1">
      <c r="A856" s="5"/>
      <c r="B856" s="5"/>
      <c r="C856" s="5"/>
      <c r="D856" s="5"/>
      <c r="E856" s="5"/>
      <c r="F856" s="5"/>
      <c r="G856" s="5"/>
      <c r="H856" s="5"/>
      <c r="I856" s="5"/>
      <c r="J856" s="5"/>
      <c r="K856" s="5"/>
      <c r="L856" s="5"/>
      <c r="M856" s="5"/>
      <c r="N856" s="5"/>
      <c r="O856" s="5"/>
      <c r="P856" s="5"/>
      <c r="Q856" s="5"/>
      <c r="R856" s="5"/>
    </row>
    <row r="857" ht="15.75" customHeight="1">
      <c r="A857" s="5"/>
      <c r="B857" s="5"/>
      <c r="C857" s="5"/>
      <c r="D857" s="5"/>
      <c r="E857" s="5"/>
      <c r="F857" s="5"/>
      <c r="G857" s="5"/>
      <c r="H857" s="5"/>
      <c r="I857" s="5"/>
      <c r="J857" s="5"/>
      <c r="K857" s="5"/>
      <c r="L857" s="5"/>
      <c r="M857" s="5"/>
      <c r="N857" s="5"/>
      <c r="O857" s="5"/>
      <c r="P857" s="5"/>
      <c r="Q857" s="5"/>
      <c r="R857" s="5"/>
    </row>
    <row r="858" ht="15.75" customHeight="1">
      <c r="A858" s="5"/>
      <c r="B858" s="5"/>
      <c r="C858" s="5"/>
      <c r="D858" s="5"/>
      <c r="E858" s="5"/>
      <c r="F858" s="5"/>
      <c r="G858" s="5"/>
      <c r="H858" s="5"/>
      <c r="I858" s="5"/>
      <c r="J858" s="5"/>
      <c r="K858" s="5"/>
      <c r="L858" s="5"/>
      <c r="M858" s="5"/>
      <c r="N858" s="5"/>
      <c r="O858" s="5"/>
      <c r="P858" s="5"/>
      <c r="Q858" s="5"/>
      <c r="R858" s="5"/>
    </row>
    <row r="859" ht="15.75" customHeight="1">
      <c r="A859" s="5"/>
      <c r="B859" s="5"/>
      <c r="C859" s="5"/>
      <c r="D859" s="5"/>
      <c r="E859" s="5"/>
      <c r="F859" s="5"/>
      <c r="G859" s="5"/>
      <c r="H859" s="5"/>
      <c r="I859" s="5"/>
      <c r="J859" s="5"/>
      <c r="K859" s="5"/>
      <c r="L859" s="5"/>
      <c r="M859" s="5"/>
      <c r="N859" s="5"/>
      <c r="O859" s="5"/>
      <c r="P859" s="5"/>
      <c r="Q859" s="5"/>
      <c r="R859" s="5"/>
    </row>
    <row r="860" ht="15.75" customHeight="1">
      <c r="A860" s="5"/>
      <c r="B860" s="5"/>
      <c r="C860" s="5"/>
      <c r="D860" s="5"/>
      <c r="E860" s="5"/>
      <c r="F860" s="5"/>
      <c r="G860" s="5"/>
      <c r="H860" s="5"/>
      <c r="I860" s="5"/>
      <c r="J860" s="5"/>
      <c r="K860" s="5"/>
      <c r="L860" s="5"/>
      <c r="M860" s="5"/>
      <c r="N860" s="5"/>
      <c r="O860" s="5"/>
      <c r="P860" s="5"/>
      <c r="Q860" s="5"/>
      <c r="R860" s="5"/>
    </row>
    <row r="861" ht="15.75" customHeight="1">
      <c r="A861" s="5"/>
      <c r="B861" s="5"/>
      <c r="C861" s="5"/>
      <c r="D861" s="5"/>
      <c r="E861" s="5"/>
      <c r="F861" s="5"/>
      <c r="G861" s="5"/>
      <c r="H861" s="5"/>
      <c r="I861" s="5"/>
      <c r="J861" s="5"/>
      <c r="K861" s="5"/>
      <c r="L861" s="5"/>
      <c r="M861" s="5"/>
      <c r="N861" s="5"/>
      <c r="O861" s="5"/>
      <c r="P861" s="5"/>
      <c r="Q861" s="5"/>
      <c r="R861" s="5"/>
    </row>
    <row r="862" ht="15.75" customHeight="1">
      <c r="A862" s="5"/>
      <c r="B862" s="5"/>
      <c r="C862" s="5"/>
      <c r="D862" s="5"/>
      <c r="E862" s="5"/>
      <c r="F862" s="5"/>
      <c r="G862" s="5"/>
      <c r="H862" s="5"/>
      <c r="I862" s="5"/>
      <c r="J862" s="5"/>
      <c r="K862" s="5"/>
      <c r="L862" s="5"/>
      <c r="M862" s="5"/>
      <c r="N862" s="5"/>
      <c r="O862" s="5"/>
      <c r="P862" s="5"/>
      <c r="Q862" s="5"/>
      <c r="R862" s="5"/>
    </row>
    <row r="863" ht="15.75" customHeight="1">
      <c r="A863" s="5"/>
      <c r="B863" s="5"/>
      <c r="C863" s="5"/>
      <c r="D863" s="5"/>
      <c r="E863" s="5"/>
      <c r="F863" s="5"/>
      <c r="G863" s="5"/>
      <c r="H863" s="5"/>
      <c r="I863" s="5"/>
      <c r="J863" s="5"/>
      <c r="K863" s="5"/>
      <c r="L863" s="5"/>
      <c r="M863" s="5"/>
      <c r="N863" s="5"/>
      <c r="O863" s="5"/>
      <c r="P863" s="5"/>
      <c r="Q863" s="5"/>
      <c r="R863" s="5"/>
    </row>
    <row r="864" ht="15.75" customHeight="1">
      <c r="A864" s="5"/>
      <c r="B864" s="5"/>
      <c r="C864" s="5"/>
      <c r="D864" s="5"/>
      <c r="E864" s="5"/>
      <c r="F864" s="5"/>
      <c r="G864" s="5"/>
      <c r="H864" s="5"/>
      <c r="I864" s="5"/>
      <c r="J864" s="5"/>
      <c r="K864" s="5"/>
      <c r="L864" s="5"/>
      <c r="M864" s="5"/>
      <c r="N864" s="5"/>
      <c r="O864" s="5"/>
      <c r="P864" s="5"/>
      <c r="Q864" s="5"/>
      <c r="R864" s="5"/>
    </row>
    <row r="865" ht="15.75" customHeight="1">
      <c r="A865" s="5"/>
      <c r="B865" s="5"/>
      <c r="C865" s="5"/>
      <c r="D865" s="5"/>
      <c r="E865" s="5"/>
      <c r="F865" s="5"/>
      <c r="G865" s="5"/>
      <c r="H865" s="5"/>
      <c r="I865" s="5"/>
      <c r="J865" s="5"/>
      <c r="K865" s="5"/>
      <c r="L865" s="5"/>
      <c r="M865" s="5"/>
      <c r="N865" s="5"/>
      <c r="O865" s="5"/>
      <c r="P865" s="5"/>
      <c r="Q865" s="5"/>
      <c r="R865" s="5"/>
    </row>
    <row r="866" ht="15.75" customHeight="1">
      <c r="A866" s="5"/>
      <c r="B866" s="5"/>
      <c r="C866" s="5"/>
      <c r="D866" s="5"/>
      <c r="E866" s="5"/>
      <c r="F866" s="5"/>
      <c r="G866" s="5"/>
      <c r="H866" s="5"/>
      <c r="I866" s="5"/>
      <c r="J866" s="5"/>
      <c r="K866" s="5"/>
      <c r="L866" s="5"/>
      <c r="M866" s="5"/>
      <c r="N866" s="5"/>
      <c r="O866" s="5"/>
      <c r="P866" s="5"/>
      <c r="Q866" s="5"/>
      <c r="R866" s="5"/>
    </row>
    <row r="867" ht="15.75" customHeight="1">
      <c r="A867" s="5"/>
      <c r="B867" s="5"/>
      <c r="C867" s="5"/>
      <c r="D867" s="5"/>
      <c r="E867" s="5"/>
      <c r="F867" s="5"/>
      <c r="G867" s="5"/>
      <c r="H867" s="5"/>
      <c r="I867" s="5"/>
      <c r="J867" s="5"/>
      <c r="K867" s="5"/>
      <c r="L867" s="5"/>
      <c r="M867" s="5"/>
      <c r="N867" s="5"/>
      <c r="O867" s="5"/>
      <c r="P867" s="5"/>
      <c r="Q867" s="5"/>
      <c r="R867" s="5"/>
    </row>
    <row r="868" ht="15.75" customHeight="1">
      <c r="A868" s="5"/>
      <c r="B868" s="5"/>
      <c r="C868" s="5"/>
      <c r="D868" s="5"/>
      <c r="E868" s="5"/>
      <c r="F868" s="5"/>
      <c r="G868" s="5"/>
      <c r="H868" s="5"/>
      <c r="I868" s="5"/>
      <c r="J868" s="5"/>
      <c r="K868" s="5"/>
      <c r="L868" s="5"/>
      <c r="M868" s="5"/>
      <c r="N868" s="5"/>
      <c r="O868" s="5"/>
      <c r="P868" s="5"/>
      <c r="Q868" s="5"/>
      <c r="R868" s="5"/>
    </row>
    <row r="869" ht="15.75" customHeight="1">
      <c r="A869" s="5"/>
      <c r="B869" s="5"/>
      <c r="C869" s="5"/>
      <c r="D869" s="5"/>
      <c r="E869" s="5"/>
      <c r="F869" s="5"/>
      <c r="G869" s="5"/>
      <c r="H869" s="5"/>
      <c r="I869" s="5"/>
      <c r="J869" s="5"/>
      <c r="K869" s="5"/>
      <c r="L869" s="5"/>
      <c r="M869" s="5"/>
      <c r="N869" s="5"/>
      <c r="O869" s="5"/>
      <c r="P869" s="5"/>
      <c r="Q869" s="5"/>
      <c r="R869" s="5"/>
    </row>
    <row r="870" ht="15.75" customHeight="1">
      <c r="A870" s="5"/>
      <c r="B870" s="5"/>
      <c r="C870" s="5"/>
      <c r="D870" s="5"/>
      <c r="E870" s="5"/>
      <c r="F870" s="5"/>
      <c r="G870" s="5"/>
      <c r="H870" s="5"/>
      <c r="I870" s="5"/>
      <c r="J870" s="5"/>
      <c r="K870" s="5"/>
      <c r="L870" s="5"/>
      <c r="M870" s="5"/>
      <c r="N870" s="5"/>
      <c r="O870" s="5"/>
      <c r="P870" s="5"/>
      <c r="Q870" s="5"/>
      <c r="R870" s="5"/>
    </row>
    <row r="871" ht="15.75" customHeight="1">
      <c r="A871" s="5"/>
      <c r="B871" s="5"/>
      <c r="C871" s="5"/>
      <c r="D871" s="5"/>
      <c r="E871" s="5"/>
      <c r="F871" s="5"/>
      <c r="G871" s="5"/>
      <c r="H871" s="5"/>
      <c r="I871" s="5"/>
      <c r="J871" s="5"/>
      <c r="K871" s="5"/>
      <c r="L871" s="5"/>
      <c r="M871" s="5"/>
      <c r="N871" s="5"/>
      <c r="O871" s="5"/>
      <c r="P871" s="5"/>
      <c r="Q871" s="5"/>
      <c r="R871" s="5"/>
    </row>
    <row r="872" ht="15.75" customHeight="1">
      <c r="A872" s="5"/>
      <c r="B872" s="5"/>
      <c r="C872" s="5"/>
      <c r="D872" s="5"/>
      <c r="E872" s="5"/>
      <c r="F872" s="5"/>
      <c r="G872" s="5"/>
      <c r="H872" s="5"/>
      <c r="I872" s="5"/>
      <c r="J872" s="5"/>
      <c r="K872" s="5"/>
      <c r="L872" s="5"/>
      <c r="M872" s="5"/>
      <c r="N872" s="5"/>
      <c r="O872" s="5"/>
      <c r="P872" s="5"/>
      <c r="Q872" s="5"/>
      <c r="R872" s="5"/>
    </row>
    <row r="873" ht="15.75" customHeight="1">
      <c r="A873" s="5"/>
      <c r="B873" s="5"/>
      <c r="C873" s="5"/>
      <c r="D873" s="5"/>
      <c r="E873" s="5"/>
      <c r="F873" s="5"/>
      <c r="G873" s="5"/>
      <c r="H873" s="5"/>
      <c r="I873" s="5"/>
      <c r="J873" s="5"/>
      <c r="K873" s="5"/>
      <c r="L873" s="5"/>
      <c r="M873" s="5"/>
      <c r="N873" s="5"/>
      <c r="O873" s="5"/>
      <c r="P873" s="5"/>
      <c r="Q873" s="5"/>
      <c r="R873" s="5"/>
    </row>
    <row r="874" ht="15.75" customHeight="1">
      <c r="A874" s="5"/>
      <c r="B874" s="5"/>
      <c r="C874" s="5"/>
      <c r="D874" s="5"/>
      <c r="E874" s="5"/>
      <c r="F874" s="5"/>
      <c r="G874" s="5"/>
      <c r="H874" s="5"/>
      <c r="I874" s="5"/>
      <c r="J874" s="5"/>
      <c r="K874" s="5"/>
      <c r="L874" s="5"/>
      <c r="M874" s="5"/>
      <c r="N874" s="5"/>
      <c r="O874" s="5"/>
      <c r="P874" s="5"/>
      <c r="Q874" s="5"/>
      <c r="R874" s="5"/>
    </row>
    <row r="875" ht="15.75" customHeight="1">
      <c r="A875" s="5"/>
      <c r="B875" s="5"/>
      <c r="C875" s="5"/>
      <c r="D875" s="5"/>
      <c r="E875" s="5"/>
      <c r="F875" s="5"/>
      <c r="G875" s="5"/>
      <c r="H875" s="5"/>
      <c r="I875" s="5"/>
      <c r="J875" s="5"/>
      <c r="K875" s="5"/>
      <c r="L875" s="5"/>
      <c r="M875" s="5"/>
      <c r="N875" s="5"/>
      <c r="O875" s="5"/>
      <c r="P875" s="5"/>
      <c r="Q875" s="5"/>
      <c r="R875" s="5"/>
    </row>
    <row r="876" ht="15.75" customHeight="1">
      <c r="A876" s="5"/>
      <c r="B876" s="5"/>
      <c r="C876" s="5"/>
      <c r="D876" s="5"/>
      <c r="E876" s="5"/>
      <c r="F876" s="5"/>
      <c r="G876" s="5"/>
      <c r="H876" s="5"/>
      <c r="I876" s="5"/>
      <c r="J876" s="5"/>
      <c r="K876" s="5"/>
      <c r="L876" s="5"/>
      <c r="M876" s="5"/>
      <c r="N876" s="5"/>
      <c r="O876" s="5"/>
      <c r="P876" s="5"/>
      <c r="Q876" s="5"/>
      <c r="R876" s="5"/>
    </row>
    <row r="877" ht="15.75" customHeight="1">
      <c r="A877" s="5"/>
      <c r="B877" s="5"/>
      <c r="C877" s="5"/>
      <c r="D877" s="5"/>
      <c r="E877" s="5"/>
      <c r="F877" s="5"/>
      <c r="G877" s="5"/>
      <c r="H877" s="5"/>
      <c r="I877" s="5"/>
      <c r="J877" s="5"/>
      <c r="K877" s="5"/>
      <c r="L877" s="5"/>
      <c r="M877" s="5"/>
      <c r="N877" s="5"/>
      <c r="O877" s="5"/>
      <c r="P877" s="5"/>
      <c r="Q877" s="5"/>
      <c r="R877" s="5"/>
    </row>
    <row r="878" ht="15.75" customHeight="1">
      <c r="A878" s="5"/>
      <c r="B878" s="5"/>
      <c r="C878" s="5"/>
      <c r="D878" s="5"/>
      <c r="E878" s="5"/>
      <c r="F878" s="5"/>
      <c r="G878" s="5"/>
      <c r="H878" s="5"/>
      <c r="I878" s="5"/>
      <c r="J878" s="5"/>
      <c r="K878" s="5"/>
      <c r="L878" s="5"/>
      <c r="M878" s="5"/>
      <c r="N878" s="5"/>
      <c r="O878" s="5"/>
      <c r="P878" s="5"/>
      <c r="Q878" s="5"/>
      <c r="R878" s="5"/>
    </row>
    <row r="879" ht="15.75" customHeight="1">
      <c r="A879" s="5"/>
      <c r="B879" s="5"/>
      <c r="C879" s="5"/>
      <c r="D879" s="5"/>
      <c r="E879" s="5"/>
      <c r="F879" s="5"/>
      <c r="G879" s="5"/>
      <c r="H879" s="5"/>
      <c r="I879" s="5"/>
      <c r="J879" s="5"/>
      <c r="K879" s="5"/>
      <c r="L879" s="5"/>
      <c r="M879" s="5"/>
      <c r="N879" s="5"/>
      <c r="O879" s="5"/>
      <c r="P879" s="5"/>
      <c r="Q879" s="5"/>
      <c r="R879" s="5"/>
    </row>
    <row r="880" ht="15.75" customHeight="1">
      <c r="A880" s="5"/>
      <c r="B880" s="5"/>
      <c r="C880" s="5"/>
      <c r="D880" s="5"/>
      <c r="E880" s="5"/>
      <c r="F880" s="5"/>
      <c r="G880" s="5"/>
      <c r="H880" s="5"/>
      <c r="I880" s="5"/>
      <c r="J880" s="5"/>
      <c r="K880" s="5"/>
      <c r="L880" s="5"/>
      <c r="M880" s="5"/>
      <c r="N880" s="5"/>
      <c r="O880" s="5"/>
      <c r="P880" s="5"/>
      <c r="Q880" s="5"/>
      <c r="R880" s="5"/>
    </row>
    <row r="881" ht="15.75" customHeight="1">
      <c r="A881" s="5"/>
      <c r="B881" s="5"/>
      <c r="C881" s="5"/>
      <c r="D881" s="5"/>
      <c r="E881" s="5"/>
      <c r="F881" s="5"/>
      <c r="G881" s="5"/>
      <c r="H881" s="5"/>
      <c r="I881" s="5"/>
      <c r="J881" s="5"/>
      <c r="K881" s="5"/>
      <c r="L881" s="5"/>
      <c r="M881" s="5"/>
      <c r="N881" s="5"/>
      <c r="O881" s="5"/>
      <c r="P881" s="5"/>
      <c r="Q881" s="5"/>
      <c r="R881" s="5"/>
    </row>
    <row r="882" ht="15.75" customHeight="1">
      <c r="A882" s="5"/>
      <c r="B882" s="5"/>
      <c r="C882" s="5"/>
      <c r="D882" s="5"/>
      <c r="E882" s="5"/>
      <c r="F882" s="5"/>
      <c r="G882" s="5"/>
      <c r="H882" s="5"/>
      <c r="I882" s="5"/>
      <c r="J882" s="5"/>
      <c r="K882" s="5"/>
      <c r="L882" s="5"/>
      <c r="M882" s="5"/>
      <c r="N882" s="5"/>
      <c r="O882" s="5"/>
      <c r="P882" s="5"/>
      <c r="Q882" s="5"/>
      <c r="R882" s="5"/>
    </row>
    <row r="883" ht="15.75" customHeight="1">
      <c r="A883" s="5"/>
      <c r="B883" s="5"/>
      <c r="C883" s="5"/>
      <c r="D883" s="5"/>
      <c r="E883" s="5"/>
      <c r="F883" s="5"/>
      <c r="G883" s="5"/>
      <c r="H883" s="5"/>
      <c r="I883" s="5"/>
      <c r="J883" s="5"/>
      <c r="K883" s="5"/>
      <c r="L883" s="5"/>
      <c r="M883" s="5"/>
      <c r="N883" s="5"/>
      <c r="O883" s="5"/>
      <c r="P883" s="5"/>
      <c r="Q883" s="5"/>
      <c r="R883" s="5"/>
    </row>
    <row r="884" ht="15.75" customHeight="1">
      <c r="A884" s="5"/>
      <c r="B884" s="5"/>
      <c r="C884" s="5"/>
      <c r="D884" s="5"/>
      <c r="E884" s="5"/>
      <c r="F884" s="5"/>
      <c r="G884" s="5"/>
      <c r="H884" s="5"/>
      <c r="I884" s="5"/>
      <c r="J884" s="5"/>
      <c r="K884" s="5"/>
      <c r="L884" s="5"/>
      <c r="M884" s="5"/>
      <c r="N884" s="5"/>
      <c r="O884" s="5"/>
      <c r="P884" s="5"/>
      <c r="Q884" s="5"/>
      <c r="R884" s="5"/>
    </row>
    <row r="885" ht="15.75" customHeight="1">
      <c r="A885" s="5"/>
      <c r="B885" s="5"/>
      <c r="C885" s="5"/>
      <c r="D885" s="5"/>
      <c r="E885" s="5"/>
      <c r="F885" s="5"/>
      <c r="G885" s="5"/>
      <c r="H885" s="5"/>
      <c r="I885" s="5"/>
      <c r="J885" s="5"/>
      <c r="K885" s="5"/>
      <c r="L885" s="5"/>
      <c r="M885" s="5"/>
      <c r="N885" s="5"/>
      <c r="O885" s="5"/>
      <c r="P885" s="5"/>
      <c r="Q885" s="5"/>
      <c r="R885" s="5"/>
    </row>
    <row r="886" ht="15.75" customHeight="1">
      <c r="A886" s="5"/>
      <c r="B886" s="5"/>
      <c r="C886" s="5"/>
      <c r="D886" s="5"/>
      <c r="E886" s="5"/>
      <c r="F886" s="5"/>
      <c r="G886" s="5"/>
      <c r="H886" s="5"/>
      <c r="I886" s="5"/>
      <c r="J886" s="5"/>
      <c r="K886" s="5"/>
      <c r="L886" s="5"/>
      <c r="M886" s="5"/>
      <c r="N886" s="5"/>
      <c r="O886" s="5"/>
      <c r="P886" s="5"/>
      <c r="Q886" s="5"/>
      <c r="R886" s="5"/>
    </row>
    <row r="887" ht="15.75" customHeight="1">
      <c r="A887" s="5"/>
      <c r="B887" s="5"/>
      <c r="C887" s="5"/>
      <c r="D887" s="5"/>
      <c r="E887" s="5"/>
      <c r="F887" s="5"/>
      <c r="G887" s="5"/>
      <c r="H887" s="5"/>
      <c r="I887" s="5"/>
      <c r="J887" s="5"/>
      <c r="K887" s="5"/>
      <c r="L887" s="5"/>
      <c r="M887" s="5"/>
      <c r="N887" s="5"/>
      <c r="O887" s="5"/>
      <c r="P887" s="5"/>
      <c r="Q887" s="5"/>
      <c r="R887" s="5"/>
    </row>
    <row r="888" ht="15.75" customHeight="1">
      <c r="A888" s="5"/>
      <c r="B888" s="5"/>
      <c r="C888" s="5"/>
      <c r="D888" s="5"/>
      <c r="E888" s="5"/>
      <c r="F888" s="5"/>
      <c r="G888" s="5"/>
      <c r="H888" s="5"/>
      <c r="I888" s="5"/>
      <c r="J888" s="5"/>
      <c r="K888" s="5"/>
      <c r="L888" s="5"/>
      <c r="M888" s="5"/>
      <c r="N888" s="5"/>
      <c r="O888" s="5"/>
      <c r="P888" s="5"/>
      <c r="Q888" s="5"/>
      <c r="R888" s="5"/>
    </row>
    <row r="889" ht="15.75" customHeight="1">
      <c r="A889" s="5"/>
      <c r="B889" s="5"/>
      <c r="C889" s="5"/>
      <c r="D889" s="5"/>
      <c r="E889" s="5"/>
      <c r="F889" s="5"/>
      <c r="G889" s="5"/>
      <c r="H889" s="5"/>
      <c r="I889" s="5"/>
      <c r="J889" s="5"/>
      <c r="K889" s="5"/>
      <c r="L889" s="5"/>
      <c r="M889" s="5"/>
      <c r="N889" s="5"/>
      <c r="O889" s="5"/>
      <c r="P889" s="5"/>
      <c r="Q889" s="5"/>
      <c r="R889" s="5"/>
    </row>
    <row r="890" ht="15.75" customHeight="1">
      <c r="A890" s="5"/>
      <c r="B890" s="5"/>
      <c r="C890" s="5"/>
      <c r="D890" s="5"/>
      <c r="E890" s="5"/>
      <c r="F890" s="5"/>
      <c r="G890" s="5"/>
      <c r="H890" s="5"/>
      <c r="I890" s="5"/>
      <c r="J890" s="5"/>
      <c r="K890" s="5"/>
      <c r="L890" s="5"/>
      <c r="M890" s="5"/>
      <c r="N890" s="5"/>
      <c r="O890" s="5"/>
      <c r="P890" s="5"/>
      <c r="Q890" s="5"/>
      <c r="R890" s="5"/>
    </row>
    <row r="891" ht="15.75" customHeight="1">
      <c r="A891" s="5"/>
      <c r="B891" s="5"/>
      <c r="C891" s="5"/>
      <c r="D891" s="5"/>
      <c r="E891" s="5"/>
      <c r="F891" s="5"/>
      <c r="G891" s="5"/>
      <c r="H891" s="5"/>
      <c r="I891" s="5"/>
      <c r="J891" s="5"/>
      <c r="K891" s="5"/>
      <c r="L891" s="5"/>
      <c r="M891" s="5"/>
      <c r="N891" s="5"/>
      <c r="O891" s="5"/>
      <c r="P891" s="5"/>
      <c r="Q891" s="5"/>
      <c r="R891" s="5"/>
    </row>
    <row r="892" ht="15.75" customHeight="1">
      <c r="A892" s="5"/>
      <c r="B892" s="5"/>
      <c r="C892" s="5"/>
      <c r="D892" s="5"/>
      <c r="E892" s="5"/>
      <c r="F892" s="5"/>
      <c r="G892" s="5"/>
      <c r="H892" s="5"/>
      <c r="I892" s="5"/>
      <c r="J892" s="5"/>
      <c r="K892" s="5"/>
      <c r="L892" s="5"/>
      <c r="M892" s="5"/>
      <c r="N892" s="5"/>
      <c r="O892" s="5"/>
      <c r="P892" s="5"/>
      <c r="Q892" s="5"/>
      <c r="R892" s="5"/>
    </row>
    <row r="893" ht="15.75" customHeight="1">
      <c r="A893" s="5"/>
      <c r="B893" s="5"/>
      <c r="C893" s="5"/>
      <c r="D893" s="5"/>
      <c r="E893" s="5"/>
      <c r="F893" s="5"/>
      <c r="G893" s="5"/>
      <c r="H893" s="5"/>
      <c r="I893" s="5"/>
      <c r="J893" s="5"/>
      <c r="K893" s="5"/>
      <c r="L893" s="5"/>
      <c r="M893" s="5"/>
      <c r="N893" s="5"/>
      <c r="O893" s="5"/>
      <c r="P893" s="5"/>
      <c r="Q893" s="5"/>
      <c r="R893" s="5"/>
    </row>
    <row r="894" ht="15.75" customHeight="1">
      <c r="A894" s="5"/>
      <c r="B894" s="5"/>
      <c r="C894" s="5"/>
      <c r="D894" s="5"/>
      <c r="E894" s="5"/>
      <c r="F894" s="5"/>
      <c r="G894" s="5"/>
      <c r="H894" s="5"/>
      <c r="I894" s="5"/>
      <c r="J894" s="5"/>
      <c r="K894" s="5"/>
      <c r="L894" s="5"/>
      <c r="M894" s="5"/>
      <c r="N894" s="5"/>
      <c r="O894" s="5"/>
      <c r="P894" s="5"/>
      <c r="Q894" s="5"/>
      <c r="R894" s="5"/>
    </row>
    <row r="895" ht="15.75" customHeight="1">
      <c r="A895" s="5"/>
      <c r="B895" s="5"/>
      <c r="C895" s="5"/>
      <c r="D895" s="5"/>
      <c r="E895" s="5"/>
      <c r="F895" s="5"/>
      <c r="G895" s="5"/>
      <c r="H895" s="5"/>
      <c r="I895" s="5"/>
      <c r="J895" s="5"/>
      <c r="K895" s="5"/>
      <c r="L895" s="5"/>
      <c r="M895" s="5"/>
      <c r="N895" s="5"/>
      <c r="O895" s="5"/>
      <c r="P895" s="5"/>
      <c r="Q895" s="5"/>
      <c r="R895" s="5"/>
    </row>
    <row r="896" ht="15.75" customHeight="1">
      <c r="A896" s="5"/>
      <c r="B896" s="5"/>
      <c r="C896" s="5"/>
      <c r="D896" s="5"/>
      <c r="E896" s="5"/>
      <c r="F896" s="5"/>
      <c r="G896" s="5"/>
      <c r="H896" s="5"/>
      <c r="I896" s="5"/>
      <c r="J896" s="5"/>
      <c r="K896" s="5"/>
      <c r="L896" s="5"/>
      <c r="M896" s="5"/>
      <c r="N896" s="5"/>
      <c r="O896" s="5"/>
      <c r="P896" s="5"/>
      <c r="Q896" s="5"/>
      <c r="R896" s="5"/>
    </row>
    <row r="897" ht="15.75" customHeight="1">
      <c r="A897" s="5"/>
      <c r="B897" s="5"/>
      <c r="C897" s="5"/>
      <c r="D897" s="5"/>
      <c r="E897" s="5"/>
      <c r="F897" s="5"/>
      <c r="G897" s="5"/>
      <c r="H897" s="5"/>
      <c r="I897" s="5"/>
      <c r="J897" s="5"/>
      <c r="K897" s="5"/>
      <c r="L897" s="5"/>
      <c r="M897" s="5"/>
      <c r="N897" s="5"/>
      <c r="O897" s="5"/>
      <c r="P897" s="5"/>
      <c r="Q897" s="5"/>
      <c r="R897" s="5"/>
    </row>
    <row r="898" ht="15.75" customHeight="1">
      <c r="A898" s="5"/>
      <c r="B898" s="5"/>
      <c r="C898" s="5"/>
      <c r="D898" s="5"/>
      <c r="E898" s="5"/>
      <c r="F898" s="5"/>
      <c r="G898" s="5"/>
      <c r="H898" s="5"/>
      <c r="I898" s="5"/>
      <c r="J898" s="5"/>
      <c r="K898" s="5"/>
      <c r="L898" s="5"/>
      <c r="M898" s="5"/>
      <c r="N898" s="5"/>
      <c r="O898" s="5"/>
      <c r="P898" s="5"/>
      <c r="Q898" s="5"/>
      <c r="R898" s="5"/>
    </row>
    <row r="899" ht="15.75" customHeight="1">
      <c r="A899" s="5"/>
      <c r="B899" s="5"/>
      <c r="C899" s="5"/>
      <c r="D899" s="5"/>
      <c r="E899" s="5"/>
      <c r="F899" s="5"/>
      <c r="G899" s="5"/>
      <c r="H899" s="5"/>
      <c r="I899" s="5"/>
      <c r="J899" s="5"/>
      <c r="K899" s="5"/>
      <c r="L899" s="5"/>
      <c r="M899" s="5"/>
      <c r="N899" s="5"/>
      <c r="O899" s="5"/>
      <c r="P899" s="5"/>
      <c r="Q899" s="5"/>
      <c r="R899" s="5"/>
    </row>
    <row r="900" ht="15.75" customHeight="1">
      <c r="A900" s="5"/>
      <c r="B900" s="5"/>
      <c r="C900" s="5"/>
      <c r="D900" s="5"/>
      <c r="E900" s="5"/>
      <c r="F900" s="5"/>
      <c r="G900" s="5"/>
      <c r="H900" s="5"/>
      <c r="I900" s="5"/>
      <c r="J900" s="5"/>
      <c r="K900" s="5"/>
      <c r="L900" s="5"/>
      <c r="M900" s="5"/>
      <c r="N900" s="5"/>
      <c r="O900" s="5"/>
      <c r="P900" s="5"/>
      <c r="Q900" s="5"/>
      <c r="R900" s="5"/>
    </row>
    <row r="901" ht="15.75" customHeight="1">
      <c r="A901" s="5"/>
      <c r="B901" s="5"/>
      <c r="C901" s="5"/>
      <c r="D901" s="5"/>
      <c r="E901" s="5"/>
      <c r="F901" s="5"/>
      <c r="G901" s="5"/>
      <c r="H901" s="5"/>
      <c r="I901" s="5"/>
      <c r="J901" s="5"/>
      <c r="K901" s="5"/>
      <c r="L901" s="5"/>
      <c r="M901" s="5"/>
      <c r="N901" s="5"/>
      <c r="O901" s="5"/>
      <c r="P901" s="5"/>
      <c r="Q901" s="5"/>
      <c r="R901" s="5"/>
    </row>
    <row r="902" ht="15.75" customHeight="1">
      <c r="A902" s="5"/>
      <c r="B902" s="5"/>
      <c r="C902" s="5"/>
      <c r="D902" s="5"/>
      <c r="E902" s="5"/>
      <c r="F902" s="5"/>
      <c r="G902" s="5"/>
      <c r="H902" s="5"/>
      <c r="I902" s="5"/>
      <c r="J902" s="5"/>
      <c r="K902" s="5"/>
      <c r="L902" s="5"/>
      <c r="M902" s="5"/>
      <c r="N902" s="5"/>
      <c r="O902" s="5"/>
      <c r="P902" s="5"/>
      <c r="Q902" s="5"/>
      <c r="R902" s="5"/>
    </row>
    <row r="903" ht="15.75" customHeight="1">
      <c r="A903" s="5"/>
      <c r="B903" s="5"/>
      <c r="C903" s="5"/>
      <c r="D903" s="5"/>
      <c r="E903" s="5"/>
      <c r="F903" s="5"/>
      <c r="G903" s="5"/>
      <c r="H903" s="5"/>
      <c r="I903" s="5"/>
      <c r="J903" s="5"/>
      <c r="K903" s="5"/>
      <c r="L903" s="5"/>
      <c r="M903" s="5"/>
      <c r="N903" s="5"/>
      <c r="O903" s="5"/>
      <c r="P903" s="5"/>
      <c r="Q903" s="5"/>
      <c r="R903" s="5"/>
    </row>
    <row r="904" ht="15.75" customHeight="1">
      <c r="A904" s="5"/>
      <c r="B904" s="5"/>
      <c r="C904" s="5"/>
      <c r="D904" s="5"/>
      <c r="E904" s="5"/>
      <c r="F904" s="5"/>
      <c r="G904" s="5"/>
      <c r="H904" s="5"/>
      <c r="I904" s="5"/>
      <c r="J904" s="5"/>
      <c r="K904" s="5"/>
      <c r="L904" s="5"/>
      <c r="M904" s="5"/>
      <c r="N904" s="5"/>
      <c r="O904" s="5"/>
      <c r="P904" s="5"/>
      <c r="Q904" s="5"/>
      <c r="R904" s="5"/>
    </row>
    <row r="905" ht="15.75" customHeight="1">
      <c r="A905" s="5"/>
      <c r="B905" s="5"/>
      <c r="C905" s="5"/>
      <c r="D905" s="5"/>
      <c r="E905" s="5"/>
      <c r="F905" s="5"/>
      <c r="G905" s="5"/>
      <c r="H905" s="5"/>
      <c r="I905" s="5"/>
      <c r="J905" s="5"/>
      <c r="K905" s="5"/>
      <c r="L905" s="5"/>
      <c r="M905" s="5"/>
      <c r="N905" s="5"/>
      <c r="O905" s="5"/>
      <c r="P905" s="5"/>
      <c r="Q905" s="5"/>
      <c r="R905" s="5"/>
    </row>
    <row r="906" ht="15.75" customHeight="1">
      <c r="A906" s="5"/>
      <c r="B906" s="5"/>
      <c r="C906" s="5"/>
      <c r="D906" s="5"/>
      <c r="E906" s="5"/>
      <c r="F906" s="5"/>
      <c r="G906" s="5"/>
      <c r="H906" s="5"/>
      <c r="I906" s="5"/>
      <c r="J906" s="5"/>
      <c r="K906" s="5"/>
      <c r="L906" s="5"/>
      <c r="M906" s="5"/>
      <c r="N906" s="5"/>
      <c r="O906" s="5"/>
      <c r="P906" s="5"/>
      <c r="Q906" s="5"/>
      <c r="R906" s="5"/>
    </row>
    <row r="907" ht="15.75" customHeight="1">
      <c r="A907" s="5"/>
      <c r="B907" s="5"/>
      <c r="C907" s="5"/>
      <c r="D907" s="5"/>
      <c r="E907" s="5"/>
      <c r="F907" s="5"/>
      <c r="G907" s="5"/>
      <c r="H907" s="5"/>
      <c r="I907" s="5"/>
      <c r="J907" s="5"/>
      <c r="K907" s="5"/>
      <c r="L907" s="5"/>
      <c r="M907" s="5"/>
      <c r="N907" s="5"/>
      <c r="O907" s="5"/>
      <c r="P907" s="5"/>
      <c r="Q907" s="5"/>
      <c r="R907" s="5"/>
    </row>
    <row r="908" ht="15.75" customHeight="1">
      <c r="A908" s="5"/>
      <c r="B908" s="5"/>
      <c r="C908" s="5"/>
      <c r="D908" s="5"/>
      <c r="E908" s="5"/>
      <c r="F908" s="5"/>
      <c r="G908" s="5"/>
      <c r="H908" s="5"/>
      <c r="I908" s="5"/>
      <c r="J908" s="5"/>
      <c r="K908" s="5"/>
      <c r="L908" s="5"/>
      <c r="M908" s="5"/>
      <c r="N908" s="5"/>
      <c r="O908" s="5"/>
      <c r="P908" s="5"/>
      <c r="Q908" s="5"/>
      <c r="R908" s="5"/>
    </row>
    <row r="909" ht="15.75" customHeight="1">
      <c r="A909" s="5"/>
      <c r="B909" s="5"/>
      <c r="C909" s="5"/>
      <c r="D909" s="5"/>
      <c r="E909" s="5"/>
      <c r="F909" s="5"/>
      <c r="G909" s="5"/>
      <c r="H909" s="5"/>
      <c r="I909" s="5"/>
      <c r="J909" s="5"/>
      <c r="K909" s="5"/>
      <c r="L909" s="5"/>
      <c r="M909" s="5"/>
      <c r="N909" s="5"/>
      <c r="O909" s="5"/>
      <c r="P909" s="5"/>
      <c r="Q909" s="5"/>
      <c r="R909" s="5"/>
    </row>
    <row r="910" ht="15.75" customHeight="1">
      <c r="A910" s="5"/>
      <c r="B910" s="5"/>
      <c r="C910" s="5"/>
      <c r="D910" s="5"/>
      <c r="E910" s="5"/>
      <c r="F910" s="5"/>
      <c r="G910" s="5"/>
      <c r="H910" s="5"/>
      <c r="I910" s="5"/>
      <c r="J910" s="5"/>
      <c r="K910" s="5"/>
      <c r="L910" s="5"/>
      <c r="M910" s="5"/>
      <c r="N910" s="5"/>
      <c r="O910" s="5"/>
      <c r="P910" s="5"/>
      <c r="Q910" s="5"/>
      <c r="R910" s="5"/>
    </row>
    <row r="911" ht="15.75" customHeight="1">
      <c r="A911" s="5"/>
      <c r="B911" s="5"/>
      <c r="C911" s="5"/>
      <c r="D911" s="5"/>
      <c r="E911" s="5"/>
      <c r="F911" s="5"/>
      <c r="G911" s="5"/>
      <c r="H911" s="5"/>
      <c r="I911" s="5"/>
      <c r="J911" s="5"/>
      <c r="K911" s="5"/>
      <c r="L911" s="5"/>
      <c r="M911" s="5"/>
      <c r="N911" s="5"/>
      <c r="O911" s="5"/>
      <c r="P911" s="5"/>
      <c r="Q911" s="5"/>
      <c r="R911" s="5"/>
    </row>
    <row r="912" ht="15.75" customHeight="1">
      <c r="A912" s="5"/>
      <c r="B912" s="5"/>
      <c r="C912" s="5"/>
      <c r="D912" s="5"/>
      <c r="E912" s="5"/>
      <c r="F912" s="5"/>
      <c r="G912" s="5"/>
      <c r="H912" s="5"/>
      <c r="I912" s="5"/>
      <c r="J912" s="5"/>
      <c r="K912" s="5"/>
      <c r="L912" s="5"/>
      <c r="M912" s="5"/>
      <c r="N912" s="5"/>
      <c r="O912" s="5"/>
      <c r="P912" s="5"/>
      <c r="Q912" s="5"/>
      <c r="R912" s="5"/>
    </row>
    <row r="913" ht="15.75" customHeight="1">
      <c r="A913" s="5"/>
      <c r="B913" s="5"/>
      <c r="C913" s="5"/>
      <c r="D913" s="5"/>
      <c r="E913" s="5"/>
      <c r="F913" s="5"/>
      <c r="G913" s="5"/>
      <c r="H913" s="5"/>
      <c r="I913" s="5"/>
      <c r="J913" s="5"/>
      <c r="K913" s="5"/>
      <c r="L913" s="5"/>
      <c r="M913" s="5"/>
      <c r="N913" s="5"/>
      <c r="O913" s="5"/>
      <c r="P913" s="5"/>
      <c r="Q913" s="5"/>
      <c r="R913" s="5"/>
    </row>
    <row r="914" ht="15.75" customHeight="1">
      <c r="A914" s="5"/>
      <c r="B914" s="5"/>
      <c r="C914" s="5"/>
      <c r="D914" s="5"/>
      <c r="E914" s="5"/>
      <c r="F914" s="5"/>
      <c r="G914" s="5"/>
      <c r="H914" s="5"/>
      <c r="I914" s="5"/>
      <c r="J914" s="5"/>
      <c r="K914" s="5"/>
      <c r="L914" s="5"/>
      <c r="M914" s="5"/>
      <c r="N914" s="5"/>
      <c r="O914" s="5"/>
      <c r="P914" s="5"/>
      <c r="Q914" s="5"/>
      <c r="R914" s="5"/>
    </row>
    <row r="915" ht="15.75" customHeight="1">
      <c r="A915" s="5"/>
      <c r="B915" s="5"/>
      <c r="C915" s="5"/>
      <c r="D915" s="5"/>
      <c r="E915" s="5"/>
      <c r="F915" s="5"/>
      <c r="G915" s="5"/>
      <c r="H915" s="5"/>
      <c r="I915" s="5"/>
      <c r="J915" s="5"/>
      <c r="K915" s="5"/>
      <c r="L915" s="5"/>
      <c r="M915" s="5"/>
      <c r="N915" s="5"/>
      <c r="O915" s="5"/>
      <c r="P915" s="5"/>
      <c r="Q915" s="5"/>
      <c r="R915" s="5"/>
    </row>
    <row r="916" ht="15.75" customHeight="1">
      <c r="A916" s="5"/>
      <c r="B916" s="5"/>
      <c r="C916" s="5"/>
      <c r="D916" s="5"/>
      <c r="E916" s="5"/>
      <c r="F916" s="5"/>
      <c r="G916" s="5"/>
      <c r="H916" s="5"/>
      <c r="I916" s="5"/>
      <c r="J916" s="5"/>
      <c r="K916" s="5"/>
      <c r="L916" s="5"/>
      <c r="M916" s="5"/>
      <c r="N916" s="5"/>
      <c r="O916" s="5"/>
      <c r="P916" s="5"/>
      <c r="Q916" s="5"/>
      <c r="R916" s="5"/>
    </row>
    <row r="917" ht="15.75" customHeight="1">
      <c r="A917" s="5"/>
      <c r="B917" s="5"/>
      <c r="C917" s="5"/>
      <c r="D917" s="5"/>
      <c r="E917" s="5"/>
      <c r="F917" s="5"/>
      <c r="G917" s="5"/>
      <c r="H917" s="5"/>
      <c r="I917" s="5"/>
      <c r="J917" s="5"/>
      <c r="K917" s="5"/>
      <c r="L917" s="5"/>
      <c r="M917" s="5"/>
      <c r="N917" s="5"/>
      <c r="O917" s="5"/>
      <c r="P917" s="5"/>
      <c r="Q917" s="5"/>
      <c r="R917" s="5"/>
    </row>
    <row r="918" ht="15.75" customHeight="1">
      <c r="A918" s="5"/>
      <c r="B918" s="5"/>
      <c r="C918" s="5"/>
      <c r="D918" s="5"/>
      <c r="E918" s="5"/>
      <c r="F918" s="5"/>
      <c r="G918" s="5"/>
      <c r="H918" s="5"/>
      <c r="I918" s="5"/>
      <c r="J918" s="5"/>
      <c r="K918" s="5"/>
      <c r="L918" s="5"/>
      <c r="M918" s="5"/>
      <c r="N918" s="5"/>
      <c r="O918" s="5"/>
      <c r="P918" s="5"/>
      <c r="Q918" s="5"/>
      <c r="R918" s="5"/>
    </row>
    <row r="919" ht="15.75" customHeight="1">
      <c r="A919" s="5"/>
      <c r="B919" s="5"/>
      <c r="C919" s="5"/>
      <c r="D919" s="5"/>
      <c r="E919" s="5"/>
      <c r="F919" s="5"/>
      <c r="G919" s="5"/>
      <c r="H919" s="5"/>
      <c r="I919" s="5"/>
      <c r="J919" s="5"/>
      <c r="K919" s="5"/>
      <c r="L919" s="5"/>
      <c r="M919" s="5"/>
      <c r="N919" s="5"/>
      <c r="O919" s="5"/>
      <c r="P919" s="5"/>
      <c r="Q919" s="5"/>
      <c r="R919" s="5"/>
    </row>
    <row r="920" ht="15.75" customHeight="1">
      <c r="A920" s="5"/>
      <c r="B920" s="5"/>
      <c r="C920" s="5"/>
      <c r="D920" s="5"/>
      <c r="E920" s="5"/>
      <c r="F920" s="5"/>
      <c r="G920" s="5"/>
      <c r="H920" s="5"/>
      <c r="I920" s="5"/>
      <c r="J920" s="5"/>
      <c r="K920" s="5"/>
      <c r="L920" s="5"/>
      <c r="M920" s="5"/>
      <c r="N920" s="5"/>
      <c r="O920" s="5"/>
      <c r="P920" s="5"/>
      <c r="Q920" s="5"/>
      <c r="R920" s="5"/>
    </row>
    <row r="921" ht="15.75" customHeight="1">
      <c r="A921" s="5"/>
      <c r="B921" s="5"/>
      <c r="C921" s="5"/>
      <c r="D921" s="5"/>
      <c r="E921" s="5"/>
      <c r="F921" s="5"/>
      <c r="G921" s="5"/>
      <c r="H921" s="5"/>
      <c r="I921" s="5"/>
      <c r="J921" s="5"/>
      <c r="K921" s="5"/>
      <c r="L921" s="5"/>
      <c r="M921" s="5"/>
      <c r="N921" s="5"/>
      <c r="O921" s="5"/>
      <c r="P921" s="5"/>
      <c r="Q921" s="5"/>
      <c r="R921" s="5"/>
    </row>
    <row r="922" ht="15.75" customHeight="1">
      <c r="A922" s="5"/>
      <c r="B922" s="5"/>
      <c r="C922" s="5"/>
      <c r="D922" s="5"/>
      <c r="E922" s="5"/>
      <c r="F922" s="5"/>
      <c r="G922" s="5"/>
      <c r="H922" s="5"/>
      <c r="I922" s="5"/>
      <c r="J922" s="5"/>
      <c r="K922" s="5"/>
      <c r="L922" s="5"/>
      <c r="M922" s="5"/>
      <c r="N922" s="5"/>
      <c r="O922" s="5"/>
      <c r="P922" s="5"/>
      <c r="Q922" s="5"/>
      <c r="R922" s="5"/>
    </row>
    <row r="923" ht="15.75" customHeight="1">
      <c r="A923" s="5"/>
      <c r="B923" s="5"/>
      <c r="C923" s="5"/>
      <c r="D923" s="5"/>
      <c r="E923" s="5"/>
      <c r="F923" s="5"/>
      <c r="G923" s="5"/>
      <c r="H923" s="5"/>
      <c r="I923" s="5"/>
      <c r="J923" s="5"/>
      <c r="K923" s="5"/>
      <c r="L923" s="5"/>
      <c r="M923" s="5"/>
      <c r="N923" s="5"/>
      <c r="O923" s="5"/>
      <c r="P923" s="5"/>
      <c r="Q923" s="5"/>
      <c r="R923" s="5"/>
    </row>
    <row r="924" ht="15.75" customHeight="1">
      <c r="A924" s="5"/>
      <c r="B924" s="5"/>
      <c r="C924" s="5"/>
      <c r="D924" s="5"/>
      <c r="E924" s="5"/>
      <c r="F924" s="5"/>
      <c r="G924" s="5"/>
      <c r="H924" s="5"/>
      <c r="I924" s="5"/>
      <c r="J924" s="5"/>
      <c r="K924" s="5"/>
      <c r="L924" s="5"/>
      <c r="M924" s="5"/>
      <c r="N924" s="5"/>
      <c r="O924" s="5"/>
      <c r="P924" s="5"/>
      <c r="Q924" s="5"/>
      <c r="R924" s="5"/>
    </row>
    <row r="925" ht="15.75" customHeight="1">
      <c r="A925" s="5"/>
      <c r="B925" s="5"/>
      <c r="C925" s="5"/>
      <c r="D925" s="5"/>
      <c r="E925" s="5"/>
      <c r="F925" s="5"/>
      <c r="G925" s="5"/>
      <c r="H925" s="5"/>
      <c r="I925" s="5"/>
      <c r="J925" s="5"/>
      <c r="K925" s="5"/>
      <c r="L925" s="5"/>
      <c r="M925" s="5"/>
      <c r="N925" s="5"/>
      <c r="O925" s="5"/>
      <c r="P925" s="5"/>
      <c r="Q925" s="5"/>
      <c r="R925" s="5"/>
    </row>
    <row r="926" ht="15.75" customHeight="1">
      <c r="A926" s="5"/>
      <c r="B926" s="5"/>
      <c r="C926" s="5"/>
      <c r="D926" s="5"/>
      <c r="E926" s="5"/>
      <c r="F926" s="5"/>
      <c r="G926" s="5"/>
      <c r="H926" s="5"/>
      <c r="I926" s="5"/>
      <c r="J926" s="5"/>
      <c r="K926" s="5"/>
      <c r="L926" s="5"/>
      <c r="M926" s="5"/>
      <c r="N926" s="5"/>
      <c r="O926" s="5"/>
      <c r="P926" s="5"/>
      <c r="Q926" s="5"/>
      <c r="R926" s="5"/>
    </row>
    <row r="927" ht="15.75" customHeight="1">
      <c r="A927" s="5"/>
      <c r="B927" s="5"/>
      <c r="C927" s="5"/>
      <c r="D927" s="5"/>
      <c r="E927" s="5"/>
      <c r="F927" s="5"/>
      <c r="G927" s="5"/>
      <c r="H927" s="5"/>
      <c r="I927" s="5"/>
      <c r="J927" s="5"/>
      <c r="K927" s="5"/>
      <c r="L927" s="5"/>
      <c r="M927" s="5"/>
      <c r="N927" s="5"/>
      <c r="O927" s="5"/>
      <c r="P927" s="5"/>
      <c r="Q927" s="5"/>
      <c r="R927" s="5"/>
    </row>
    <row r="928" ht="15.75" customHeight="1">
      <c r="A928" s="5"/>
      <c r="B928" s="5"/>
      <c r="C928" s="5"/>
      <c r="D928" s="5"/>
      <c r="E928" s="5"/>
      <c r="F928" s="5"/>
      <c r="G928" s="5"/>
      <c r="H928" s="5"/>
      <c r="I928" s="5"/>
      <c r="J928" s="5"/>
      <c r="K928" s="5"/>
      <c r="L928" s="5"/>
      <c r="M928" s="5"/>
      <c r="N928" s="5"/>
      <c r="O928" s="5"/>
      <c r="P928" s="5"/>
      <c r="Q928" s="5"/>
      <c r="R928" s="5"/>
    </row>
    <row r="929" ht="15.75" customHeight="1">
      <c r="A929" s="5"/>
      <c r="B929" s="5"/>
      <c r="C929" s="5"/>
      <c r="D929" s="5"/>
      <c r="E929" s="5"/>
      <c r="F929" s="5"/>
      <c r="G929" s="5"/>
      <c r="H929" s="5"/>
      <c r="I929" s="5"/>
      <c r="J929" s="5"/>
      <c r="K929" s="5"/>
      <c r="L929" s="5"/>
      <c r="M929" s="5"/>
      <c r="N929" s="5"/>
      <c r="O929" s="5"/>
      <c r="P929" s="5"/>
      <c r="Q929" s="5"/>
      <c r="R929" s="5"/>
    </row>
    <row r="930" ht="15.75" customHeight="1">
      <c r="A930" s="5"/>
      <c r="B930" s="5"/>
      <c r="C930" s="5"/>
      <c r="D930" s="5"/>
      <c r="E930" s="5"/>
      <c r="F930" s="5"/>
      <c r="G930" s="5"/>
      <c r="H930" s="5"/>
      <c r="I930" s="5"/>
      <c r="J930" s="5"/>
      <c r="K930" s="5"/>
      <c r="L930" s="5"/>
      <c r="M930" s="5"/>
      <c r="N930" s="5"/>
      <c r="O930" s="5"/>
      <c r="P930" s="5"/>
      <c r="Q930" s="5"/>
      <c r="R930" s="5"/>
    </row>
    <row r="931" ht="15.75" customHeight="1">
      <c r="A931" s="5"/>
      <c r="B931" s="5"/>
      <c r="C931" s="5"/>
      <c r="D931" s="5"/>
      <c r="E931" s="5"/>
      <c r="F931" s="5"/>
      <c r="G931" s="5"/>
      <c r="H931" s="5"/>
      <c r="I931" s="5"/>
      <c r="J931" s="5"/>
      <c r="K931" s="5"/>
      <c r="L931" s="5"/>
      <c r="M931" s="5"/>
      <c r="N931" s="5"/>
      <c r="O931" s="5"/>
      <c r="P931" s="5"/>
      <c r="Q931" s="5"/>
      <c r="R931" s="5"/>
    </row>
    <row r="932" ht="15.75" customHeight="1">
      <c r="A932" s="5"/>
      <c r="B932" s="5"/>
      <c r="C932" s="5"/>
      <c r="D932" s="5"/>
      <c r="E932" s="5"/>
      <c r="F932" s="5"/>
      <c r="G932" s="5"/>
      <c r="H932" s="5"/>
      <c r="I932" s="5"/>
      <c r="J932" s="5"/>
      <c r="K932" s="5"/>
      <c r="L932" s="5"/>
      <c r="M932" s="5"/>
      <c r="N932" s="5"/>
      <c r="O932" s="5"/>
      <c r="P932" s="5"/>
      <c r="Q932" s="5"/>
      <c r="R932" s="5"/>
    </row>
    <row r="933" ht="15.75" customHeight="1">
      <c r="A933" s="5"/>
      <c r="B933" s="5"/>
      <c r="C933" s="5"/>
      <c r="D933" s="5"/>
      <c r="E933" s="5"/>
      <c r="F933" s="5"/>
      <c r="G933" s="5"/>
      <c r="H933" s="5"/>
      <c r="I933" s="5"/>
      <c r="J933" s="5"/>
      <c r="K933" s="5"/>
      <c r="L933" s="5"/>
      <c r="M933" s="5"/>
      <c r="N933" s="5"/>
      <c r="O933" s="5"/>
      <c r="P933" s="5"/>
      <c r="Q933" s="5"/>
      <c r="R933" s="5"/>
    </row>
    <row r="934" ht="15.75" customHeight="1">
      <c r="A934" s="5"/>
      <c r="B934" s="5"/>
      <c r="C934" s="5"/>
      <c r="D934" s="5"/>
      <c r="E934" s="5"/>
      <c r="F934" s="5"/>
      <c r="G934" s="5"/>
      <c r="H934" s="5"/>
      <c r="I934" s="5"/>
      <c r="J934" s="5"/>
      <c r="K934" s="5"/>
      <c r="L934" s="5"/>
      <c r="M934" s="5"/>
      <c r="N934" s="5"/>
      <c r="O934" s="5"/>
      <c r="P934" s="5"/>
      <c r="Q934" s="5"/>
      <c r="R934" s="5"/>
    </row>
    <row r="935" ht="15.75" customHeight="1">
      <c r="A935" s="5"/>
      <c r="B935" s="5"/>
      <c r="C935" s="5"/>
      <c r="D935" s="5"/>
      <c r="E935" s="5"/>
      <c r="F935" s="5"/>
      <c r="G935" s="5"/>
      <c r="H935" s="5"/>
      <c r="I935" s="5"/>
      <c r="J935" s="5"/>
      <c r="K935" s="5"/>
      <c r="L935" s="5"/>
      <c r="M935" s="5"/>
      <c r="N935" s="5"/>
      <c r="O935" s="5"/>
      <c r="P935" s="5"/>
      <c r="Q935" s="5"/>
      <c r="R935" s="5"/>
    </row>
    <row r="936" ht="15.75" customHeight="1">
      <c r="A936" s="5"/>
      <c r="B936" s="5"/>
      <c r="C936" s="5"/>
      <c r="D936" s="5"/>
      <c r="E936" s="5"/>
      <c r="F936" s="5"/>
      <c r="G936" s="5"/>
      <c r="H936" s="5"/>
      <c r="I936" s="5"/>
      <c r="J936" s="5"/>
      <c r="K936" s="5"/>
      <c r="L936" s="5"/>
      <c r="M936" s="5"/>
      <c r="N936" s="5"/>
      <c r="O936" s="5"/>
      <c r="P936" s="5"/>
      <c r="Q936" s="5"/>
      <c r="R936" s="5"/>
    </row>
    <row r="937" ht="15.75" customHeight="1">
      <c r="A937" s="5"/>
      <c r="B937" s="5"/>
      <c r="C937" s="5"/>
      <c r="D937" s="5"/>
      <c r="E937" s="5"/>
      <c r="F937" s="5"/>
      <c r="G937" s="5"/>
      <c r="H937" s="5"/>
      <c r="I937" s="5"/>
      <c r="J937" s="5"/>
      <c r="K937" s="5"/>
      <c r="L937" s="5"/>
      <c r="M937" s="5"/>
      <c r="N937" s="5"/>
      <c r="O937" s="5"/>
      <c r="P937" s="5"/>
      <c r="Q937" s="5"/>
      <c r="R937" s="5"/>
    </row>
    <row r="938" ht="15.75" customHeight="1">
      <c r="A938" s="5"/>
      <c r="B938" s="5"/>
      <c r="C938" s="5"/>
      <c r="D938" s="5"/>
      <c r="E938" s="5"/>
      <c r="F938" s="5"/>
      <c r="G938" s="5"/>
      <c r="H938" s="5"/>
      <c r="I938" s="5"/>
      <c r="J938" s="5"/>
      <c r="K938" s="5"/>
      <c r="L938" s="5"/>
      <c r="M938" s="5"/>
      <c r="N938" s="5"/>
      <c r="O938" s="5"/>
      <c r="P938" s="5"/>
      <c r="Q938" s="5"/>
      <c r="R938" s="5"/>
    </row>
    <row r="939" ht="15.75" customHeight="1">
      <c r="A939" s="5"/>
      <c r="B939" s="5"/>
      <c r="C939" s="5"/>
      <c r="D939" s="5"/>
      <c r="E939" s="5"/>
      <c r="F939" s="5"/>
      <c r="G939" s="5"/>
      <c r="H939" s="5"/>
      <c r="I939" s="5"/>
      <c r="J939" s="5"/>
      <c r="K939" s="5"/>
      <c r="L939" s="5"/>
      <c r="M939" s="5"/>
      <c r="N939" s="5"/>
      <c r="O939" s="5"/>
      <c r="P939" s="5"/>
      <c r="Q939" s="5"/>
      <c r="R939" s="5"/>
    </row>
    <row r="940" ht="15.75" customHeight="1">
      <c r="A940" s="5"/>
      <c r="B940" s="5"/>
      <c r="C940" s="5"/>
      <c r="D940" s="5"/>
      <c r="E940" s="5"/>
      <c r="F940" s="5"/>
      <c r="G940" s="5"/>
      <c r="H940" s="5"/>
      <c r="I940" s="5"/>
      <c r="J940" s="5"/>
      <c r="K940" s="5"/>
      <c r="L940" s="5"/>
      <c r="M940" s="5"/>
      <c r="N940" s="5"/>
      <c r="O940" s="5"/>
      <c r="P940" s="5"/>
      <c r="Q940" s="5"/>
      <c r="R940" s="5"/>
    </row>
    <row r="941" ht="15.75" customHeight="1">
      <c r="A941" s="5"/>
      <c r="B941" s="5"/>
      <c r="C941" s="5"/>
      <c r="D941" s="5"/>
      <c r="E941" s="5"/>
      <c r="F941" s="5"/>
      <c r="G941" s="5"/>
      <c r="H941" s="5"/>
      <c r="I941" s="5"/>
      <c r="J941" s="5"/>
      <c r="K941" s="5"/>
      <c r="L941" s="5"/>
      <c r="M941" s="5"/>
      <c r="N941" s="5"/>
      <c r="O941" s="5"/>
      <c r="P941" s="5"/>
      <c r="Q941" s="5"/>
      <c r="R941" s="5"/>
    </row>
    <row r="942" ht="15.75" customHeight="1">
      <c r="A942" s="5"/>
      <c r="B942" s="5"/>
      <c r="C942" s="5"/>
      <c r="D942" s="5"/>
      <c r="E942" s="5"/>
      <c r="F942" s="5"/>
      <c r="G942" s="5"/>
      <c r="H942" s="5"/>
      <c r="I942" s="5"/>
      <c r="J942" s="5"/>
      <c r="K942" s="5"/>
      <c r="L942" s="5"/>
      <c r="M942" s="5"/>
      <c r="N942" s="5"/>
      <c r="O942" s="5"/>
      <c r="P942" s="5"/>
      <c r="Q942" s="5"/>
      <c r="R942" s="5"/>
    </row>
    <row r="943" ht="15.75" customHeight="1">
      <c r="A943" s="5"/>
      <c r="B943" s="5"/>
      <c r="C943" s="5"/>
      <c r="D943" s="5"/>
      <c r="E943" s="5"/>
      <c r="F943" s="5"/>
      <c r="G943" s="5"/>
      <c r="H943" s="5"/>
      <c r="I943" s="5"/>
      <c r="J943" s="5"/>
      <c r="K943" s="5"/>
      <c r="L943" s="5"/>
      <c r="M943" s="5"/>
      <c r="N943" s="5"/>
      <c r="O943" s="5"/>
      <c r="P943" s="5"/>
      <c r="Q943" s="5"/>
      <c r="R943" s="5"/>
    </row>
    <row r="944" ht="15.75" customHeight="1">
      <c r="A944" s="5"/>
      <c r="B944" s="5"/>
      <c r="C944" s="5"/>
      <c r="D944" s="5"/>
      <c r="E944" s="5"/>
      <c r="F944" s="5"/>
      <c r="G944" s="5"/>
      <c r="H944" s="5"/>
      <c r="I944" s="5"/>
      <c r="J944" s="5"/>
      <c r="K944" s="5"/>
      <c r="L944" s="5"/>
      <c r="M944" s="5"/>
      <c r="N944" s="5"/>
      <c r="O944" s="5"/>
      <c r="P944" s="5"/>
      <c r="Q944" s="5"/>
      <c r="R944" s="5"/>
    </row>
    <row r="945" ht="15.75" customHeight="1">
      <c r="A945" s="5"/>
      <c r="B945" s="5"/>
      <c r="C945" s="5"/>
      <c r="D945" s="5"/>
      <c r="E945" s="5"/>
      <c r="F945" s="5"/>
      <c r="G945" s="5"/>
      <c r="H945" s="5"/>
      <c r="I945" s="5"/>
      <c r="J945" s="5"/>
      <c r="K945" s="5"/>
      <c r="L945" s="5"/>
      <c r="M945" s="5"/>
      <c r="N945" s="5"/>
      <c r="O945" s="5"/>
      <c r="P945" s="5"/>
      <c r="Q945" s="5"/>
      <c r="R945" s="5"/>
    </row>
    <row r="946" ht="15.75" customHeight="1">
      <c r="A946" s="5"/>
      <c r="B946" s="5"/>
      <c r="C946" s="5"/>
      <c r="D946" s="5"/>
      <c r="E946" s="5"/>
      <c r="F946" s="5"/>
      <c r="G946" s="5"/>
      <c r="H946" s="5"/>
      <c r="I946" s="5"/>
      <c r="J946" s="5"/>
      <c r="K946" s="5"/>
      <c r="L946" s="5"/>
      <c r="M946" s="5"/>
      <c r="N946" s="5"/>
      <c r="O946" s="5"/>
      <c r="P946" s="5"/>
      <c r="Q946" s="5"/>
      <c r="R946" s="5"/>
    </row>
    <row r="947" ht="15.75" customHeight="1">
      <c r="A947" s="5"/>
      <c r="B947" s="5"/>
      <c r="C947" s="5"/>
      <c r="D947" s="5"/>
      <c r="E947" s="5"/>
      <c r="F947" s="5"/>
      <c r="G947" s="5"/>
      <c r="H947" s="5"/>
      <c r="I947" s="5"/>
      <c r="J947" s="5"/>
      <c r="K947" s="5"/>
      <c r="L947" s="5"/>
      <c r="M947" s="5"/>
      <c r="N947" s="5"/>
      <c r="O947" s="5"/>
      <c r="P947" s="5"/>
      <c r="Q947" s="5"/>
      <c r="R947" s="5"/>
    </row>
    <row r="948" ht="15.75" customHeight="1">
      <c r="A948" s="5"/>
      <c r="B948" s="5"/>
      <c r="C948" s="5"/>
      <c r="D948" s="5"/>
      <c r="E948" s="5"/>
      <c r="F948" s="5"/>
      <c r="G948" s="5"/>
      <c r="H948" s="5"/>
      <c r="I948" s="5"/>
      <c r="J948" s="5"/>
      <c r="K948" s="5"/>
      <c r="L948" s="5"/>
      <c r="M948" s="5"/>
      <c r="N948" s="5"/>
      <c r="O948" s="5"/>
      <c r="P948" s="5"/>
      <c r="Q948" s="5"/>
      <c r="R948" s="5"/>
    </row>
    <row r="949" ht="15.75" customHeight="1">
      <c r="A949" s="5"/>
      <c r="B949" s="5"/>
      <c r="C949" s="5"/>
      <c r="D949" s="5"/>
      <c r="E949" s="5"/>
      <c r="F949" s="5"/>
      <c r="G949" s="5"/>
      <c r="H949" s="5"/>
      <c r="I949" s="5"/>
      <c r="J949" s="5"/>
      <c r="K949" s="5"/>
      <c r="L949" s="5"/>
      <c r="M949" s="5"/>
      <c r="N949" s="5"/>
      <c r="O949" s="5"/>
      <c r="P949" s="5"/>
      <c r="Q949" s="5"/>
      <c r="R949" s="5"/>
    </row>
    <row r="950" ht="15.75" customHeight="1">
      <c r="A950" s="5"/>
      <c r="B950" s="5"/>
      <c r="C950" s="5"/>
      <c r="D950" s="5"/>
      <c r="E950" s="5"/>
      <c r="F950" s="5"/>
      <c r="G950" s="5"/>
      <c r="H950" s="5"/>
      <c r="I950" s="5"/>
      <c r="J950" s="5"/>
      <c r="K950" s="5"/>
      <c r="L950" s="5"/>
      <c r="M950" s="5"/>
      <c r="N950" s="5"/>
      <c r="O950" s="5"/>
      <c r="P950" s="5"/>
      <c r="Q950" s="5"/>
      <c r="R950" s="5"/>
    </row>
    <row r="951" ht="15.75" customHeight="1">
      <c r="A951" s="5"/>
      <c r="B951" s="5"/>
      <c r="C951" s="5"/>
      <c r="D951" s="5"/>
      <c r="E951" s="5"/>
      <c r="F951" s="5"/>
      <c r="G951" s="5"/>
      <c r="H951" s="5"/>
      <c r="I951" s="5"/>
      <c r="J951" s="5"/>
      <c r="K951" s="5"/>
      <c r="L951" s="5"/>
      <c r="M951" s="5"/>
      <c r="N951" s="5"/>
      <c r="O951" s="5"/>
      <c r="P951" s="5"/>
      <c r="Q951" s="5"/>
      <c r="R951" s="5"/>
    </row>
    <row r="952" ht="15.75" customHeight="1">
      <c r="A952" s="5"/>
      <c r="B952" s="5"/>
      <c r="C952" s="5"/>
      <c r="D952" s="5"/>
      <c r="E952" s="5"/>
      <c r="F952" s="5"/>
      <c r="G952" s="5"/>
      <c r="H952" s="5"/>
      <c r="I952" s="5"/>
      <c r="J952" s="5"/>
      <c r="K952" s="5"/>
      <c r="L952" s="5"/>
      <c r="M952" s="5"/>
      <c r="N952" s="5"/>
      <c r="O952" s="5"/>
      <c r="P952" s="5"/>
      <c r="Q952" s="5"/>
      <c r="R952" s="5"/>
    </row>
    <row r="953" ht="15.75" customHeight="1">
      <c r="A953" s="5"/>
      <c r="B953" s="5"/>
      <c r="C953" s="5"/>
      <c r="D953" s="5"/>
      <c r="E953" s="5"/>
      <c r="F953" s="5"/>
      <c r="G953" s="5"/>
      <c r="H953" s="5"/>
      <c r="I953" s="5"/>
      <c r="J953" s="5"/>
      <c r="K953" s="5"/>
      <c r="L953" s="5"/>
      <c r="M953" s="5"/>
      <c r="N953" s="5"/>
      <c r="O953" s="5"/>
      <c r="P953" s="5"/>
      <c r="Q953" s="5"/>
      <c r="R953" s="5"/>
    </row>
    <row r="954" ht="15.75" customHeight="1">
      <c r="A954" s="5"/>
      <c r="B954" s="5"/>
      <c r="C954" s="5"/>
      <c r="D954" s="5"/>
      <c r="E954" s="5"/>
      <c r="F954" s="5"/>
      <c r="G954" s="5"/>
      <c r="H954" s="5"/>
      <c r="I954" s="5"/>
      <c r="J954" s="5"/>
      <c r="K954" s="5"/>
      <c r="L954" s="5"/>
      <c r="M954" s="5"/>
      <c r="N954" s="5"/>
      <c r="O954" s="5"/>
      <c r="P954" s="5"/>
      <c r="Q954" s="5"/>
      <c r="R954" s="5"/>
    </row>
    <row r="955" ht="15.75" customHeight="1">
      <c r="A955" s="5"/>
      <c r="B955" s="5"/>
      <c r="C955" s="5"/>
      <c r="D955" s="5"/>
      <c r="E955" s="5"/>
      <c r="F955" s="5"/>
      <c r="G955" s="5"/>
      <c r="H955" s="5"/>
      <c r="I955" s="5"/>
      <c r="J955" s="5"/>
      <c r="K955" s="5"/>
      <c r="L955" s="5"/>
      <c r="M955" s="5"/>
      <c r="N955" s="5"/>
      <c r="O955" s="5"/>
      <c r="P955" s="5"/>
      <c r="Q955" s="5"/>
      <c r="R955" s="5"/>
    </row>
    <row r="956" ht="15.75" customHeight="1">
      <c r="A956" s="5"/>
      <c r="B956" s="5"/>
      <c r="C956" s="5"/>
      <c r="D956" s="5"/>
      <c r="E956" s="5"/>
      <c r="F956" s="5"/>
      <c r="G956" s="5"/>
      <c r="H956" s="5"/>
      <c r="I956" s="5"/>
      <c r="J956" s="5"/>
      <c r="K956" s="5"/>
      <c r="L956" s="5"/>
      <c r="M956" s="5"/>
      <c r="N956" s="5"/>
      <c r="O956" s="5"/>
      <c r="P956" s="5"/>
      <c r="Q956" s="5"/>
      <c r="R956" s="5"/>
    </row>
    <row r="957" ht="15.75" customHeight="1">
      <c r="A957" s="5"/>
      <c r="B957" s="5"/>
      <c r="C957" s="5"/>
      <c r="D957" s="5"/>
      <c r="E957" s="5"/>
      <c r="F957" s="5"/>
      <c r="G957" s="5"/>
      <c r="H957" s="5"/>
      <c r="I957" s="5"/>
      <c r="J957" s="5"/>
      <c r="K957" s="5"/>
      <c r="L957" s="5"/>
      <c r="M957" s="5"/>
      <c r="N957" s="5"/>
      <c r="O957" s="5"/>
      <c r="P957" s="5"/>
      <c r="Q957" s="5"/>
      <c r="R957" s="5"/>
    </row>
    <row r="958" ht="15.75" customHeight="1">
      <c r="A958" s="5"/>
      <c r="B958" s="5"/>
      <c r="C958" s="5"/>
      <c r="D958" s="5"/>
      <c r="E958" s="5"/>
      <c r="F958" s="5"/>
      <c r="G958" s="5"/>
      <c r="H958" s="5"/>
      <c r="I958" s="5"/>
      <c r="J958" s="5"/>
      <c r="K958" s="5"/>
      <c r="L958" s="5"/>
      <c r="M958" s="5"/>
      <c r="N958" s="5"/>
      <c r="O958" s="5"/>
      <c r="P958" s="5"/>
      <c r="Q958" s="5"/>
      <c r="R958" s="5"/>
    </row>
    <row r="959" ht="15.75" customHeight="1">
      <c r="A959" s="5"/>
      <c r="B959" s="5"/>
      <c r="C959" s="5"/>
      <c r="D959" s="5"/>
      <c r="E959" s="5"/>
      <c r="F959" s="5"/>
      <c r="G959" s="5"/>
      <c r="H959" s="5"/>
      <c r="I959" s="5"/>
      <c r="J959" s="5"/>
      <c r="K959" s="5"/>
      <c r="L959" s="5"/>
      <c r="M959" s="5"/>
      <c r="N959" s="5"/>
      <c r="O959" s="5"/>
      <c r="P959" s="5"/>
      <c r="Q959" s="5"/>
      <c r="R959" s="5"/>
    </row>
    <row r="960" ht="15.75" customHeight="1">
      <c r="A960" s="5"/>
      <c r="B960" s="5"/>
      <c r="C960" s="5"/>
      <c r="D960" s="5"/>
      <c r="E960" s="5"/>
      <c r="F960" s="5"/>
      <c r="G960" s="5"/>
      <c r="H960" s="5"/>
      <c r="I960" s="5"/>
      <c r="J960" s="5"/>
      <c r="K960" s="5"/>
      <c r="L960" s="5"/>
      <c r="M960" s="5"/>
      <c r="N960" s="5"/>
      <c r="O960" s="5"/>
      <c r="P960" s="5"/>
      <c r="Q960" s="5"/>
      <c r="R960" s="5"/>
    </row>
    <row r="961" ht="15.75" customHeight="1">
      <c r="A961" s="5"/>
      <c r="B961" s="5"/>
      <c r="C961" s="5"/>
      <c r="D961" s="5"/>
      <c r="E961" s="5"/>
      <c r="F961" s="5"/>
      <c r="G961" s="5"/>
      <c r="H961" s="5"/>
      <c r="I961" s="5"/>
      <c r="J961" s="5"/>
      <c r="K961" s="5"/>
      <c r="L961" s="5"/>
      <c r="M961" s="5"/>
      <c r="N961" s="5"/>
      <c r="O961" s="5"/>
      <c r="P961" s="5"/>
      <c r="Q961" s="5"/>
      <c r="R961" s="5"/>
    </row>
    <row r="962" ht="15.75" customHeight="1">
      <c r="A962" s="5"/>
      <c r="B962" s="5"/>
      <c r="C962" s="5"/>
      <c r="D962" s="5"/>
      <c r="E962" s="5"/>
      <c r="F962" s="5"/>
      <c r="G962" s="5"/>
      <c r="H962" s="5"/>
      <c r="I962" s="5"/>
      <c r="J962" s="5"/>
      <c r="K962" s="5"/>
      <c r="L962" s="5"/>
      <c r="M962" s="5"/>
      <c r="N962" s="5"/>
      <c r="O962" s="5"/>
      <c r="P962" s="5"/>
      <c r="Q962" s="5"/>
      <c r="R962" s="5"/>
    </row>
    <row r="963" ht="15.75" customHeight="1">
      <c r="A963" s="5"/>
      <c r="B963" s="5"/>
      <c r="C963" s="5"/>
      <c r="D963" s="5"/>
      <c r="E963" s="5"/>
      <c r="F963" s="5"/>
      <c r="G963" s="5"/>
      <c r="H963" s="5"/>
      <c r="I963" s="5"/>
      <c r="J963" s="5"/>
      <c r="K963" s="5"/>
      <c r="L963" s="5"/>
      <c r="M963" s="5"/>
      <c r="N963" s="5"/>
      <c r="O963" s="5"/>
      <c r="P963" s="5"/>
      <c r="Q963" s="5"/>
      <c r="R963" s="5"/>
    </row>
    <row r="964" ht="15.75" customHeight="1">
      <c r="A964" s="5"/>
      <c r="B964" s="5"/>
      <c r="C964" s="5"/>
      <c r="D964" s="5"/>
      <c r="E964" s="5"/>
      <c r="F964" s="5"/>
      <c r="G964" s="5"/>
      <c r="H964" s="5"/>
      <c r="I964" s="5"/>
      <c r="J964" s="5"/>
      <c r="K964" s="5"/>
      <c r="L964" s="5"/>
      <c r="M964" s="5"/>
      <c r="N964" s="5"/>
      <c r="O964" s="5"/>
      <c r="P964" s="5"/>
      <c r="Q964" s="5"/>
      <c r="R964" s="5"/>
    </row>
    <row r="965" ht="15.75" customHeight="1">
      <c r="A965" s="5"/>
      <c r="B965" s="5"/>
      <c r="C965" s="5"/>
      <c r="D965" s="5"/>
      <c r="E965" s="5"/>
      <c r="F965" s="5"/>
      <c r="G965" s="5"/>
      <c r="H965" s="5"/>
      <c r="I965" s="5"/>
      <c r="J965" s="5"/>
      <c r="K965" s="5"/>
      <c r="L965" s="5"/>
      <c r="M965" s="5"/>
      <c r="N965" s="5"/>
      <c r="O965" s="5"/>
      <c r="P965" s="5"/>
      <c r="Q965" s="5"/>
      <c r="R965" s="5"/>
    </row>
    <row r="966" ht="15.75" customHeight="1">
      <c r="A966" s="5"/>
      <c r="B966" s="5"/>
      <c r="C966" s="5"/>
      <c r="D966" s="5"/>
      <c r="E966" s="5"/>
      <c r="F966" s="5"/>
      <c r="G966" s="5"/>
      <c r="H966" s="5"/>
      <c r="I966" s="5"/>
      <c r="J966" s="5"/>
      <c r="K966" s="5"/>
      <c r="L966" s="5"/>
      <c r="M966" s="5"/>
      <c r="N966" s="5"/>
      <c r="O966" s="5"/>
      <c r="P966" s="5"/>
      <c r="Q966" s="5"/>
      <c r="R966" s="5"/>
    </row>
    <row r="967" ht="15.75" customHeight="1">
      <c r="A967" s="5"/>
      <c r="B967" s="5"/>
      <c r="C967" s="5"/>
      <c r="D967" s="5"/>
      <c r="E967" s="5"/>
      <c r="F967" s="5"/>
      <c r="G967" s="5"/>
      <c r="H967" s="5"/>
      <c r="I967" s="5"/>
      <c r="J967" s="5"/>
      <c r="K967" s="5"/>
      <c r="L967" s="5"/>
      <c r="M967" s="5"/>
      <c r="N967" s="5"/>
      <c r="O967" s="5"/>
      <c r="P967" s="5"/>
      <c r="Q967" s="5"/>
      <c r="R967" s="5"/>
    </row>
    <row r="968" ht="15.75" customHeight="1">
      <c r="A968" s="5"/>
      <c r="B968" s="5"/>
      <c r="C968" s="5"/>
      <c r="D968" s="5"/>
      <c r="E968" s="5"/>
      <c r="F968" s="5"/>
      <c r="G968" s="5"/>
      <c r="H968" s="5"/>
      <c r="I968" s="5"/>
      <c r="J968" s="5"/>
      <c r="K968" s="5"/>
      <c r="L968" s="5"/>
      <c r="M968" s="5"/>
      <c r="N968" s="5"/>
      <c r="O968" s="5"/>
      <c r="P968" s="5"/>
      <c r="Q968" s="5"/>
      <c r="R968" s="5"/>
    </row>
    <row r="969" ht="15.75" customHeight="1">
      <c r="A969" s="5"/>
      <c r="B969" s="5"/>
      <c r="C969" s="5"/>
      <c r="D969" s="5"/>
      <c r="E969" s="5"/>
      <c r="F969" s="5"/>
      <c r="G969" s="5"/>
      <c r="H969" s="5"/>
      <c r="I969" s="5"/>
      <c r="J969" s="5"/>
      <c r="K969" s="5"/>
      <c r="L969" s="5"/>
      <c r="M969" s="5"/>
      <c r="N969" s="5"/>
      <c r="O969" s="5"/>
      <c r="P969" s="5"/>
      <c r="Q969" s="5"/>
      <c r="R969" s="5"/>
    </row>
    <row r="970" ht="15.75" customHeight="1">
      <c r="A970" s="5"/>
      <c r="B970" s="5"/>
      <c r="C970" s="5"/>
      <c r="D970" s="5"/>
      <c r="E970" s="5"/>
      <c r="F970" s="5"/>
      <c r="G970" s="5"/>
      <c r="H970" s="5"/>
      <c r="I970" s="5"/>
      <c r="J970" s="5"/>
      <c r="K970" s="5"/>
      <c r="L970" s="5"/>
      <c r="M970" s="5"/>
      <c r="N970" s="5"/>
      <c r="O970" s="5"/>
      <c r="P970" s="5"/>
      <c r="Q970" s="5"/>
      <c r="R970" s="5"/>
    </row>
    <row r="971" ht="15.75" customHeight="1">
      <c r="A971" s="5"/>
      <c r="B971" s="5"/>
      <c r="C971" s="5"/>
      <c r="D971" s="5"/>
      <c r="E971" s="5"/>
      <c r="F971" s="5"/>
      <c r="G971" s="5"/>
      <c r="H971" s="5"/>
      <c r="I971" s="5"/>
      <c r="J971" s="5"/>
      <c r="K971" s="5"/>
      <c r="L971" s="5"/>
      <c r="M971" s="5"/>
      <c r="N971" s="5"/>
      <c r="O971" s="5"/>
      <c r="P971" s="5"/>
      <c r="Q971" s="5"/>
      <c r="R971" s="5"/>
    </row>
    <row r="972" ht="15.75" customHeight="1">
      <c r="A972" s="5"/>
      <c r="B972" s="5"/>
      <c r="C972" s="5"/>
      <c r="D972" s="5"/>
      <c r="E972" s="5"/>
      <c r="F972" s="5"/>
      <c r="G972" s="5"/>
      <c r="H972" s="5"/>
      <c r="I972" s="5"/>
      <c r="J972" s="5"/>
      <c r="K972" s="5"/>
      <c r="L972" s="5"/>
      <c r="M972" s="5"/>
      <c r="N972" s="5"/>
      <c r="O972" s="5"/>
      <c r="P972" s="5"/>
      <c r="Q972" s="5"/>
      <c r="R972" s="5"/>
    </row>
    <row r="973" ht="15.75" customHeight="1">
      <c r="A973" s="5"/>
      <c r="B973" s="5"/>
      <c r="C973" s="5"/>
      <c r="D973" s="5"/>
      <c r="E973" s="5"/>
      <c r="F973" s="5"/>
      <c r="G973" s="5"/>
      <c r="H973" s="5"/>
      <c r="I973" s="5"/>
      <c r="J973" s="5"/>
      <c r="K973" s="5"/>
      <c r="L973" s="5"/>
      <c r="M973" s="5"/>
      <c r="N973" s="5"/>
      <c r="O973" s="5"/>
      <c r="P973" s="5"/>
      <c r="Q973" s="5"/>
      <c r="R973" s="5"/>
    </row>
    <row r="974" ht="15.75" customHeight="1">
      <c r="A974" s="5"/>
      <c r="B974" s="5"/>
      <c r="C974" s="5"/>
      <c r="D974" s="5"/>
      <c r="E974" s="5"/>
      <c r="F974" s="5"/>
      <c r="G974" s="5"/>
      <c r="H974" s="5"/>
      <c r="I974" s="5"/>
      <c r="J974" s="5"/>
      <c r="K974" s="5"/>
      <c r="L974" s="5"/>
      <c r="M974" s="5"/>
      <c r="N974" s="5"/>
      <c r="O974" s="5"/>
      <c r="P974" s="5"/>
      <c r="Q974" s="5"/>
      <c r="R974" s="5"/>
    </row>
    <row r="975" ht="15.75" customHeight="1">
      <c r="A975" s="5"/>
      <c r="B975" s="5"/>
      <c r="C975" s="5"/>
      <c r="D975" s="5"/>
      <c r="E975" s="5"/>
      <c r="F975" s="5"/>
      <c r="G975" s="5"/>
      <c r="H975" s="5"/>
      <c r="I975" s="5"/>
      <c r="J975" s="5"/>
      <c r="K975" s="5"/>
      <c r="L975" s="5"/>
      <c r="M975" s="5"/>
      <c r="N975" s="5"/>
      <c r="O975" s="5"/>
      <c r="P975" s="5"/>
      <c r="Q975" s="5"/>
      <c r="R975" s="5"/>
    </row>
    <row r="976" ht="15.75" customHeight="1">
      <c r="A976" s="5"/>
      <c r="B976" s="5"/>
      <c r="C976" s="5"/>
      <c r="D976" s="5"/>
      <c r="E976" s="5"/>
      <c r="F976" s="5"/>
      <c r="G976" s="5"/>
      <c r="H976" s="5"/>
      <c r="I976" s="5"/>
      <c r="J976" s="5"/>
      <c r="K976" s="5"/>
      <c r="L976" s="5"/>
      <c r="M976" s="5"/>
      <c r="N976" s="5"/>
      <c r="O976" s="5"/>
      <c r="P976" s="5"/>
      <c r="Q976" s="5"/>
      <c r="R976" s="5"/>
    </row>
    <row r="977" ht="15.75" customHeight="1">
      <c r="A977" s="5"/>
      <c r="B977" s="5"/>
      <c r="C977" s="5"/>
      <c r="D977" s="5"/>
      <c r="E977" s="5"/>
      <c r="F977" s="5"/>
      <c r="G977" s="5"/>
      <c r="H977" s="5"/>
      <c r="I977" s="5"/>
      <c r="J977" s="5"/>
      <c r="K977" s="5"/>
      <c r="L977" s="5"/>
      <c r="M977" s="5"/>
      <c r="N977" s="5"/>
      <c r="O977" s="5"/>
      <c r="P977" s="5"/>
      <c r="Q977" s="5"/>
      <c r="R977" s="5"/>
    </row>
    <row r="978" ht="15.75" customHeight="1">
      <c r="A978" s="5"/>
      <c r="B978" s="5"/>
      <c r="C978" s="5"/>
      <c r="D978" s="5"/>
      <c r="E978" s="5"/>
      <c r="F978" s="5"/>
      <c r="G978" s="5"/>
      <c r="H978" s="5"/>
      <c r="I978" s="5"/>
      <c r="J978" s="5"/>
      <c r="K978" s="5"/>
      <c r="L978" s="5"/>
      <c r="M978" s="5"/>
      <c r="N978" s="5"/>
      <c r="O978" s="5"/>
      <c r="P978" s="5"/>
      <c r="Q978" s="5"/>
      <c r="R978" s="5"/>
    </row>
    <row r="979" ht="15.75" customHeight="1">
      <c r="A979" s="5"/>
      <c r="B979" s="5"/>
      <c r="C979" s="5"/>
      <c r="D979" s="5"/>
      <c r="E979" s="5"/>
      <c r="F979" s="5"/>
      <c r="G979" s="5"/>
      <c r="H979" s="5"/>
      <c r="I979" s="5"/>
      <c r="J979" s="5"/>
      <c r="K979" s="5"/>
      <c r="L979" s="5"/>
      <c r="M979" s="5"/>
      <c r="N979" s="5"/>
      <c r="O979" s="5"/>
      <c r="P979" s="5"/>
      <c r="Q979" s="5"/>
      <c r="R979" s="5"/>
    </row>
    <row r="980" ht="15.75" customHeight="1">
      <c r="A980" s="5"/>
      <c r="B980" s="5"/>
      <c r="C980" s="5"/>
      <c r="D980" s="5"/>
      <c r="E980" s="5"/>
      <c r="F980" s="5"/>
      <c r="G980" s="5"/>
      <c r="H980" s="5"/>
      <c r="I980" s="5"/>
      <c r="J980" s="5"/>
      <c r="K980" s="5"/>
      <c r="L980" s="5"/>
      <c r="M980" s="5"/>
      <c r="N980" s="5"/>
      <c r="O980" s="5"/>
      <c r="P980" s="5"/>
      <c r="Q980" s="5"/>
      <c r="R980" s="5"/>
    </row>
    <row r="981" ht="15.75" customHeight="1">
      <c r="A981" s="5"/>
      <c r="B981" s="5"/>
      <c r="C981" s="5"/>
      <c r="D981" s="5"/>
      <c r="E981" s="5"/>
      <c r="F981" s="5"/>
      <c r="G981" s="5"/>
      <c r="H981" s="5"/>
      <c r="I981" s="5"/>
      <c r="J981" s="5"/>
      <c r="K981" s="5"/>
      <c r="L981" s="5"/>
      <c r="M981" s="5"/>
      <c r="N981" s="5"/>
      <c r="O981" s="5"/>
      <c r="P981" s="5"/>
      <c r="Q981" s="5"/>
      <c r="R981" s="5"/>
    </row>
    <row r="982" ht="15.75" customHeight="1">
      <c r="A982" s="5"/>
      <c r="B982" s="5"/>
      <c r="C982" s="5"/>
      <c r="D982" s="5"/>
      <c r="E982" s="5"/>
      <c r="F982" s="5"/>
      <c r="G982" s="5"/>
      <c r="H982" s="5"/>
      <c r="I982" s="5"/>
      <c r="J982" s="5"/>
      <c r="K982" s="5"/>
      <c r="L982" s="5"/>
      <c r="M982" s="5"/>
      <c r="N982" s="5"/>
      <c r="O982" s="5"/>
      <c r="P982" s="5"/>
      <c r="Q982" s="5"/>
      <c r="R982" s="5"/>
    </row>
    <row r="983" ht="15.75" customHeight="1">
      <c r="A983" s="5"/>
      <c r="B983" s="5"/>
      <c r="C983" s="5"/>
      <c r="D983" s="5"/>
      <c r="E983" s="5"/>
      <c r="F983" s="5"/>
      <c r="G983" s="5"/>
      <c r="H983" s="5"/>
      <c r="I983" s="5"/>
      <c r="J983" s="5"/>
      <c r="K983" s="5"/>
      <c r="L983" s="5"/>
      <c r="M983" s="5"/>
      <c r="N983" s="5"/>
      <c r="O983" s="5"/>
      <c r="P983" s="5"/>
      <c r="Q983" s="5"/>
      <c r="R983" s="5"/>
    </row>
    <row r="984" ht="15.75" customHeight="1">
      <c r="A984" s="5"/>
      <c r="B984" s="5"/>
      <c r="C984" s="5"/>
      <c r="D984" s="5"/>
      <c r="E984" s="5"/>
      <c r="F984" s="5"/>
      <c r="G984" s="5"/>
      <c r="H984" s="5"/>
      <c r="I984" s="5"/>
      <c r="J984" s="5"/>
      <c r="K984" s="5"/>
      <c r="L984" s="5"/>
      <c r="M984" s="5"/>
      <c r="N984" s="5"/>
      <c r="O984" s="5"/>
      <c r="P984" s="5"/>
      <c r="Q984" s="5"/>
      <c r="R984" s="5"/>
    </row>
    <row r="985" ht="15.75" customHeight="1">
      <c r="A985" s="5"/>
      <c r="B985" s="5"/>
      <c r="C985" s="5"/>
      <c r="D985" s="5"/>
      <c r="E985" s="5"/>
      <c r="F985" s="5"/>
      <c r="G985" s="5"/>
      <c r="H985" s="5"/>
      <c r="I985" s="5"/>
      <c r="J985" s="5"/>
      <c r="K985" s="5"/>
      <c r="L985" s="5"/>
      <c r="M985" s="5"/>
      <c r="N985" s="5"/>
      <c r="O985" s="5"/>
      <c r="P985" s="5"/>
      <c r="Q985" s="5"/>
      <c r="R985" s="5"/>
    </row>
    <row r="986" ht="15.75" customHeight="1">
      <c r="A986" s="5"/>
      <c r="B986" s="5"/>
      <c r="C986" s="5"/>
      <c r="D986" s="5"/>
      <c r="E986" s="5"/>
      <c r="F986" s="5"/>
      <c r="G986" s="5"/>
      <c r="H986" s="5"/>
      <c r="I986" s="5"/>
      <c r="J986" s="5"/>
      <c r="K986" s="5"/>
      <c r="L986" s="5"/>
      <c r="M986" s="5"/>
      <c r="N986" s="5"/>
      <c r="O986" s="5"/>
      <c r="P986" s="5"/>
      <c r="Q986" s="5"/>
      <c r="R986" s="5"/>
    </row>
    <row r="987" ht="15.75" customHeight="1">
      <c r="A987" s="5"/>
      <c r="B987" s="5"/>
      <c r="C987" s="5"/>
      <c r="D987" s="5"/>
      <c r="E987" s="5"/>
      <c r="F987" s="5"/>
      <c r="G987" s="5"/>
      <c r="H987" s="5"/>
      <c r="I987" s="5"/>
      <c r="J987" s="5"/>
      <c r="K987" s="5"/>
      <c r="L987" s="5"/>
      <c r="M987" s="5"/>
      <c r="N987" s="5"/>
      <c r="O987" s="5"/>
      <c r="P987" s="5"/>
      <c r="Q987" s="5"/>
      <c r="R987" s="5"/>
    </row>
    <row r="988" ht="15.75" customHeight="1">
      <c r="A988" s="5"/>
      <c r="B988" s="5"/>
      <c r="C988" s="5"/>
      <c r="D988" s="5"/>
      <c r="E988" s="5"/>
      <c r="F988" s="5"/>
      <c r="G988" s="5"/>
      <c r="H988" s="5"/>
      <c r="I988" s="5"/>
      <c r="J988" s="5"/>
      <c r="K988" s="5"/>
      <c r="L988" s="5"/>
      <c r="M988" s="5"/>
      <c r="N988" s="5"/>
      <c r="O988" s="5"/>
      <c r="P988" s="5"/>
      <c r="Q988" s="5"/>
      <c r="R988" s="5"/>
    </row>
    <row r="989" ht="15.75" customHeight="1">
      <c r="A989" s="5"/>
      <c r="B989" s="5"/>
      <c r="C989" s="5"/>
      <c r="D989" s="5"/>
      <c r="E989" s="5"/>
      <c r="F989" s="5"/>
      <c r="G989" s="5"/>
      <c r="H989" s="5"/>
      <c r="I989" s="5"/>
      <c r="J989" s="5"/>
      <c r="K989" s="5"/>
      <c r="L989" s="5"/>
      <c r="M989" s="5"/>
      <c r="N989" s="5"/>
      <c r="O989" s="5"/>
      <c r="P989" s="5"/>
      <c r="Q989" s="5"/>
      <c r="R989" s="5"/>
    </row>
    <row r="990" ht="15.75" customHeight="1">
      <c r="A990" s="5"/>
      <c r="B990" s="5"/>
      <c r="C990" s="5"/>
      <c r="D990" s="5"/>
      <c r="E990" s="5"/>
      <c r="F990" s="5"/>
      <c r="G990" s="5"/>
      <c r="H990" s="5"/>
      <c r="I990" s="5"/>
      <c r="J990" s="5"/>
      <c r="K990" s="5"/>
      <c r="L990" s="5"/>
      <c r="M990" s="5"/>
      <c r="N990" s="5"/>
      <c r="O990" s="5"/>
      <c r="P990" s="5"/>
      <c r="Q990" s="5"/>
      <c r="R990" s="5"/>
    </row>
    <row r="991" ht="15.75" customHeight="1">
      <c r="A991" s="5"/>
      <c r="B991" s="5"/>
      <c r="C991" s="5"/>
      <c r="D991" s="5"/>
      <c r="E991" s="5"/>
      <c r="F991" s="5"/>
      <c r="G991" s="5"/>
      <c r="H991" s="5"/>
      <c r="I991" s="5"/>
      <c r="J991" s="5"/>
      <c r="K991" s="5"/>
      <c r="L991" s="5"/>
      <c r="M991" s="5"/>
      <c r="N991" s="5"/>
      <c r="O991" s="5"/>
      <c r="P991" s="5"/>
      <c r="Q991" s="5"/>
      <c r="R991" s="5"/>
    </row>
    <row r="992" ht="15.75" customHeight="1">
      <c r="A992" s="5"/>
      <c r="B992" s="5"/>
      <c r="C992" s="5"/>
      <c r="D992" s="5"/>
      <c r="E992" s="5"/>
      <c r="F992" s="5"/>
      <c r="G992" s="5"/>
      <c r="H992" s="5"/>
      <c r="I992" s="5"/>
      <c r="J992" s="5"/>
      <c r="K992" s="5"/>
      <c r="L992" s="5"/>
      <c r="M992" s="5"/>
      <c r="N992" s="5"/>
      <c r="O992" s="5"/>
      <c r="P992" s="5"/>
      <c r="Q992" s="5"/>
      <c r="R992" s="5"/>
    </row>
    <row r="993" ht="15.75" customHeight="1">
      <c r="A993" s="5"/>
      <c r="B993" s="5"/>
      <c r="C993" s="5"/>
      <c r="D993" s="5"/>
      <c r="E993" s="5"/>
      <c r="F993" s="5"/>
      <c r="G993" s="5"/>
      <c r="H993" s="5"/>
      <c r="I993" s="5"/>
      <c r="J993" s="5"/>
      <c r="K993" s="5"/>
      <c r="L993" s="5"/>
      <c r="M993" s="5"/>
      <c r="N993" s="5"/>
      <c r="O993" s="5"/>
      <c r="P993" s="5"/>
      <c r="Q993" s="5"/>
      <c r="R993" s="5"/>
    </row>
    <row r="994" ht="15.75" customHeight="1">
      <c r="A994" s="5"/>
      <c r="B994" s="5"/>
      <c r="C994" s="5"/>
      <c r="D994" s="5"/>
      <c r="E994" s="5"/>
      <c r="F994" s="5"/>
      <c r="G994" s="5"/>
      <c r="H994" s="5"/>
      <c r="I994" s="5"/>
      <c r="J994" s="5"/>
      <c r="K994" s="5"/>
      <c r="L994" s="5"/>
      <c r="M994" s="5"/>
      <c r="N994" s="5"/>
      <c r="O994" s="5"/>
      <c r="P994" s="5"/>
      <c r="Q994" s="5"/>
      <c r="R994" s="5"/>
    </row>
    <row r="995" ht="15.75" customHeight="1">
      <c r="A995" s="5"/>
      <c r="B995" s="5"/>
      <c r="C995" s="5"/>
      <c r="D995" s="5"/>
      <c r="E995" s="5"/>
      <c r="F995" s="5"/>
      <c r="G995" s="5"/>
      <c r="H995" s="5"/>
      <c r="I995" s="5"/>
      <c r="J995" s="5"/>
      <c r="K995" s="5"/>
      <c r="L995" s="5"/>
      <c r="M995" s="5"/>
      <c r="N995" s="5"/>
      <c r="O995" s="5"/>
      <c r="P995" s="5"/>
      <c r="Q995" s="5"/>
      <c r="R995" s="5"/>
    </row>
    <row r="996" ht="15.75" customHeight="1">
      <c r="A996" s="5"/>
      <c r="B996" s="5"/>
      <c r="C996" s="5"/>
      <c r="D996" s="5"/>
      <c r="E996" s="5"/>
      <c r="F996" s="5"/>
      <c r="G996" s="5"/>
      <c r="H996" s="5"/>
      <c r="I996" s="5"/>
      <c r="J996" s="5"/>
      <c r="K996" s="5"/>
      <c r="L996" s="5"/>
      <c r="M996" s="5"/>
      <c r="N996" s="5"/>
      <c r="O996" s="5"/>
      <c r="P996" s="5"/>
      <c r="Q996" s="5"/>
      <c r="R996" s="5"/>
    </row>
    <row r="997" ht="15.75" customHeight="1">
      <c r="A997" s="5"/>
      <c r="B997" s="5"/>
      <c r="C997" s="5"/>
      <c r="D997" s="5"/>
      <c r="E997" s="5"/>
      <c r="F997" s="5"/>
      <c r="G997" s="5"/>
      <c r="H997" s="5"/>
      <c r="I997" s="5"/>
      <c r="J997" s="5"/>
      <c r="K997" s="5"/>
      <c r="L997" s="5"/>
      <c r="M997" s="5"/>
      <c r="N997" s="5"/>
      <c r="O997" s="5"/>
      <c r="P997" s="5"/>
      <c r="Q997" s="5"/>
      <c r="R997" s="5"/>
    </row>
  </sheetData>
  <mergeCells count="10">
    <mergeCell ref="B20:B21"/>
    <mergeCell ref="C20:C21"/>
    <mergeCell ref="D22:D28"/>
    <mergeCell ref="B1:D1"/>
    <mergeCell ref="E1:F1"/>
    <mergeCell ref="B2:D2"/>
    <mergeCell ref="E2:F2"/>
    <mergeCell ref="B3:C3"/>
    <mergeCell ref="D5:D14"/>
    <mergeCell ref="D15:D17"/>
  </mergeCells>
  <hyperlinks>
    <hyperlink r:id="rId1" ref="E2"/>
    <hyperlink r:id="rId2" location="1" ref="B39"/>
  </hyperlinks>
  <printOptions/>
  <pageMargins bottom="0.75" footer="0.0" header="0.0" left="0.7" right="0.7" top="0.75"/>
  <pageSetup orientation="landscape"/>
  <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77E3E"/>
    <outlinePr summaryBelow="0" summaryRight="0"/>
    <pageSetUpPr/>
  </sheetPr>
  <sheetViews>
    <sheetView workbookViewId="0"/>
  </sheetViews>
  <sheetFormatPr customHeight="1" defaultColWidth="12.63" defaultRowHeight="15.0"/>
  <cols>
    <col customWidth="1" min="1" max="1" width="53.38"/>
    <col customWidth="1" min="2" max="14" width="16.13"/>
    <col customWidth="1" min="15" max="15" width="36.38"/>
    <col customWidth="1" min="16" max="27" width="16.13"/>
    <col customWidth="1" min="28" max="28" width="36.38"/>
    <col customWidth="1" min="29" max="40" width="16.13"/>
  </cols>
  <sheetData>
    <row r="1" ht="32.25" customHeight="1">
      <c r="A1" s="313" t="s">
        <v>681</v>
      </c>
      <c r="B1" s="314">
        <v>0.02</v>
      </c>
      <c r="C1" s="218"/>
      <c r="D1" s="218"/>
      <c r="E1" s="218"/>
      <c r="F1" s="218"/>
      <c r="G1" s="218"/>
      <c r="H1" s="218"/>
      <c r="I1" s="218"/>
      <c r="J1" s="218"/>
      <c r="K1" s="218"/>
      <c r="L1" s="218"/>
      <c r="M1" s="218"/>
      <c r="N1" s="218"/>
      <c r="O1" s="313" t="s">
        <v>682</v>
      </c>
      <c r="P1" s="314">
        <v>0.02</v>
      </c>
      <c r="Q1" s="218"/>
      <c r="R1" s="218"/>
      <c r="S1" s="218"/>
      <c r="T1" s="218"/>
      <c r="U1" s="218"/>
      <c r="V1" s="218"/>
      <c r="W1" s="218"/>
      <c r="X1" s="218"/>
      <c r="Y1" s="218"/>
      <c r="Z1" s="218"/>
      <c r="AA1" s="218"/>
      <c r="AB1" s="313" t="s">
        <v>683</v>
      </c>
      <c r="AC1" s="314">
        <v>0.02</v>
      </c>
      <c r="AD1" s="218"/>
      <c r="AE1" s="218"/>
      <c r="AF1" s="218"/>
      <c r="AG1" s="218"/>
      <c r="AH1" s="218"/>
      <c r="AI1" s="218"/>
      <c r="AJ1" s="218"/>
      <c r="AK1" s="218"/>
      <c r="AL1" s="218"/>
      <c r="AM1" s="218"/>
      <c r="AN1" s="218"/>
    </row>
    <row r="2" ht="25.5" customHeight="1">
      <c r="A2" s="1"/>
      <c r="B2" s="315" t="s">
        <v>684</v>
      </c>
      <c r="C2" s="47"/>
      <c r="D2" s="47"/>
      <c r="E2" s="47"/>
      <c r="F2" s="47"/>
      <c r="G2" s="47"/>
      <c r="H2" s="47"/>
      <c r="I2" s="47"/>
      <c r="J2" s="47"/>
      <c r="K2" s="47"/>
      <c r="L2" s="47"/>
      <c r="M2" s="47"/>
      <c r="N2" s="12"/>
      <c r="O2" s="316" t="s">
        <v>685</v>
      </c>
      <c r="P2" s="47"/>
      <c r="Q2" s="47"/>
      <c r="R2" s="47"/>
      <c r="S2" s="47"/>
      <c r="T2" s="47"/>
      <c r="U2" s="47"/>
      <c r="V2" s="47"/>
      <c r="W2" s="47"/>
      <c r="X2" s="47"/>
      <c r="Y2" s="47"/>
      <c r="Z2" s="47"/>
      <c r="AA2" s="12"/>
      <c r="AB2" s="317" t="s">
        <v>686</v>
      </c>
      <c r="AC2" s="47"/>
      <c r="AD2" s="47"/>
      <c r="AE2" s="47"/>
      <c r="AF2" s="47"/>
      <c r="AG2" s="47"/>
      <c r="AH2" s="47"/>
      <c r="AI2" s="47"/>
      <c r="AJ2" s="47"/>
      <c r="AK2" s="47"/>
      <c r="AL2" s="47"/>
      <c r="AM2" s="47"/>
      <c r="AN2" s="12"/>
    </row>
    <row r="3" ht="25.5" customHeight="1">
      <c r="A3" s="1"/>
      <c r="B3" s="318" t="s">
        <v>498</v>
      </c>
      <c r="C3" s="318" t="s">
        <v>499</v>
      </c>
      <c r="D3" s="318" t="s">
        <v>500</v>
      </c>
      <c r="E3" s="318" t="s">
        <v>501</v>
      </c>
      <c r="F3" s="318" t="s">
        <v>502</v>
      </c>
      <c r="G3" s="318" t="s">
        <v>503</v>
      </c>
      <c r="H3" s="318" t="s">
        <v>504</v>
      </c>
      <c r="I3" s="318" t="s">
        <v>505</v>
      </c>
      <c r="J3" s="318" t="s">
        <v>506</v>
      </c>
      <c r="K3" s="318" t="s">
        <v>507</v>
      </c>
      <c r="L3" s="318" t="s">
        <v>508</v>
      </c>
      <c r="M3" s="318" t="s">
        <v>509</v>
      </c>
      <c r="N3" s="319" t="s">
        <v>687</v>
      </c>
      <c r="O3" s="320">
        <v>1.0</v>
      </c>
      <c r="P3" s="320">
        <v>2.0</v>
      </c>
      <c r="Q3" s="320">
        <v>3.0</v>
      </c>
      <c r="R3" s="320">
        <v>4.0</v>
      </c>
      <c r="S3" s="320">
        <v>5.0</v>
      </c>
      <c r="T3" s="320">
        <v>6.0</v>
      </c>
      <c r="U3" s="320">
        <v>7.0</v>
      </c>
      <c r="V3" s="320">
        <v>8.0</v>
      </c>
      <c r="W3" s="320">
        <v>9.0</v>
      </c>
      <c r="X3" s="320">
        <v>10.0</v>
      </c>
      <c r="Y3" s="320">
        <v>11.0</v>
      </c>
      <c r="Z3" s="320">
        <v>12.0</v>
      </c>
      <c r="AA3" s="320" t="s">
        <v>687</v>
      </c>
      <c r="AB3" s="321">
        <v>1.0</v>
      </c>
      <c r="AC3" s="321">
        <v>2.0</v>
      </c>
      <c r="AD3" s="321">
        <v>3.0</v>
      </c>
      <c r="AE3" s="321">
        <v>4.0</v>
      </c>
      <c r="AF3" s="321">
        <v>5.0</v>
      </c>
      <c r="AG3" s="321">
        <v>6.0</v>
      </c>
      <c r="AH3" s="321">
        <v>7.0</v>
      </c>
      <c r="AI3" s="321">
        <v>8.0</v>
      </c>
      <c r="AJ3" s="321">
        <v>9.0</v>
      </c>
      <c r="AK3" s="321">
        <v>10.0</v>
      </c>
      <c r="AL3" s="321">
        <v>11.0</v>
      </c>
      <c r="AM3" s="321">
        <v>12.0</v>
      </c>
      <c r="AN3" s="321" t="s">
        <v>687</v>
      </c>
    </row>
    <row r="4" ht="26.25" customHeight="1">
      <c r="A4" s="322" t="s">
        <v>688</v>
      </c>
      <c r="B4" s="323">
        <v>0.0</v>
      </c>
      <c r="C4" s="324">
        <f t="shared" ref="C4:M4" si="1">IF(B69&lt;0, 0, B69)</f>
        <v>0</v>
      </c>
      <c r="D4" s="324">
        <f t="shared" si="1"/>
        <v>0</v>
      </c>
      <c r="E4" s="324">
        <f t="shared" si="1"/>
        <v>0</v>
      </c>
      <c r="F4" s="324">
        <f t="shared" si="1"/>
        <v>0</v>
      </c>
      <c r="G4" s="324">
        <f t="shared" si="1"/>
        <v>0</v>
      </c>
      <c r="H4" s="324">
        <f t="shared" si="1"/>
        <v>0</v>
      </c>
      <c r="I4" s="324">
        <f t="shared" si="1"/>
        <v>11034327.8</v>
      </c>
      <c r="J4" s="324">
        <f t="shared" si="1"/>
        <v>21920651.32</v>
      </c>
      <c r="K4" s="324">
        <f t="shared" si="1"/>
        <v>12227112.99</v>
      </c>
      <c r="L4" s="324">
        <f t="shared" si="1"/>
        <v>8999125.844</v>
      </c>
      <c r="M4" s="324">
        <f t="shared" si="1"/>
        <v>3159584.962</v>
      </c>
      <c r="N4" s="325"/>
      <c r="O4" s="326">
        <f>IF(M69&lt;0, 0, M69)</f>
        <v>3540934.743</v>
      </c>
      <c r="P4" s="326">
        <f t="shared" ref="P4:Z4" si="2">IF(O69&lt;0, 0, O69)</f>
        <v>22717695.9</v>
      </c>
      <c r="Q4" s="326">
        <f t="shared" si="2"/>
        <v>34121138.17</v>
      </c>
      <c r="R4" s="326">
        <f t="shared" si="2"/>
        <v>37518551.56</v>
      </c>
      <c r="S4" s="326">
        <f t="shared" si="2"/>
        <v>41322429.1</v>
      </c>
      <c r="T4" s="326">
        <f t="shared" si="2"/>
        <v>23447066.58</v>
      </c>
      <c r="U4" s="326">
        <f t="shared" si="2"/>
        <v>3197028.652</v>
      </c>
      <c r="V4" s="326">
        <f t="shared" si="2"/>
        <v>5766535.525</v>
      </c>
      <c r="W4" s="326">
        <f t="shared" si="2"/>
        <v>10959379.59</v>
      </c>
      <c r="X4" s="326">
        <f t="shared" si="2"/>
        <v>8696082.752</v>
      </c>
      <c r="Y4" s="326">
        <f t="shared" si="2"/>
        <v>9146620.727</v>
      </c>
      <c r="Z4" s="326">
        <f t="shared" si="2"/>
        <v>9178468.199</v>
      </c>
      <c r="AA4" s="325"/>
      <c r="AB4" s="326">
        <f>IF(Z69&lt;0, 0, Z69)</f>
        <v>9846403.339</v>
      </c>
      <c r="AC4" s="326">
        <f t="shared" ref="AC4:AM4" si="3">IF(AB69&lt;0, 0, AB69)</f>
        <v>24217619.77</v>
      </c>
      <c r="AD4" s="326">
        <f t="shared" si="3"/>
        <v>27250594.58</v>
      </c>
      <c r="AE4" s="326">
        <f t="shared" si="3"/>
        <v>30472821.14</v>
      </c>
      <c r="AF4" s="326">
        <f t="shared" si="3"/>
        <v>39366116.08</v>
      </c>
      <c r="AG4" s="326">
        <f t="shared" si="3"/>
        <v>16531460.53</v>
      </c>
      <c r="AH4" s="326">
        <f t="shared" si="3"/>
        <v>3992679.004</v>
      </c>
      <c r="AI4" s="326">
        <f t="shared" si="3"/>
        <v>25279975.29</v>
      </c>
      <c r="AJ4" s="326">
        <f t="shared" si="3"/>
        <v>45674893.1</v>
      </c>
      <c r="AK4" s="326">
        <f t="shared" si="3"/>
        <v>7696850.614</v>
      </c>
      <c r="AL4" s="326">
        <f t="shared" si="3"/>
        <v>8222805.005</v>
      </c>
      <c r="AM4" s="326">
        <f t="shared" si="3"/>
        <v>8479020.993</v>
      </c>
      <c r="AN4" s="325"/>
    </row>
    <row r="5" ht="26.25" customHeight="1">
      <c r="A5" s="327" t="s">
        <v>689</v>
      </c>
      <c r="B5" s="328"/>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12"/>
    </row>
    <row r="6" ht="26.25" customHeight="1">
      <c r="A6" s="329" t="s">
        <v>690</v>
      </c>
      <c r="B6" s="330">
        <f>'6.4.1 Estimación de ventas (Eje'!I5</f>
        <v>24273000</v>
      </c>
      <c r="C6" s="330">
        <f>'6.4.1 Estimación de ventas (Eje'!I6</f>
        <v>21924000</v>
      </c>
      <c r="D6" s="330">
        <f>'6.4.1 Estimación de ventas (Eje'!I7</f>
        <v>19216125</v>
      </c>
      <c r="E6" s="330">
        <f>'6.4.1 Estimación de ventas (Eje'!I8</f>
        <v>22315500</v>
      </c>
      <c r="F6" s="330">
        <f>'6.4.1 Estimación de ventas (Eje'!I9</f>
        <v>21845700</v>
      </c>
      <c r="G6" s="330">
        <f>'6.4.1 Estimación de ventas (Eje'!I10</f>
        <v>14094000</v>
      </c>
      <c r="H6" s="330">
        <f>'6.4.1 Estimación de ventas (Eje'!I11</f>
        <v>48546000</v>
      </c>
      <c r="I6" s="330">
        <f>'6.4.1 Estimación de ventas (Eje'!I12</f>
        <v>48546000</v>
      </c>
      <c r="J6" s="330">
        <f>'6.4.1 Estimación de ventas (Eje'!I13</f>
        <v>21141000</v>
      </c>
      <c r="K6" s="330">
        <f>'6.4.1 Estimación de ventas (Eje'!I14</f>
        <v>30745800</v>
      </c>
      <c r="L6" s="330">
        <f>'6.4.1 Estimación de ventas (Eje'!I15</f>
        <v>29754000</v>
      </c>
      <c r="M6" s="330">
        <f>'6.4.1 Estimación de ventas (Eje'!I16</f>
        <v>38432250</v>
      </c>
      <c r="N6" s="331">
        <f t="shared" ref="N6:N11" si="4">SUM(B6:M6)</f>
        <v>340833375</v>
      </c>
      <c r="O6" s="330">
        <f>'6.4.1 Estimación de ventas (Eje'!I24</f>
        <v>75874050</v>
      </c>
      <c r="P6" s="330">
        <f>'6.4.1 Estimación de ventas (Eje'!I25</f>
        <v>68531400</v>
      </c>
      <c r="Q6" s="330">
        <f>'6.4.1 Estimación de ventas (Eje'!I26</f>
        <v>51485962.5</v>
      </c>
      <c r="R6" s="330">
        <f>'6.4.1 Estimación de ventas (Eje'!I27</f>
        <v>49825125</v>
      </c>
      <c r="S6" s="330">
        <f>'6.4.1 Estimación de ventas (Eje'!I28</f>
        <v>29265705</v>
      </c>
      <c r="T6" s="330">
        <f>'6.4.1 Estimación de ventas (Eje'!I29</f>
        <v>28321650</v>
      </c>
      <c r="U6" s="330">
        <f>'6.4.1 Estimación de ventas (Eje'!I30</f>
        <v>86713200</v>
      </c>
      <c r="V6" s="330">
        <f>'6.4.1 Estimación de ventas (Eje'!I31</f>
        <v>86713200</v>
      </c>
      <c r="W6" s="330">
        <f>'6.4.1 Estimación de ventas (Eje'!I32</f>
        <v>37762200</v>
      </c>
      <c r="X6" s="330">
        <f>'6.4.1 Estimación de ventas (Eje'!I33</f>
        <v>51485962.5</v>
      </c>
      <c r="Y6" s="330">
        <f>'6.4.1 Estimación de ventas (Eje'!I34</f>
        <v>49825125</v>
      </c>
      <c r="Z6" s="330">
        <f>'6.4.1 Estimación de ventas (Eje'!I35</f>
        <v>51485962.5</v>
      </c>
      <c r="AA6" s="331">
        <f t="shared" ref="AA6:AA12" si="5">SUM(O6:Z6)</f>
        <v>667289542.5</v>
      </c>
      <c r="AB6" s="330">
        <f>'6.4.1 Estimación de ventas (Eje'!I43</f>
        <v>110735100</v>
      </c>
      <c r="AC6" s="330">
        <f>'6.4.1 Estimación de ventas (Eje'!I44</f>
        <v>100018800</v>
      </c>
      <c r="AD6" s="330">
        <f>'6.4.1 Estimación de ventas (Eje'!I45</f>
        <v>81820935</v>
      </c>
      <c r="AE6" s="330">
        <f>'6.4.1 Estimación de ventas (Eje'!I46</f>
        <v>79181550</v>
      </c>
      <c r="AF6" s="330">
        <f>'6.4.1 Estimación de ventas (Eje'!I47</f>
        <v>44294040</v>
      </c>
      <c r="AG6" s="330">
        <f>'6.4.1 Estimación de ventas (Eje'!I48</f>
        <v>42865200</v>
      </c>
      <c r="AH6" s="330">
        <f>'6.4.1 Estimación de ventas (Eje'!I49</f>
        <v>123039000</v>
      </c>
      <c r="AI6" s="330">
        <f>'6.4.1 Estimación de ventas (Eje'!I50</f>
        <v>123039000</v>
      </c>
      <c r="AJ6" s="330">
        <f>'6.4.1 Estimación de ventas (Eje'!I51</f>
        <v>53581500</v>
      </c>
      <c r="AK6" s="330">
        <f>'6.4.1 Estimación de ventas (Eje'!I52</f>
        <v>81820935</v>
      </c>
      <c r="AL6" s="330">
        <f>'6.4.1 Estimación de ventas (Eje'!I53</f>
        <v>79181550</v>
      </c>
      <c r="AM6" s="330">
        <f>'6.4.1 Estimación de ventas (Eje'!I54</f>
        <v>81820935</v>
      </c>
      <c r="AN6" s="331">
        <f t="shared" ref="AN6:AN12" si="6">SUM(AB6:AM6)</f>
        <v>1001398545</v>
      </c>
    </row>
    <row r="7" ht="26.25" customHeight="1">
      <c r="A7" s="329" t="s">
        <v>691</v>
      </c>
      <c r="B7" s="330">
        <f>'6.4.1 Estimación de ventas (Eje'!M67</f>
        <v>704700</v>
      </c>
      <c r="C7" s="330">
        <f>'6.4.1 Estimación de ventas (Eje'!M68</f>
        <v>1252800</v>
      </c>
      <c r="D7" s="330">
        <f>'6.4.1 Estimación de ventas (Eje'!M69</f>
        <v>1409400</v>
      </c>
      <c r="E7" s="330">
        <f>'6.4.1 Estimación de ventas (Eje'!M70</f>
        <v>1357200</v>
      </c>
      <c r="F7" s="330">
        <f>'6.4.1 Estimación de ventas (Eje'!M71</f>
        <v>704700</v>
      </c>
      <c r="G7" s="330">
        <f>'6.4.1 Estimación de ventas (Eje'!M72</f>
        <v>1879200</v>
      </c>
      <c r="H7" s="330">
        <f>'6.4.1 Estimación de ventas (Eje'!M73</f>
        <v>2818800</v>
      </c>
      <c r="I7" s="330">
        <f>'6.4.1 Estimación de ventas (Eje'!M74</f>
        <v>2714400</v>
      </c>
      <c r="J7" s="330">
        <f>'6.4.1 Estimación de ventas (Eje'!M75</f>
        <v>1409400</v>
      </c>
      <c r="K7" s="330">
        <f>'6.4.1 Estimación de ventas (Eje'!M76</f>
        <v>1879200</v>
      </c>
      <c r="L7" s="330">
        <f>'6.4.1 Estimación de ventas (Eje'!M77</f>
        <v>2114100</v>
      </c>
      <c r="M7" s="330">
        <f>'6.4.1 Estimación de ventas (Eje'!M78</f>
        <v>2714400</v>
      </c>
      <c r="N7" s="331">
        <f t="shared" si="4"/>
        <v>20958300</v>
      </c>
      <c r="O7" s="330">
        <f>'6.4.1 Estimación de ventas (Eje'!M88</f>
        <v>3572437.5</v>
      </c>
      <c r="P7" s="330">
        <f>'6.4.1 Estimación de ventas (Eje'!M89</f>
        <v>3175500</v>
      </c>
      <c r="Q7" s="330">
        <f>'6.4.1 Estimación de ventas (Eje'!M90</f>
        <v>2857950</v>
      </c>
      <c r="R7" s="330">
        <f>'6.4.1 Estimación de ventas (Eje'!M91</f>
        <v>2752100</v>
      </c>
      <c r="S7" s="330">
        <f>'6.4.1 Estimación de ventas (Eje'!M92</f>
        <v>1786218.75</v>
      </c>
      <c r="T7" s="330">
        <f>'6.4.1 Estimación de ventas (Eje'!M93</f>
        <v>1270200</v>
      </c>
      <c r="U7" s="330">
        <f>'6.4.1 Estimación de ventas (Eje'!M94</f>
        <v>1428975</v>
      </c>
      <c r="V7" s="330">
        <f>'6.4.1 Estimación de ventas (Eje'!M95</f>
        <v>3440125</v>
      </c>
      <c r="W7" s="330">
        <f>'6.4.1 Estimación de ventas (Eje'!M96</f>
        <v>1428975</v>
      </c>
      <c r="X7" s="330">
        <f>'6.4.1 Estimación de ventas (Eje'!M97</f>
        <v>2540400</v>
      </c>
      <c r="Y7" s="330">
        <f>'6.4.1 Estimación de ventas (Eje'!M98</f>
        <v>2857950</v>
      </c>
      <c r="Z7" s="330">
        <f>'6.4.1 Estimación de ventas (Eje'!M99</f>
        <v>2752100</v>
      </c>
      <c r="AA7" s="331">
        <f t="shared" si="5"/>
        <v>29862931.25</v>
      </c>
      <c r="AB7" s="330">
        <f>'6.4.1 Estimación de ventas (Eje'!M109</f>
        <v>5073350.625</v>
      </c>
      <c r="AC7" s="330">
        <f>'6.4.1 Estimación de ventas (Eje'!M110</f>
        <v>4509645</v>
      </c>
      <c r="AD7" s="330">
        <f>'6.4.1 Estimación de ventas (Eje'!M111</f>
        <v>2899057.5</v>
      </c>
      <c r="AE7" s="330">
        <f>'6.4.1 Estimación de ventas (Eje'!M112</f>
        <v>2791685</v>
      </c>
      <c r="AF7" s="330">
        <f>'6.4.1 Estimación de ventas (Eje'!M113</f>
        <v>2899057.5</v>
      </c>
      <c r="AG7" s="330">
        <f>'6.4.1 Estimación de ventas (Eje'!M114</f>
        <v>1932705</v>
      </c>
      <c r="AH7" s="330">
        <f>'6.4.1 Estimación de ventas (Eje'!M115</f>
        <v>6522879.375</v>
      </c>
      <c r="AI7" s="330">
        <f>'6.4.1 Estimación de ventas (Eje'!M116</f>
        <v>6281291.25</v>
      </c>
      <c r="AJ7" s="330">
        <f>'6.4.1 Estimación de ventas (Eje'!M117</f>
        <v>2899057.5</v>
      </c>
      <c r="AK7" s="330">
        <f>'6.4.1 Estimación de ventas (Eje'!M118</f>
        <v>3221175</v>
      </c>
      <c r="AL7" s="330">
        <f>'6.4.1 Estimación de ventas (Eje'!M119</f>
        <v>3623821.875</v>
      </c>
      <c r="AM7" s="330">
        <f>'6.4.1 Estimación de ventas (Eje'!M120</f>
        <v>4187527.5</v>
      </c>
      <c r="AN7" s="331">
        <f t="shared" si="6"/>
        <v>46841253.13</v>
      </c>
    </row>
    <row r="8" ht="26.25" customHeight="1">
      <c r="A8" s="329" t="s">
        <v>692</v>
      </c>
      <c r="B8" s="332">
        <f>'6.4.1 Estimación de ventas (Eje'!Q131</f>
        <v>8738280</v>
      </c>
      <c r="C8" s="330">
        <f>'6.4.1 Estimación de ventas (Eje'!Q132</f>
        <v>23677920</v>
      </c>
      <c r="D8" s="330">
        <f>'6.4.1 Estimación de ventas (Eje'!Q133</f>
        <v>17476560</v>
      </c>
      <c r="E8" s="330">
        <f>'6.4.1 Estimación de ventas (Eje'!Q134</f>
        <v>25369200</v>
      </c>
      <c r="F8" s="330">
        <f>'6.4.1 Estimación de ventas (Eje'!Q135</f>
        <v>17476560</v>
      </c>
      <c r="G8" s="330">
        <f>'6.4.1 Estimación de ventas (Eje'!Q135</f>
        <v>17476560</v>
      </c>
      <c r="H8" s="330">
        <f>'6.4.1 Estimación de ventas (Eje'!Q137</f>
        <v>43691400</v>
      </c>
      <c r="I8" s="330">
        <f>'6.4.1 Estimación de ventas (Eje'!Q138</f>
        <v>43691400</v>
      </c>
      <c r="J8" s="330">
        <f>'6.4.1 Estimación de ventas (Eje'!Q139</f>
        <v>25369200</v>
      </c>
      <c r="K8" s="330">
        <f>'6.4.1 Estimación de ventas (Eje'!Q140</f>
        <v>26214840</v>
      </c>
      <c r="L8" s="330">
        <f>'6.4.1 Estimación de ventas (Eje'!Q141</f>
        <v>25369200</v>
      </c>
      <c r="M8" s="330">
        <f>'6.4.1 Estimación de ventas (Eje'!Q142</f>
        <v>34953120</v>
      </c>
      <c r="N8" s="331">
        <f t="shared" si="4"/>
        <v>309504240</v>
      </c>
      <c r="O8" s="330">
        <f>'6.4.1 Estimación de ventas (Eje'!Q155</f>
        <v>55051164</v>
      </c>
      <c r="P8" s="330">
        <f>'6.4.1 Estimación de ventas (Eje'!Q156</f>
        <v>49723632</v>
      </c>
      <c r="Q8" s="330">
        <f>'6.4.1 Estimación de ventas (Eje'!Q157</f>
        <v>45875970</v>
      </c>
      <c r="R8" s="330">
        <f>'6.4.1 Estimación de ventas (Eje'!Q158</f>
        <v>44396100</v>
      </c>
      <c r="S8" s="330">
        <f>'6.4.1 Estimación de ventas (Eje'!Q159</f>
        <v>18350388</v>
      </c>
      <c r="T8" s="330">
        <f>'6.4.1 Estimación de ventas (Eje'!Q160</f>
        <v>17758440</v>
      </c>
      <c r="U8" s="330">
        <f>'6.4.1 Estimación de ventas (Eje'!Q161</f>
        <v>64226358</v>
      </c>
      <c r="V8" s="330">
        <f>'6.4.1 Estimación de ventas (Eje'!Q162</f>
        <v>64226358</v>
      </c>
      <c r="W8" s="330">
        <f>'6.4.1 Estimación de ventas (Eje'!Q163</f>
        <v>35516880</v>
      </c>
      <c r="X8" s="330">
        <f>'6.4.1 Estimación de ventas (Eje'!Q164</f>
        <v>36700776</v>
      </c>
      <c r="Y8" s="330">
        <f>'6.4.1 Estimación de ventas (Eje'!Q165</f>
        <v>35516880</v>
      </c>
      <c r="Z8" s="330">
        <f>'6.4.1 Estimación de ventas (Eje'!Q166</f>
        <v>45875970</v>
      </c>
      <c r="AA8" s="331">
        <f t="shared" si="5"/>
        <v>513218916</v>
      </c>
      <c r="AB8" s="330">
        <f>'6.4.1 Estimación de ventas (Eje'!Q179</f>
        <v>77071629.6</v>
      </c>
      <c r="AC8" s="330">
        <f>'6.4.1 Estimación de ventas (Eje'!Q180</f>
        <v>69613084.8</v>
      </c>
      <c r="AD8" s="330">
        <f>'6.4.1 Estimación de ventas (Eje'!Q181</f>
        <v>57803722.2</v>
      </c>
      <c r="AE8" s="330">
        <f>'6.4.1 Estimación de ventas (Eje'!Q182</f>
        <v>55939086</v>
      </c>
      <c r="AF8" s="330">
        <f>'6.4.1 Estimación de ventas (Eje'!Q183</f>
        <v>38535814.8</v>
      </c>
      <c r="AG8" s="330">
        <f>'6.4.1 Estimación de ventas (Eje'!Q184</f>
        <v>37292724</v>
      </c>
      <c r="AH8" s="330">
        <f>'6.4.1 Estimación de ventas (Eje'!Q185</f>
        <v>77071629.6</v>
      </c>
      <c r="AI8" s="330">
        <f>'6.4.1 Estimación de ventas (Eje'!Q186</f>
        <v>86705583.3</v>
      </c>
      <c r="AJ8" s="330">
        <f>'6.4.1 Estimación de ventas (Eje'!Q187</f>
        <v>37292724</v>
      </c>
      <c r="AK8" s="330">
        <f>'6.4.1 Estimación de ventas (Eje'!Q188</f>
        <v>48169768.5</v>
      </c>
      <c r="AL8" s="330">
        <f>'6.4.1 Estimación de ventas (Eje'!Q189</f>
        <v>46615905</v>
      </c>
      <c r="AM8" s="330">
        <f>'6.4.1 Estimación de ventas (Eje'!Q190</f>
        <v>57803722.2</v>
      </c>
      <c r="AN8" s="331">
        <f t="shared" si="6"/>
        <v>689915394</v>
      </c>
    </row>
    <row r="9" ht="26.25" customHeight="1">
      <c r="A9" s="329" t="s">
        <v>693</v>
      </c>
      <c r="B9" s="332">
        <f>'6.4.1 Estimación de ventas (Eje'!H202</f>
        <v>0</v>
      </c>
      <c r="C9" s="330">
        <f>'6.4.1 Estimación de ventas (Eje'!H203</f>
        <v>0</v>
      </c>
      <c r="D9" s="330">
        <f>'6.4.1 Estimación de ventas (Eje'!H204</f>
        <v>0</v>
      </c>
      <c r="E9" s="330">
        <f>'6.4.1 Estimación de ventas (Eje'!H205</f>
        <v>1450000</v>
      </c>
      <c r="F9" s="330">
        <f>'6.4.1 Estimación de ventas (Eje'!H206</f>
        <v>1450000</v>
      </c>
      <c r="G9" s="330">
        <f>'6.4.1 Estimación de ventas (Eje'!H207</f>
        <v>1450000</v>
      </c>
      <c r="H9" s="330">
        <f>'6.4.1 Estimación de ventas (Eje'!H208</f>
        <v>0</v>
      </c>
      <c r="I9" s="330">
        <f>'6.4.1 Estimación de ventas (Eje'!H209</f>
        <v>5075000</v>
      </c>
      <c r="J9" s="330">
        <f>'6.4.1 Estimación de ventas (Eje'!H210</f>
        <v>8700000</v>
      </c>
      <c r="K9" s="330">
        <f>'6.4.1 Estimación de ventas (Eje'!H211</f>
        <v>8700000</v>
      </c>
      <c r="L9" s="330">
        <f>'6.4.1 Estimación de ventas (Eje'!H212</f>
        <v>8700000</v>
      </c>
      <c r="M9" s="330">
        <f>'6.4.1 Estimación de ventas (Eje'!H213</f>
        <v>8700000</v>
      </c>
      <c r="N9" s="331">
        <f t="shared" si="4"/>
        <v>44225000</v>
      </c>
      <c r="O9" s="330">
        <f>'6.4.1 Estimación de ventas (Eje'!H221</f>
        <v>0</v>
      </c>
      <c r="P9" s="330">
        <f>'6.4.1 Estimación de ventas (Eje'!H222</f>
        <v>0</v>
      </c>
      <c r="Q9" s="330">
        <f>'6.4.1 Estimación de ventas (Eje'!H223</f>
        <v>0</v>
      </c>
      <c r="R9" s="330">
        <f>'6.4.1 Estimación de ventas (Eje'!H224</f>
        <v>6604500</v>
      </c>
      <c r="S9" s="330">
        <f>'6.4.1 Estimación de ventas (Eje'!H225</f>
        <v>6604500</v>
      </c>
      <c r="T9" s="330">
        <f>'6.4.1 Estimación de ventas (Eje'!H226</f>
        <v>6604500</v>
      </c>
      <c r="U9" s="330">
        <f>'6.4.1 Estimación de ventas (Eje'!H227</f>
        <v>0</v>
      </c>
      <c r="V9" s="330">
        <f>'6.4.1 Estimación de ventas (Eje'!H228</f>
        <v>9435000</v>
      </c>
      <c r="W9" s="330">
        <f>'6.4.1 Estimación de ventas (Eje'!H229</f>
        <v>16039500</v>
      </c>
      <c r="X9" s="330">
        <f>'6.4.1 Estimación de ventas (Eje'!H230</f>
        <v>16039500</v>
      </c>
      <c r="Y9" s="330">
        <f>'6.4.1 Estimación de ventas (Eje'!H231</f>
        <v>16039500</v>
      </c>
      <c r="Z9" s="330">
        <f>'6.4.1 Estimación de ventas (Eje'!H232</f>
        <v>16039500</v>
      </c>
      <c r="AA9" s="331">
        <f t="shared" si="5"/>
        <v>93406500</v>
      </c>
      <c r="AB9" s="330">
        <f>'6.4.1 Estimación de ventas (Eje'!H240</f>
        <v>0</v>
      </c>
      <c r="AC9" s="330">
        <f>'6.4.1 Estimación de ventas (Eje'!H241</f>
        <v>0</v>
      </c>
      <c r="AD9" s="330">
        <f>'6.4.1 Estimación de ventas (Eje'!H242</f>
        <v>0</v>
      </c>
      <c r="AE9" s="330">
        <f>'6.4.1 Estimación de ventas (Eje'!H243</f>
        <v>7497000</v>
      </c>
      <c r="AF9" s="330">
        <f>'6.4.1 Estimación de ventas (Eje'!H244</f>
        <v>7497000</v>
      </c>
      <c r="AG9" s="330">
        <f>'6.4.1 Estimación de ventas (Eje'!H245</f>
        <v>7497000</v>
      </c>
      <c r="AH9" s="330">
        <f>'6.4.1 Estimación de ventas (Eje'!H246</f>
        <v>0</v>
      </c>
      <c r="AI9" s="330">
        <f>'6.4.1 Estimación de ventas (Eje'!H247</f>
        <v>10710000</v>
      </c>
      <c r="AJ9" s="330">
        <f>'6.4.1 Estimación de ventas (Eje'!H24</f>
        <v>2447550</v>
      </c>
      <c r="AK9" s="330">
        <f>'6.4.1 Estimación de ventas (Eje'!H249</f>
        <v>18207000</v>
      </c>
      <c r="AL9" s="330">
        <f>'6.4.1 Estimación de ventas (Eje'!H250</f>
        <v>18207000</v>
      </c>
      <c r="AM9" s="330">
        <f>'6.4.1 Estimación de ventas (Eje'!H251</f>
        <v>18207000</v>
      </c>
      <c r="AN9" s="331">
        <f t="shared" si="6"/>
        <v>90269550</v>
      </c>
    </row>
    <row r="10" ht="26.25" customHeight="1">
      <c r="A10" s="329" t="s">
        <v>694</v>
      </c>
      <c r="B10" s="332">
        <f>'6.4.1 Estimación de ventas (Eje'!L270</f>
        <v>649425</v>
      </c>
      <c r="C10" s="332">
        <f>'6.4.1 Estimación de ventas (Eje'!L271</f>
        <v>569848.5</v>
      </c>
      <c r="D10" s="330">
        <f>'6.4.1 Estimación de ventas (Eje'!L272</f>
        <v>581245.47</v>
      </c>
      <c r="E10" s="330">
        <f>'6.4.1 Estimación de ventas (Eje'!L273</f>
        <v>592870.3794</v>
      </c>
      <c r="F10" s="330">
        <f>'6.4.1 Estimación de ventas (Eje'!L274</f>
        <v>702958.5055</v>
      </c>
      <c r="G10" s="330">
        <f>'6.4.1 Estimación de ventas (Eje'!L275</f>
        <v>491785.1918</v>
      </c>
      <c r="H10" s="330">
        <f>'6.4.1 Estimación de ventas (Eje'!L276</f>
        <v>1232978.925</v>
      </c>
      <c r="I10" s="330">
        <f>'6.4.1 Estimación de ventas (Eje'!L277</f>
        <v>1257638.503</v>
      </c>
      <c r="J10" s="330">
        <f>'6.4.1 Estimación de ventas (Eje'!L278</f>
        <v>654576.8047</v>
      </c>
      <c r="K10" s="330">
        <f>'6.4.1 Estimación de ventas (Eje'!L279</f>
        <v>776122.9914</v>
      </c>
      <c r="L10" s="330">
        <f>'6.4.1 Estimación de ventas (Eje'!L280</f>
        <v>791645.4512</v>
      </c>
      <c r="M10" s="330">
        <f>'6.4.1 Estimación de ventas (Eje'!L281</f>
        <v>1248472.143</v>
      </c>
      <c r="N10" s="331">
        <f t="shared" si="4"/>
        <v>9549567.865</v>
      </c>
      <c r="O10" s="330">
        <f>'6.4.1 Estimación de ventas (Eje'!L301</f>
        <v>1838348.187</v>
      </c>
      <c r="P10" s="330">
        <f>'6.4.1 Estimación de ventas (Eje'!L302</f>
        <v>1680200.972</v>
      </c>
      <c r="Q10" s="330">
        <f>'6.4.1 Estimación de ventas (Eje'!L303</f>
        <v>1324888.626</v>
      </c>
      <c r="R10" s="330">
        <f>'6.4.1 Estimación de ventas (Eje'!L304</f>
        <v>1351386.399</v>
      </c>
      <c r="S10" s="330">
        <f>'6.4.1 Estimación de ventas (Eje'!L305</f>
        <v>891521.3565</v>
      </c>
      <c r="T10" s="330">
        <f>'6.4.1 Estimación de ventas (Eje'!L306</f>
        <v>782279.8749</v>
      </c>
      <c r="U10" s="330">
        <f>'6.4.1 Estimación de ventas (Eje'!L307</f>
        <v>2361640.877</v>
      </c>
      <c r="V10" s="330">
        <f>'6.4.1 Estimación de ventas (Eje'!L308</f>
        <v>2408873.694</v>
      </c>
      <c r="W10" s="330">
        <f>'6.4.1 Estimación de ventas (Eje'!L309</f>
        <v>965011.3876</v>
      </c>
      <c r="X10" s="330">
        <f>'6.4.1 Estimación de ventas (Eje'!L310</f>
        <v>1521880.576</v>
      </c>
      <c r="Y10" s="330">
        <f>'6.4.1 Estimación de ventas (Eje'!L311</f>
        <v>1552318.187</v>
      </c>
      <c r="Z10" s="330">
        <f>'6.4.1 Estimación de ventas (Eje'!L312</f>
        <v>1583364.551</v>
      </c>
      <c r="AA10" s="331">
        <f t="shared" si="5"/>
        <v>18261714.69</v>
      </c>
      <c r="AB10" s="330">
        <f>'6.4.1 Estimación de ventas (Eje'!L332</f>
        <v>3118789.652</v>
      </c>
      <c r="AC10" s="330">
        <f>'6.4.1 Estimación de ventas (Eje'!L333</f>
        <v>2992343.273</v>
      </c>
      <c r="AD10" s="330">
        <f>'6.4.1 Estimación de ventas (Eje'!L334</f>
        <v>2670076.921</v>
      </c>
      <c r="AE10" s="330">
        <f>'6.4.1 Estimación de ventas (Eje'!L335</f>
        <v>2723478.46</v>
      </c>
      <c r="AF10" s="330">
        <f>'6.4.1 Estimación de ventas (Eje'!L336</f>
        <v>1257809.603</v>
      </c>
      <c r="AG10" s="330">
        <f>'6.4.1 Estimación de ventas (Eje'!L337</f>
        <v>1282965.795</v>
      </c>
      <c r="AH10" s="330">
        <f>'6.4.1 Estimación de ventas (Eje'!L338</f>
        <v>4198802.241</v>
      </c>
      <c r="AI10" s="330">
        <f>'6.4.1 Estimación de ventas (Eje'!L339</f>
        <v>4282778.286</v>
      </c>
      <c r="AJ10" s="330">
        <f>'6.4.1 Estimación de ventas (Eje'!L340</f>
        <v>2075768.264</v>
      </c>
      <c r="AK10" s="330">
        <f>'6.4.1 Estimación de ventas (Eje'!L341</f>
        <v>3067079.091</v>
      </c>
      <c r="AL10" s="330">
        <f>'6.4.1 Estimación de ventas (Eje'!L342</f>
        <v>3128420.673</v>
      </c>
      <c r="AM10" s="330">
        <f>'6.4.1 Estimación de ventas (Eje'!L343</f>
        <v>3190989.086</v>
      </c>
      <c r="AN10" s="331">
        <f t="shared" si="6"/>
        <v>33989301.35</v>
      </c>
    </row>
    <row r="11" ht="26.25" customHeight="1">
      <c r="A11" s="329" t="s">
        <v>695</v>
      </c>
      <c r="B11" s="332">
        <f>'6.4.1 Estimación de ventas (Eje'!F285</f>
        <v>0</v>
      </c>
      <c r="C11" s="330">
        <f>'6.4.1 Estimación de ventas (Eje'!F286</f>
        <v>0</v>
      </c>
      <c r="D11" s="330">
        <f>'6.4.1 Estimación de ventas (Eje'!F287</f>
        <v>0</v>
      </c>
      <c r="E11" s="330">
        <f>'6.4.1 Estimación de ventas (Eje'!F288</f>
        <v>0</v>
      </c>
      <c r="F11" s="330">
        <f>'6.4.1 Estimación de ventas (Eje'!F289</f>
        <v>0</v>
      </c>
      <c r="G11" s="330">
        <f>'6.4.1 Estimación de ventas (Eje'!F290</f>
        <v>0</v>
      </c>
      <c r="H11" s="330">
        <f>'6.4.1 Estimación de ventas (Eje'!F291</f>
        <v>0</v>
      </c>
      <c r="I11" s="330">
        <f>'6.4.1 Estimación de ventas (Eje'!F292</f>
        <v>946006.2983</v>
      </c>
      <c r="J11" s="330">
        <f>'6.4.1 Estimación de ventas (Eje'!F293</f>
        <v>1929852.848</v>
      </c>
      <c r="K11" s="330">
        <f>'6.4.1 Estimación de ventas (Eje'!F294</f>
        <v>1968449.905</v>
      </c>
      <c r="L11" s="330">
        <f>'6.4.1 Estimación de ventas (Eje'!F295</f>
        <v>2007818.904</v>
      </c>
      <c r="M11" s="330">
        <f>'6.4.1 Estimación de ventas (Eje'!F296</f>
        <v>2047975.282</v>
      </c>
      <c r="N11" s="331">
        <f t="shared" si="4"/>
        <v>8900103.237</v>
      </c>
      <c r="O11" s="330">
        <f>'6.4.1 Estimación de ventas (Eje'!F316</f>
        <v>0</v>
      </c>
      <c r="P11" s="330">
        <f>'6.4.1 Estimación de ventas (Eje'!F317</f>
        <v>0</v>
      </c>
      <c r="Q11" s="330">
        <f>'6.4.1 Estimación de ventas (Eje'!F318</f>
        <v>0</v>
      </c>
      <c r="R11" s="330">
        <f>'6.4.1 Estimación de ventas (Eje'!F319</f>
        <v>1405715.596</v>
      </c>
      <c r="S11" s="330">
        <f>'6.4.1 Estimación de ventas (Eje'!F320</f>
        <v>1433829.907</v>
      </c>
      <c r="T11" s="330">
        <f>'6.4.1 Estimación de ventas (Eje'!F321</f>
        <v>1462506.506</v>
      </c>
      <c r="U11" s="330">
        <f>'6.4.1 Estimación de ventas (Eje'!F322</f>
        <v>0</v>
      </c>
      <c r="V11" s="330">
        <f>'6.4.1 Estimación de ventas (Eje'!F323</f>
        <v>3043183.537</v>
      </c>
      <c r="W11" s="330">
        <f>'6.4.1 Estimación de ventas (Eje'!F324</f>
        <v>4656070.811</v>
      </c>
      <c r="X11" s="330">
        <f>'6.4.1 Estimación de ventas (Eje'!F325</f>
        <v>4749192.228</v>
      </c>
      <c r="Y11" s="330">
        <f>'6.4.1 Estimación de ventas (Eje'!F326</f>
        <v>4844176.072</v>
      </c>
      <c r="Z11" s="330">
        <f>'6.4.1 Estimación de ventas (Eje'!F327</f>
        <v>4941059.593</v>
      </c>
      <c r="AA11" s="331">
        <f t="shared" si="5"/>
        <v>26535734.25</v>
      </c>
      <c r="AB11" s="330">
        <f>'6.4.1 Estimación de ventas (Eje'!F347</f>
        <v>0</v>
      </c>
      <c r="AC11" s="330">
        <f>'6.4.1 Estimación de ventas (Eje'!F348</f>
        <v>0</v>
      </c>
      <c r="AD11" s="330">
        <f>'6.4.1 Estimación de ventas (Eje'!F34</f>
        <v>553612.5</v>
      </c>
      <c r="AE11" s="330">
        <f>'6.4.1 Estimación de ventas (Eje'!F350</f>
        <v>2261005.326</v>
      </c>
      <c r="AF11" s="330">
        <f>'6.4.1 Estimación de ventas (Eje'!F351</f>
        <v>2306225.433</v>
      </c>
      <c r="AG11" s="330">
        <f>'6.4.1 Estimación de ventas (Eje'!F352</f>
        <v>2352349.941</v>
      </c>
      <c r="AH11" s="330">
        <f>'6.4.1 Estimación de ventas (Eje'!F353</f>
        <v>0</v>
      </c>
      <c r="AI11" s="330">
        <f>'6.4.1 Estimación de ventas (Eje'!F354</f>
        <v>4894769.758</v>
      </c>
      <c r="AJ11" s="330">
        <f>'6.4.1 Estimación de ventas (Eje'!F355</f>
        <v>7488997.729</v>
      </c>
      <c r="AK11" s="330">
        <f>'6.4.1 Estimación de ventas (Eje'!F356</f>
        <v>7638777.684</v>
      </c>
      <c r="AL11" s="330">
        <f>'6.4.1 Estimación de ventas (Eje'!F357</f>
        <v>7638777.684</v>
      </c>
      <c r="AM11" s="330">
        <f>'6.4.1 Estimación de ventas (Eje'!F358</f>
        <v>7947384.302</v>
      </c>
      <c r="AN11" s="331">
        <f t="shared" si="6"/>
        <v>43081900.36</v>
      </c>
    </row>
    <row r="12" ht="26.25" customHeight="1">
      <c r="A12" s="333" t="s">
        <v>696</v>
      </c>
      <c r="B12" s="334">
        <f t="shared" ref="B12:Z12" si="7">SUM(B6:B11)</f>
        <v>34365405</v>
      </c>
      <c r="C12" s="334">
        <f t="shared" si="7"/>
        <v>47424568.5</v>
      </c>
      <c r="D12" s="334">
        <f t="shared" si="7"/>
        <v>38683330.47</v>
      </c>
      <c r="E12" s="334">
        <f t="shared" si="7"/>
        <v>51084770.38</v>
      </c>
      <c r="F12" s="334">
        <f t="shared" si="7"/>
        <v>42179918.51</v>
      </c>
      <c r="G12" s="334">
        <f t="shared" si="7"/>
        <v>35391545.19</v>
      </c>
      <c r="H12" s="334">
        <f t="shared" si="7"/>
        <v>96289178.92</v>
      </c>
      <c r="I12" s="334">
        <f t="shared" si="7"/>
        <v>102230444.8</v>
      </c>
      <c r="J12" s="334">
        <f t="shared" si="7"/>
        <v>59204029.65</v>
      </c>
      <c r="K12" s="334">
        <f t="shared" si="7"/>
        <v>70284412.9</v>
      </c>
      <c r="L12" s="334">
        <f t="shared" si="7"/>
        <v>68736764.35</v>
      </c>
      <c r="M12" s="334">
        <f t="shared" si="7"/>
        <v>88096217.42</v>
      </c>
      <c r="N12" s="335">
        <f t="shared" si="7"/>
        <v>733970586.1</v>
      </c>
      <c r="O12" s="334">
        <f t="shared" si="7"/>
        <v>136335999.7</v>
      </c>
      <c r="P12" s="334">
        <f t="shared" si="7"/>
        <v>123110733</v>
      </c>
      <c r="Q12" s="334">
        <f t="shared" si="7"/>
        <v>101544771.1</v>
      </c>
      <c r="R12" s="334">
        <f t="shared" si="7"/>
        <v>106334927</v>
      </c>
      <c r="S12" s="334">
        <f t="shared" si="7"/>
        <v>58332163.01</v>
      </c>
      <c r="T12" s="334">
        <f t="shared" si="7"/>
        <v>56199576.38</v>
      </c>
      <c r="U12" s="334">
        <f t="shared" si="7"/>
        <v>154730173.9</v>
      </c>
      <c r="V12" s="334">
        <f t="shared" si="7"/>
        <v>169266740.2</v>
      </c>
      <c r="W12" s="334">
        <f t="shared" si="7"/>
        <v>96368637.2</v>
      </c>
      <c r="X12" s="334">
        <f t="shared" si="7"/>
        <v>113037711.3</v>
      </c>
      <c r="Y12" s="334">
        <f t="shared" si="7"/>
        <v>110635949.3</v>
      </c>
      <c r="Z12" s="334">
        <f t="shared" si="7"/>
        <v>122677956.6</v>
      </c>
      <c r="AA12" s="335">
        <f t="shared" si="5"/>
        <v>1348575339</v>
      </c>
      <c r="AB12" s="334">
        <f t="shared" ref="AB12:AM12" si="8">SUM(AB6:AB11)</f>
        <v>195998869.9</v>
      </c>
      <c r="AC12" s="334">
        <f t="shared" si="8"/>
        <v>177133873.1</v>
      </c>
      <c r="AD12" s="334">
        <f t="shared" si="8"/>
        <v>145747404.1</v>
      </c>
      <c r="AE12" s="334">
        <f t="shared" si="8"/>
        <v>150393804.8</v>
      </c>
      <c r="AF12" s="334">
        <f t="shared" si="8"/>
        <v>96789947.34</v>
      </c>
      <c r="AG12" s="334">
        <f t="shared" si="8"/>
        <v>93222944.74</v>
      </c>
      <c r="AH12" s="334">
        <f t="shared" si="8"/>
        <v>210832311.2</v>
      </c>
      <c r="AI12" s="334">
        <f t="shared" si="8"/>
        <v>235913422.6</v>
      </c>
      <c r="AJ12" s="334">
        <f t="shared" si="8"/>
        <v>105785597.5</v>
      </c>
      <c r="AK12" s="334">
        <f t="shared" si="8"/>
        <v>162124735.3</v>
      </c>
      <c r="AL12" s="334">
        <f t="shared" si="8"/>
        <v>158395475.2</v>
      </c>
      <c r="AM12" s="334">
        <f t="shared" si="8"/>
        <v>173157558.1</v>
      </c>
      <c r="AN12" s="335">
        <f t="shared" si="6"/>
        <v>1905495944</v>
      </c>
    </row>
    <row r="13" ht="26.25" customHeight="1">
      <c r="A13" s="327" t="s">
        <v>697</v>
      </c>
      <c r="B13" s="328"/>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12"/>
    </row>
    <row r="14" ht="26.25" customHeight="1">
      <c r="A14" s="336" t="s">
        <v>698</v>
      </c>
      <c r="B14" s="337">
        <f>'6.5 Sueldos y cargas sociales'!C15</f>
        <v>13710036</v>
      </c>
      <c r="C14" s="326">
        <f t="shared" ref="C14:M14" si="9">B14*1.02</f>
        <v>13984236.72</v>
      </c>
      <c r="D14" s="326">
        <f t="shared" si="9"/>
        <v>14263921.45</v>
      </c>
      <c r="E14" s="326">
        <f t="shared" si="9"/>
        <v>14549199.88</v>
      </c>
      <c r="F14" s="326">
        <f t="shared" si="9"/>
        <v>14840183.88</v>
      </c>
      <c r="G14" s="326">
        <f t="shared" si="9"/>
        <v>15136987.56</v>
      </c>
      <c r="H14" s="326">
        <f t="shared" si="9"/>
        <v>15439727.31</v>
      </c>
      <c r="I14" s="326">
        <f t="shared" si="9"/>
        <v>15748521.86</v>
      </c>
      <c r="J14" s="326">
        <f t="shared" si="9"/>
        <v>16063492.29</v>
      </c>
      <c r="K14" s="326">
        <f t="shared" si="9"/>
        <v>16384762.14</v>
      </c>
      <c r="L14" s="326">
        <f t="shared" si="9"/>
        <v>16712457.38</v>
      </c>
      <c r="M14" s="326">
        <f t="shared" si="9"/>
        <v>17046706.53</v>
      </c>
      <c r="N14" s="325">
        <f t="shared" ref="N14:N67" si="13">SUM(B14:M14)</f>
        <v>183880233</v>
      </c>
      <c r="O14" s="326">
        <f>M14*1.02</f>
        <v>17387640.66</v>
      </c>
      <c r="P14" s="326">
        <f t="shared" ref="P14:Z14" si="10">O14*1.02</f>
        <v>17735393.47</v>
      </c>
      <c r="Q14" s="326">
        <f t="shared" si="10"/>
        <v>18090101.34</v>
      </c>
      <c r="R14" s="326">
        <f t="shared" si="10"/>
        <v>18451903.37</v>
      </c>
      <c r="S14" s="326">
        <f t="shared" si="10"/>
        <v>18820941.44</v>
      </c>
      <c r="T14" s="326">
        <f t="shared" si="10"/>
        <v>19197360.27</v>
      </c>
      <c r="U14" s="326">
        <f t="shared" si="10"/>
        <v>19581307.47</v>
      </c>
      <c r="V14" s="326">
        <f t="shared" si="10"/>
        <v>19972933.62</v>
      </c>
      <c r="W14" s="326">
        <f t="shared" si="10"/>
        <v>20372392.29</v>
      </c>
      <c r="X14" s="326">
        <f t="shared" si="10"/>
        <v>20779840.14</v>
      </c>
      <c r="Y14" s="326">
        <f t="shared" si="10"/>
        <v>21195436.94</v>
      </c>
      <c r="Z14" s="326">
        <f t="shared" si="10"/>
        <v>21619345.68</v>
      </c>
      <c r="AA14" s="325">
        <f t="shared" ref="AA14:AA68" si="15">SUM(O14:Z14)</f>
        <v>233204596.7</v>
      </c>
      <c r="AB14" s="326">
        <f t="shared" ref="AB14:AB19" si="16">Z14*1.02</f>
        <v>22051732.59</v>
      </c>
      <c r="AC14" s="326">
        <f t="shared" ref="AC14:AM14" si="11">AB14*1.02</f>
        <v>22492767.25</v>
      </c>
      <c r="AD14" s="326">
        <f t="shared" si="11"/>
        <v>22942622.59</v>
      </c>
      <c r="AE14" s="326">
        <f t="shared" si="11"/>
        <v>23401475.04</v>
      </c>
      <c r="AF14" s="326">
        <f t="shared" si="11"/>
        <v>23869504.54</v>
      </c>
      <c r="AG14" s="326">
        <f t="shared" si="11"/>
        <v>24346894.63</v>
      </c>
      <c r="AH14" s="326">
        <f t="shared" si="11"/>
        <v>24833832.53</v>
      </c>
      <c r="AI14" s="326">
        <f t="shared" si="11"/>
        <v>25330509.18</v>
      </c>
      <c r="AJ14" s="326">
        <f t="shared" si="11"/>
        <v>25837119.36</v>
      </c>
      <c r="AK14" s="326">
        <f t="shared" si="11"/>
        <v>26353861.75</v>
      </c>
      <c r="AL14" s="326">
        <f t="shared" si="11"/>
        <v>26880938.98</v>
      </c>
      <c r="AM14" s="326">
        <f t="shared" si="11"/>
        <v>27418557.76</v>
      </c>
      <c r="AN14" s="325">
        <f t="shared" ref="AN14:AN68" si="18">SUM(AB14:AM14)</f>
        <v>295759816.2</v>
      </c>
    </row>
    <row r="15" ht="26.25" customHeight="1">
      <c r="A15" s="336" t="s">
        <v>699</v>
      </c>
      <c r="B15" s="337">
        <f>'6.5 Sueldos y cargas sociales'!C16</f>
        <v>1142503</v>
      </c>
      <c r="C15" s="326">
        <f t="shared" ref="C15:M15" si="12">B15*1.02</f>
        <v>1165353.06</v>
      </c>
      <c r="D15" s="326">
        <f t="shared" si="12"/>
        <v>1188660.121</v>
      </c>
      <c r="E15" s="326">
        <f t="shared" si="12"/>
        <v>1212433.324</v>
      </c>
      <c r="F15" s="326">
        <f t="shared" si="12"/>
        <v>1236681.99</v>
      </c>
      <c r="G15" s="326">
        <f t="shared" si="12"/>
        <v>1261415.63</v>
      </c>
      <c r="H15" s="326">
        <f t="shared" si="12"/>
        <v>1286643.942</v>
      </c>
      <c r="I15" s="326">
        <f t="shared" si="12"/>
        <v>1312376.821</v>
      </c>
      <c r="J15" s="326">
        <f t="shared" si="12"/>
        <v>1338624.358</v>
      </c>
      <c r="K15" s="326">
        <f t="shared" si="12"/>
        <v>1365396.845</v>
      </c>
      <c r="L15" s="326">
        <f t="shared" si="12"/>
        <v>1392704.782</v>
      </c>
      <c r="M15" s="326">
        <f t="shared" si="12"/>
        <v>1420558.877</v>
      </c>
      <c r="N15" s="325">
        <f t="shared" si="13"/>
        <v>15323352.75</v>
      </c>
      <c r="O15" s="326">
        <f t="shared" ref="O15:O19" si="20">M15+M15*0.02</f>
        <v>1448970.055</v>
      </c>
      <c r="P15" s="326">
        <f t="shared" ref="P15:Z15" si="14">O15+O15*0.02</f>
        <v>1477949.456</v>
      </c>
      <c r="Q15" s="326">
        <f t="shared" si="14"/>
        <v>1507508.445</v>
      </c>
      <c r="R15" s="326">
        <f t="shared" si="14"/>
        <v>1537658.614</v>
      </c>
      <c r="S15" s="326">
        <f t="shared" si="14"/>
        <v>1568411.786</v>
      </c>
      <c r="T15" s="326">
        <f t="shared" si="14"/>
        <v>1599780.022</v>
      </c>
      <c r="U15" s="326">
        <f t="shared" si="14"/>
        <v>1631775.623</v>
      </c>
      <c r="V15" s="326">
        <f t="shared" si="14"/>
        <v>1664411.135</v>
      </c>
      <c r="W15" s="326">
        <f t="shared" si="14"/>
        <v>1697699.358</v>
      </c>
      <c r="X15" s="326">
        <f t="shared" si="14"/>
        <v>1731653.345</v>
      </c>
      <c r="Y15" s="326">
        <f t="shared" si="14"/>
        <v>1766286.412</v>
      </c>
      <c r="Z15" s="326">
        <f t="shared" si="14"/>
        <v>1801612.14</v>
      </c>
      <c r="AA15" s="325">
        <f t="shared" si="15"/>
        <v>19433716.39</v>
      </c>
      <c r="AB15" s="326">
        <f t="shared" si="16"/>
        <v>1837644.383</v>
      </c>
      <c r="AC15" s="326">
        <f t="shared" ref="AC15:AM15" si="17">AB15*1.02</f>
        <v>1874397.27</v>
      </c>
      <c r="AD15" s="326">
        <f t="shared" si="17"/>
        <v>1911885.216</v>
      </c>
      <c r="AE15" s="326">
        <f t="shared" si="17"/>
        <v>1950122.92</v>
      </c>
      <c r="AF15" s="326">
        <f t="shared" si="17"/>
        <v>1989125.379</v>
      </c>
      <c r="AG15" s="326">
        <f t="shared" si="17"/>
        <v>2028907.886</v>
      </c>
      <c r="AH15" s="326">
        <f t="shared" si="17"/>
        <v>2069486.044</v>
      </c>
      <c r="AI15" s="326">
        <f t="shared" si="17"/>
        <v>2110875.765</v>
      </c>
      <c r="AJ15" s="326">
        <f t="shared" si="17"/>
        <v>2153093.28</v>
      </c>
      <c r="AK15" s="326">
        <f t="shared" si="17"/>
        <v>2196155.146</v>
      </c>
      <c r="AL15" s="326">
        <f t="shared" si="17"/>
        <v>2240078.249</v>
      </c>
      <c r="AM15" s="326">
        <f t="shared" si="17"/>
        <v>2284879.814</v>
      </c>
      <c r="AN15" s="325">
        <f t="shared" si="18"/>
        <v>24646651.35</v>
      </c>
    </row>
    <row r="16" ht="26.25" customHeight="1">
      <c r="A16" s="336" t="s">
        <v>700</v>
      </c>
      <c r="B16" s="337">
        <f>'6.5 Sueldos y cargas sociales'!C28</f>
        <v>4277531.232</v>
      </c>
      <c r="C16" s="326">
        <f t="shared" ref="C16:M16" si="19">B16*1.02</f>
        <v>4363081.857</v>
      </c>
      <c r="D16" s="326">
        <f t="shared" si="19"/>
        <v>4450343.494</v>
      </c>
      <c r="E16" s="326">
        <f t="shared" si="19"/>
        <v>4539350.364</v>
      </c>
      <c r="F16" s="326">
        <f t="shared" si="19"/>
        <v>4630137.371</v>
      </c>
      <c r="G16" s="326">
        <f t="shared" si="19"/>
        <v>4722740.118</v>
      </c>
      <c r="H16" s="326">
        <f t="shared" si="19"/>
        <v>4817194.921</v>
      </c>
      <c r="I16" s="326">
        <f t="shared" si="19"/>
        <v>4913538.819</v>
      </c>
      <c r="J16" s="326">
        <f t="shared" si="19"/>
        <v>5011809.596</v>
      </c>
      <c r="K16" s="326">
        <f t="shared" si="19"/>
        <v>5112045.787</v>
      </c>
      <c r="L16" s="326">
        <f t="shared" si="19"/>
        <v>5214286.703</v>
      </c>
      <c r="M16" s="326">
        <f t="shared" si="19"/>
        <v>5318572.437</v>
      </c>
      <c r="N16" s="325">
        <f t="shared" si="13"/>
        <v>57370632.7</v>
      </c>
      <c r="O16" s="326">
        <f t="shared" si="20"/>
        <v>5424943.886</v>
      </c>
      <c r="P16" s="326">
        <f t="shared" ref="P16:Z16" si="21">O16+O16*0.02</f>
        <v>5533442.764</v>
      </c>
      <c r="Q16" s="326">
        <f t="shared" si="21"/>
        <v>5644111.619</v>
      </c>
      <c r="R16" s="326">
        <f t="shared" si="21"/>
        <v>5756993.851</v>
      </c>
      <c r="S16" s="326">
        <f t="shared" si="21"/>
        <v>5872133.728</v>
      </c>
      <c r="T16" s="326">
        <f t="shared" si="21"/>
        <v>5989576.403</v>
      </c>
      <c r="U16" s="326">
        <f t="shared" si="21"/>
        <v>6109367.931</v>
      </c>
      <c r="V16" s="326">
        <f t="shared" si="21"/>
        <v>6231555.29</v>
      </c>
      <c r="W16" s="326">
        <f t="shared" si="21"/>
        <v>6356186.395</v>
      </c>
      <c r="X16" s="326">
        <f t="shared" si="21"/>
        <v>6483310.123</v>
      </c>
      <c r="Y16" s="326">
        <f t="shared" si="21"/>
        <v>6612976.326</v>
      </c>
      <c r="Z16" s="326">
        <f t="shared" si="21"/>
        <v>6745235.852</v>
      </c>
      <c r="AA16" s="325">
        <f t="shared" si="15"/>
        <v>72759834.17</v>
      </c>
      <c r="AB16" s="326">
        <f t="shared" si="16"/>
        <v>6880140.569</v>
      </c>
      <c r="AC16" s="326">
        <f t="shared" ref="AC16:AM16" si="22">AB16*1.02</f>
        <v>7017743.381</v>
      </c>
      <c r="AD16" s="326">
        <f t="shared" si="22"/>
        <v>7158098.248</v>
      </c>
      <c r="AE16" s="326">
        <f t="shared" si="22"/>
        <v>7301260.213</v>
      </c>
      <c r="AF16" s="326">
        <f t="shared" si="22"/>
        <v>7447285.418</v>
      </c>
      <c r="AG16" s="326">
        <f t="shared" si="22"/>
        <v>7596231.126</v>
      </c>
      <c r="AH16" s="326">
        <f t="shared" si="22"/>
        <v>7748155.748</v>
      </c>
      <c r="AI16" s="326">
        <f t="shared" si="22"/>
        <v>7903118.863</v>
      </c>
      <c r="AJ16" s="326">
        <f t="shared" si="22"/>
        <v>8061181.241</v>
      </c>
      <c r="AK16" s="326">
        <f t="shared" si="22"/>
        <v>8222404.865</v>
      </c>
      <c r="AL16" s="326">
        <f t="shared" si="22"/>
        <v>8386852.963</v>
      </c>
      <c r="AM16" s="326">
        <f t="shared" si="22"/>
        <v>8554590.022</v>
      </c>
      <c r="AN16" s="325">
        <f t="shared" si="18"/>
        <v>92277062.66</v>
      </c>
    </row>
    <row r="17" ht="26.25" customHeight="1">
      <c r="A17" s="338" t="s">
        <v>701</v>
      </c>
      <c r="B17" s="339">
        <v>340000.0</v>
      </c>
      <c r="C17" s="326">
        <f t="shared" ref="C17:M17" si="23">B17*1.02</f>
        <v>346800</v>
      </c>
      <c r="D17" s="326">
        <f t="shared" si="23"/>
        <v>353736</v>
      </c>
      <c r="E17" s="326">
        <f t="shared" si="23"/>
        <v>360810.72</v>
      </c>
      <c r="F17" s="326">
        <f t="shared" si="23"/>
        <v>368026.9344</v>
      </c>
      <c r="G17" s="326">
        <f t="shared" si="23"/>
        <v>375387.4731</v>
      </c>
      <c r="H17" s="326">
        <f t="shared" si="23"/>
        <v>382895.2225</v>
      </c>
      <c r="I17" s="326">
        <f t="shared" si="23"/>
        <v>390553.127</v>
      </c>
      <c r="J17" s="326">
        <f t="shared" si="23"/>
        <v>398364.1895</v>
      </c>
      <c r="K17" s="326">
        <f t="shared" si="23"/>
        <v>406331.4733</v>
      </c>
      <c r="L17" s="326">
        <f t="shared" si="23"/>
        <v>414458.1028</v>
      </c>
      <c r="M17" s="326">
        <f t="shared" si="23"/>
        <v>422747.2649</v>
      </c>
      <c r="N17" s="325">
        <f t="shared" si="13"/>
        <v>4560110.508</v>
      </c>
      <c r="O17" s="326">
        <f t="shared" si="20"/>
        <v>431202.2102</v>
      </c>
      <c r="P17" s="326">
        <f t="shared" ref="P17:Z17" si="24">O17+O17*0.02</f>
        <v>439826.2544</v>
      </c>
      <c r="Q17" s="326">
        <f t="shared" si="24"/>
        <v>448622.7794</v>
      </c>
      <c r="R17" s="326">
        <f t="shared" si="24"/>
        <v>457595.235</v>
      </c>
      <c r="S17" s="326">
        <f t="shared" si="24"/>
        <v>466747.1397</v>
      </c>
      <c r="T17" s="326">
        <f t="shared" si="24"/>
        <v>476082.0825</v>
      </c>
      <c r="U17" s="326">
        <f t="shared" si="24"/>
        <v>485603.7242</v>
      </c>
      <c r="V17" s="326">
        <f t="shared" si="24"/>
        <v>495315.7987</v>
      </c>
      <c r="W17" s="326">
        <f t="shared" si="24"/>
        <v>505222.1146</v>
      </c>
      <c r="X17" s="326">
        <f t="shared" si="24"/>
        <v>515326.5569</v>
      </c>
      <c r="Y17" s="326">
        <f t="shared" si="24"/>
        <v>525633.0881</v>
      </c>
      <c r="Z17" s="326">
        <f t="shared" si="24"/>
        <v>536145.7498</v>
      </c>
      <c r="AA17" s="325">
        <f t="shared" si="15"/>
        <v>5783322.734</v>
      </c>
      <c r="AB17" s="326">
        <f t="shared" si="16"/>
        <v>546868.6648</v>
      </c>
      <c r="AC17" s="326">
        <f t="shared" ref="AC17:AM17" si="25">AB17*1.02</f>
        <v>557806.0381</v>
      </c>
      <c r="AD17" s="326">
        <f t="shared" si="25"/>
        <v>568962.1589</v>
      </c>
      <c r="AE17" s="326">
        <f t="shared" si="25"/>
        <v>580341.4021</v>
      </c>
      <c r="AF17" s="326">
        <f t="shared" si="25"/>
        <v>591948.2301</v>
      </c>
      <c r="AG17" s="326">
        <f t="shared" si="25"/>
        <v>603787.1947</v>
      </c>
      <c r="AH17" s="326">
        <f t="shared" si="25"/>
        <v>615862.9386</v>
      </c>
      <c r="AI17" s="326">
        <f t="shared" si="25"/>
        <v>628180.1974</v>
      </c>
      <c r="AJ17" s="326">
        <f t="shared" si="25"/>
        <v>640743.8013</v>
      </c>
      <c r="AK17" s="326">
        <f t="shared" si="25"/>
        <v>653558.6773</v>
      </c>
      <c r="AL17" s="326">
        <f t="shared" si="25"/>
        <v>666629.8509</v>
      </c>
      <c r="AM17" s="326">
        <f t="shared" si="25"/>
        <v>679962.4479</v>
      </c>
      <c r="AN17" s="325">
        <f t="shared" si="18"/>
        <v>7334651.602</v>
      </c>
    </row>
    <row r="18" ht="26.25" customHeight="1">
      <c r="A18" s="338" t="s">
        <v>702</v>
      </c>
      <c r="B18" s="339">
        <v>339503.0</v>
      </c>
      <c r="C18" s="326">
        <f t="shared" ref="C18:M18" si="26">B18*1.02</f>
        <v>346293.06</v>
      </c>
      <c r="D18" s="326">
        <f t="shared" si="26"/>
        <v>353218.9212</v>
      </c>
      <c r="E18" s="326">
        <f t="shared" si="26"/>
        <v>360283.2996</v>
      </c>
      <c r="F18" s="326">
        <f t="shared" si="26"/>
        <v>367488.9656</v>
      </c>
      <c r="G18" s="326">
        <f t="shared" si="26"/>
        <v>374838.7449</v>
      </c>
      <c r="H18" s="326">
        <f t="shared" si="26"/>
        <v>382335.5198</v>
      </c>
      <c r="I18" s="326">
        <f t="shared" si="26"/>
        <v>389982.2302</v>
      </c>
      <c r="J18" s="326">
        <f t="shared" si="26"/>
        <v>397781.8748</v>
      </c>
      <c r="K18" s="326">
        <f t="shared" si="26"/>
        <v>405737.5123</v>
      </c>
      <c r="L18" s="326">
        <f t="shared" si="26"/>
        <v>413852.2626</v>
      </c>
      <c r="M18" s="326">
        <f t="shared" si="26"/>
        <v>422129.3078</v>
      </c>
      <c r="N18" s="325">
        <f t="shared" si="13"/>
        <v>4553444.699</v>
      </c>
      <c r="O18" s="326">
        <f t="shared" si="20"/>
        <v>430571.894</v>
      </c>
      <c r="P18" s="326">
        <f t="shared" ref="P18:Z18" si="27">O18+O18*0.02</f>
        <v>439183.3319</v>
      </c>
      <c r="Q18" s="326">
        <f t="shared" si="27"/>
        <v>447966.9985</v>
      </c>
      <c r="R18" s="326">
        <f t="shared" si="27"/>
        <v>456926.3385</v>
      </c>
      <c r="S18" s="326">
        <f t="shared" si="27"/>
        <v>466064.8652</v>
      </c>
      <c r="T18" s="326">
        <f t="shared" si="27"/>
        <v>475386.1625</v>
      </c>
      <c r="U18" s="326">
        <f t="shared" si="27"/>
        <v>484893.8858</v>
      </c>
      <c r="V18" s="326">
        <f t="shared" si="27"/>
        <v>494591.7635</v>
      </c>
      <c r="W18" s="326">
        <f t="shared" si="27"/>
        <v>504483.5988</v>
      </c>
      <c r="X18" s="326">
        <f t="shared" si="27"/>
        <v>514573.2708</v>
      </c>
      <c r="Y18" s="326">
        <f t="shared" si="27"/>
        <v>524864.7362</v>
      </c>
      <c r="Z18" s="326">
        <f t="shared" si="27"/>
        <v>535362.0309</v>
      </c>
      <c r="AA18" s="325">
        <f t="shared" si="15"/>
        <v>5774868.876</v>
      </c>
      <c r="AB18" s="326">
        <f t="shared" si="16"/>
        <v>546069.2715</v>
      </c>
      <c r="AC18" s="326">
        <f t="shared" ref="AC18:AM18" si="28">AB18*1.02</f>
        <v>556990.6569</v>
      </c>
      <c r="AD18" s="326">
        <f t="shared" si="28"/>
        <v>568130.4701</v>
      </c>
      <c r="AE18" s="326">
        <f t="shared" si="28"/>
        <v>579493.0795</v>
      </c>
      <c r="AF18" s="326">
        <f t="shared" si="28"/>
        <v>591082.9411</v>
      </c>
      <c r="AG18" s="326">
        <f t="shared" si="28"/>
        <v>602904.5999</v>
      </c>
      <c r="AH18" s="326">
        <f t="shared" si="28"/>
        <v>614962.6919</v>
      </c>
      <c r="AI18" s="326">
        <f t="shared" si="28"/>
        <v>627261.9457</v>
      </c>
      <c r="AJ18" s="326">
        <f t="shared" si="28"/>
        <v>639807.1846</v>
      </c>
      <c r="AK18" s="326">
        <f t="shared" si="28"/>
        <v>652603.3283</v>
      </c>
      <c r="AL18" s="326">
        <f t="shared" si="28"/>
        <v>665655.3949</v>
      </c>
      <c r="AM18" s="326">
        <f t="shared" si="28"/>
        <v>678968.5028</v>
      </c>
      <c r="AN18" s="325">
        <f t="shared" si="18"/>
        <v>7323930.067</v>
      </c>
    </row>
    <row r="19" ht="26.25" customHeight="1">
      <c r="A19" s="338" t="s">
        <v>703</v>
      </c>
      <c r="B19" s="339">
        <v>141900.0</v>
      </c>
      <c r="C19" s="326">
        <f t="shared" ref="C19:M19" si="29">B19*1.02</f>
        <v>144738</v>
      </c>
      <c r="D19" s="326">
        <f t="shared" si="29"/>
        <v>147632.76</v>
      </c>
      <c r="E19" s="326">
        <f t="shared" si="29"/>
        <v>150585.4152</v>
      </c>
      <c r="F19" s="326">
        <f t="shared" si="29"/>
        <v>153597.1235</v>
      </c>
      <c r="G19" s="326">
        <f t="shared" si="29"/>
        <v>156669.066</v>
      </c>
      <c r="H19" s="326">
        <f t="shared" si="29"/>
        <v>159802.4473</v>
      </c>
      <c r="I19" s="326">
        <f t="shared" si="29"/>
        <v>162998.4962</v>
      </c>
      <c r="J19" s="326">
        <f t="shared" si="29"/>
        <v>166258.4662</v>
      </c>
      <c r="K19" s="326">
        <f t="shared" si="29"/>
        <v>169583.6355</v>
      </c>
      <c r="L19" s="326">
        <f t="shared" si="29"/>
        <v>172975.3082</v>
      </c>
      <c r="M19" s="326">
        <f t="shared" si="29"/>
        <v>176434.8144</v>
      </c>
      <c r="N19" s="325">
        <f t="shared" si="13"/>
        <v>1903175.532</v>
      </c>
      <c r="O19" s="326">
        <f t="shared" si="20"/>
        <v>179963.5106</v>
      </c>
      <c r="P19" s="326">
        <f t="shared" ref="P19:Z19" si="30">O19+O19*0.02</f>
        <v>183562.7809</v>
      </c>
      <c r="Q19" s="326">
        <f t="shared" si="30"/>
        <v>187234.0365</v>
      </c>
      <c r="R19" s="326">
        <f t="shared" si="30"/>
        <v>190978.7172</v>
      </c>
      <c r="S19" s="326">
        <f t="shared" si="30"/>
        <v>194798.2916</v>
      </c>
      <c r="T19" s="326">
        <f t="shared" si="30"/>
        <v>198694.2574</v>
      </c>
      <c r="U19" s="326">
        <f t="shared" si="30"/>
        <v>202668.1425</v>
      </c>
      <c r="V19" s="326">
        <f t="shared" si="30"/>
        <v>206721.5054</v>
      </c>
      <c r="W19" s="326">
        <f t="shared" si="30"/>
        <v>210855.9355</v>
      </c>
      <c r="X19" s="326">
        <f t="shared" si="30"/>
        <v>215073.0542</v>
      </c>
      <c r="Y19" s="326">
        <f t="shared" si="30"/>
        <v>219374.5153</v>
      </c>
      <c r="Z19" s="326">
        <f t="shared" si="30"/>
        <v>223762.0056</v>
      </c>
      <c r="AA19" s="325">
        <f t="shared" si="15"/>
        <v>2413686.753</v>
      </c>
      <c r="AB19" s="326">
        <f t="shared" si="16"/>
        <v>228237.2457</v>
      </c>
      <c r="AC19" s="326">
        <f t="shared" ref="AC19:AM19" si="31">AB19*1.02</f>
        <v>232801.9906</v>
      </c>
      <c r="AD19" s="326">
        <f t="shared" si="31"/>
        <v>237458.0304</v>
      </c>
      <c r="AE19" s="326">
        <f t="shared" si="31"/>
        <v>242207.191</v>
      </c>
      <c r="AF19" s="326">
        <f t="shared" si="31"/>
        <v>247051.3349</v>
      </c>
      <c r="AG19" s="326">
        <f t="shared" si="31"/>
        <v>251992.3616</v>
      </c>
      <c r="AH19" s="326">
        <f t="shared" si="31"/>
        <v>257032.2088</v>
      </c>
      <c r="AI19" s="326">
        <f t="shared" si="31"/>
        <v>262172.853</v>
      </c>
      <c r="AJ19" s="326">
        <f t="shared" si="31"/>
        <v>267416.31</v>
      </c>
      <c r="AK19" s="326">
        <f t="shared" si="31"/>
        <v>272764.6362</v>
      </c>
      <c r="AL19" s="326">
        <f t="shared" si="31"/>
        <v>278219.9289</v>
      </c>
      <c r="AM19" s="326">
        <f t="shared" si="31"/>
        <v>283784.3275</v>
      </c>
      <c r="AN19" s="325">
        <f t="shared" si="18"/>
        <v>3061138.419</v>
      </c>
    </row>
    <row r="20" ht="26.25" customHeight="1">
      <c r="A20" s="338" t="s">
        <v>704</v>
      </c>
      <c r="B20" s="339">
        <f>1578200*'6.4.1 Estimación de ventas (Eje'!$G5</f>
        <v>473460</v>
      </c>
      <c r="C20" s="339">
        <f>1578200*'6.4.1 Estimación de ventas (Eje'!$G6*(1+$B$1)^1</f>
        <v>482929.2</v>
      </c>
      <c r="D20" s="339">
        <f>1578200*'6.4.1 Estimación de ventas (Eje'!$G7*(1+$B$1)^2</f>
        <v>410489.82</v>
      </c>
      <c r="E20" s="339">
        <f>1578200*'6.4.1 Estimación de ventas (Eje'!$G8*(1+$B$1)^3</f>
        <v>502439.5397</v>
      </c>
      <c r="F20" s="339">
        <f>1578200*'6.4.1 Estimación de ventas (Eje'!$G9*(1+$B$1)^4</f>
        <v>512488.3305</v>
      </c>
      <c r="G20" s="339">
        <f>1578200*'6.4.1 Estimación de ventas (Eje'!$G10*(1+$B$1)^5</f>
        <v>348492.0647</v>
      </c>
      <c r="H20" s="339">
        <f>1578200*'6.4.1 Estimación de ventas (Eje'!$G11*(1+$B$1)^6</f>
        <v>1066385.718</v>
      </c>
      <c r="I20" s="339">
        <f>1578200*'6.4.1 Estimación de ventas (Eje'!$G12*(1+$B$1)^7</f>
        <v>1087713.432</v>
      </c>
      <c r="J20" s="339">
        <f>1578200*'6.4.1 Estimación de ventas (Eje'!$G13*(1+$B$1)^8</f>
        <v>554733.8505</v>
      </c>
      <c r="K20" s="339">
        <f>1578200*'6.4.1 Estimación de ventas (Eje'!$G14*(1+$B$1)^9</f>
        <v>754438.0367</v>
      </c>
      <c r="L20" s="339">
        <f>1578200*'6.4.1 Estimación de ventas (Eje'!$G15*(1+$B$1)^10</f>
        <v>769526.7975</v>
      </c>
      <c r="M20" s="339">
        <f>1578200*'6.4.1 Estimación de ventas (Eje'!$G16*(1+$B$1)^11</f>
        <v>981146.6668</v>
      </c>
      <c r="N20" s="325">
        <f t="shared" si="13"/>
        <v>7944243.457</v>
      </c>
      <c r="O20" s="326">
        <f>1578200*'6.4.1 Estimación de ventas (Eje'!$G24*(1+$B$1)^12</f>
        <v>1401077.44</v>
      </c>
      <c r="P20" s="326">
        <f>1578200*'6.4.1 Estimación de ventas (Eje'!$G25*(1+$B$1)^13</f>
        <v>1429098.989</v>
      </c>
      <c r="Q20" s="326">
        <f>1578200*'6.4.1 Estimación de ventas (Eje'!$G26*(1+$B$1)^14</f>
        <v>1041200.692</v>
      </c>
      <c r="R20" s="326">
        <f>1578200*'6.4.1 Estimación de ventas (Eje'!$G27*(1+$B$1)^15</f>
        <v>1062024.706</v>
      </c>
      <c r="S20" s="326">
        <f>1578200*'6.4.1 Estimación de ventas (Eje'!$G28*(1+$B$1)^16</f>
        <v>649959.1199</v>
      </c>
      <c r="T20" s="326">
        <f>1578200*'6.4.1 Estimación de ventas (Eje'!$G29*(1+$B$1)^17</f>
        <v>662958.3023</v>
      </c>
      <c r="U20" s="326">
        <f>1578200*'6.4.1 Estimación de ventas (Eje'!$G30*(1+$B$1)^18</f>
        <v>1803246.582</v>
      </c>
      <c r="V20" s="326">
        <f>1578200*'6.4.1 Estimación de ventas (Eje'!$G31*(1+$B$1)^19</f>
        <v>1839311.514</v>
      </c>
      <c r="W20" s="326">
        <f>1578200*'6.4.1 Estimación de ventas (Eje'!$G32*(1+$B$1)^20</f>
        <v>938048.8721</v>
      </c>
      <c r="X20" s="326">
        <f>1578200*'6.4.1 Estimación de ventas (Eje'!$G33*(1+$B$1)^21</f>
        <v>1196012.312</v>
      </c>
      <c r="Y20" s="326">
        <f>1578200*'6.4.1 Estimación de ventas (Eje'!$G34*(1+$B$1)^22</f>
        <v>1219932.558</v>
      </c>
      <c r="Z20" s="326">
        <f>1578200*'6.4.1 Estimación de ventas (Eje'!$G34*(1+$B$1)^22</f>
        <v>1219932.558</v>
      </c>
      <c r="AA20" s="325">
        <f t="shared" si="15"/>
        <v>14462803.65</v>
      </c>
      <c r="AB20" s="326">
        <f>1578200*'6.4.1 Estimación de ventas (Eje'!$G43*(1+$B$1)^23</f>
        <v>2239796.177</v>
      </c>
      <c r="AC20" s="326">
        <f>1578200*'6.4.1 Estimación de ventas (Eje'!$G44*(1+$B$1)^24</f>
        <v>2284592.1</v>
      </c>
      <c r="AD20" s="326">
        <f>1578200*'6.4.1 Estimación de ventas (Eje'!$G45*(1+$B$1)^25</f>
        <v>1812443.066</v>
      </c>
      <c r="AE20" s="326">
        <f>1578200*'6.4.1 Estimación de ventas (Eje'!$G46*(1+$B$1)^26</f>
        <v>1848691.928</v>
      </c>
      <c r="AF20" s="326">
        <f>1578200*'6.4.1 Estimación de ventas (Eje'!$G47*(1+$B$1)^27</f>
        <v>1077523.295</v>
      </c>
      <c r="AG20" s="326">
        <f>1578200*'6.4.1 Estimación de ventas (Eje'!$G48*(1+$B$1)^28</f>
        <v>1099073.761</v>
      </c>
      <c r="AH20" s="326">
        <f>1578200*'6.4.1 Estimación de ventas (Eje'!$G49*(1+$B$1)^29</f>
        <v>2802638.09</v>
      </c>
      <c r="AI20" s="326">
        <f>1578200*'6.4.1 Estimación de ventas (Eje'!$G50*(1+$B$1)^30</f>
        <v>2858690.852</v>
      </c>
      <c r="AJ20" s="326">
        <f>1578200*'6.4.1 Estimación de ventas (Eje'!$G51*(1+$B$1)^31</f>
        <v>1457932.335</v>
      </c>
      <c r="AK20" s="326">
        <f>1578200*'6.4.1 Estimación de ventas (Eje'!$G52*(1+$B$1)^32</f>
        <v>2081927.374</v>
      </c>
      <c r="AL20" s="326">
        <f>1578200*'6.4.1 Estimación de ventas (Eje'!$G53*(1+$B$1)^33</f>
        <v>2123565.921</v>
      </c>
      <c r="AM20" s="326">
        <f>1578200*'6.4.1 Estimación de ventas (Eje'!$G54*(1+$B$1)^34</f>
        <v>2166037.24</v>
      </c>
      <c r="AN20" s="325">
        <f t="shared" si="18"/>
        <v>23852912.14</v>
      </c>
    </row>
    <row r="21" ht="26.25" customHeight="1">
      <c r="A21" s="338" t="s">
        <v>705</v>
      </c>
      <c r="B21" s="326">
        <f>'Modelo Matriz de Gastos (Ejempl'!J4</f>
        <v>540000</v>
      </c>
      <c r="C21" s="326">
        <f t="shared" ref="C21:M21" si="32">B21*1.02</f>
        <v>550800</v>
      </c>
      <c r="D21" s="326">
        <f t="shared" si="32"/>
        <v>561816</v>
      </c>
      <c r="E21" s="326">
        <f t="shared" si="32"/>
        <v>573052.32</v>
      </c>
      <c r="F21" s="326">
        <f t="shared" si="32"/>
        <v>584513.3664</v>
      </c>
      <c r="G21" s="326">
        <f t="shared" si="32"/>
        <v>596203.6337</v>
      </c>
      <c r="H21" s="326">
        <f t="shared" si="32"/>
        <v>608127.7064</v>
      </c>
      <c r="I21" s="326">
        <f t="shared" si="32"/>
        <v>620290.2605</v>
      </c>
      <c r="J21" s="326">
        <f t="shared" si="32"/>
        <v>632696.0657</v>
      </c>
      <c r="K21" s="326">
        <f t="shared" si="32"/>
        <v>645349.9871</v>
      </c>
      <c r="L21" s="326">
        <f t="shared" si="32"/>
        <v>658256.9868</v>
      </c>
      <c r="M21" s="326">
        <f t="shared" si="32"/>
        <v>671422.1265</v>
      </c>
      <c r="N21" s="325">
        <f t="shared" si="13"/>
        <v>7242528.453</v>
      </c>
      <c r="O21" s="326">
        <f>M21*1.02</f>
        <v>684850.5691</v>
      </c>
      <c r="P21" s="326">
        <f t="shared" ref="P21:Z21" si="33">O21*1.02</f>
        <v>698547.5804</v>
      </c>
      <c r="Q21" s="326">
        <f t="shared" si="33"/>
        <v>712518.5321</v>
      </c>
      <c r="R21" s="326">
        <f t="shared" si="33"/>
        <v>726768.9027</v>
      </c>
      <c r="S21" s="326">
        <f t="shared" si="33"/>
        <v>741304.2807</v>
      </c>
      <c r="T21" s="326">
        <f t="shared" si="33"/>
        <v>756130.3664</v>
      </c>
      <c r="U21" s="326">
        <f t="shared" si="33"/>
        <v>771252.9737</v>
      </c>
      <c r="V21" s="326">
        <f t="shared" si="33"/>
        <v>786678.0332</v>
      </c>
      <c r="W21" s="326">
        <f t="shared" si="33"/>
        <v>802411.5938</v>
      </c>
      <c r="X21" s="326">
        <f t="shared" si="33"/>
        <v>818459.8257</v>
      </c>
      <c r="Y21" s="326">
        <f t="shared" si="33"/>
        <v>834829.0222</v>
      </c>
      <c r="Z21" s="326">
        <f t="shared" si="33"/>
        <v>851525.6027</v>
      </c>
      <c r="AA21" s="325">
        <f t="shared" si="15"/>
        <v>9185277.283</v>
      </c>
      <c r="AB21" s="326">
        <f>Z21*1.02</f>
        <v>868556.1147</v>
      </c>
      <c r="AC21" s="326">
        <f t="shared" ref="AC21:AM21" si="34">AB21*1.02</f>
        <v>885927.237</v>
      </c>
      <c r="AD21" s="326">
        <f t="shared" si="34"/>
        <v>903645.7818</v>
      </c>
      <c r="AE21" s="326">
        <f t="shared" si="34"/>
        <v>921718.6974</v>
      </c>
      <c r="AF21" s="326">
        <f t="shared" si="34"/>
        <v>940153.0713</v>
      </c>
      <c r="AG21" s="326">
        <f t="shared" si="34"/>
        <v>958956.1328</v>
      </c>
      <c r="AH21" s="326">
        <f t="shared" si="34"/>
        <v>978135.2554</v>
      </c>
      <c r="AI21" s="326">
        <f t="shared" si="34"/>
        <v>997697.9605</v>
      </c>
      <c r="AJ21" s="326">
        <f t="shared" si="34"/>
        <v>1017651.92</v>
      </c>
      <c r="AK21" s="326">
        <f t="shared" si="34"/>
        <v>1038004.958</v>
      </c>
      <c r="AL21" s="326">
        <f t="shared" si="34"/>
        <v>1058765.057</v>
      </c>
      <c r="AM21" s="326">
        <f t="shared" si="34"/>
        <v>1079940.358</v>
      </c>
      <c r="AN21" s="325">
        <f t="shared" si="18"/>
        <v>11649152.54</v>
      </c>
    </row>
    <row r="22" ht="26.25" customHeight="1">
      <c r="A22" s="338" t="s">
        <v>706</v>
      </c>
      <c r="B22" s="326">
        <f>'6.4.1 Estimación de ventas (Eje'!M88*0.5</f>
        <v>1786218.75</v>
      </c>
      <c r="C22" s="326">
        <f>'6.4.1 Estimación de ventas (Eje'!M67*0.5</f>
        <v>352350</v>
      </c>
      <c r="D22" s="326">
        <f>'6.4.1 Estimación de ventas (Eje'!M68*0.5</f>
        <v>626400</v>
      </c>
      <c r="E22" s="326">
        <f>'6.4.1 Estimación de ventas (Eje'!M69*0.5</f>
        <v>704700</v>
      </c>
      <c r="F22" s="326">
        <f>'6.4.1 Estimación de ventas (Eje'!M70*0.5</f>
        <v>678600</v>
      </c>
      <c r="G22" s="326">
        <f>'6.4.1 Estimación de ventas (Eje'!M71*0.5</f>
        <v>352350</v>
      </c>
      <c r="H22" s="326">
        <f>'6.4.1 Estimación de ventas (Eje'!M72*0.5</f>
        <v>939600</v>
      </c>
      <c r="I22" s="326">
        <f>'6.4.1 Estimación de ventas (Eje'!M73*0.5</f>
        <v>1409400</v>
      </c>
      <c r="J22" s="326">
        <f>'6.4.1 Estimación de ventas (Eje'!M74*0.5</f>
        <v>1357200</v>
      </c>
      <c r="K22" s="326">
        <f>'6.4.1 Estimación de ventas (Eje'!M75*0.5</f>
        <v>704700</v>
      </c>
      <c r="L22" s="326">
        <f>'6.4.1 Estimación de ventas (Eje'!M76*0.5</f>
        <v>939600</v>
      </c>
      <c r="M22" s="326">
        <f>'6.4.1 Estimación de ventas (Eje'!M77*0.5</f>
        <v>1057050</v>
      </c>
      <c r="N22" s="325">
        <f t="shared" si="13"/>
        <v>10908168.75</v>
      </c>
      <c r="O22" s="326">
        <f>'6.4.1 Estimación de ventas (Eje'!M88*0.5</f>
        <v>1786218.75</v>
      </c>
      <c r="P22" s="326">
        <f>'6.4.1 Estimación de ventas (Eje'!M89*0.5</f>
        <v>1587750</v>
      </c>
      <c r="Q22" s="326">
        <f>'6.4.1 Estimación de ventas (Eje'!M90*0.5</f>
        <v>1428975</v>
      </c>
      <c r="R22" s="326">
        <f>'6.4.1 Estimación de ventas (Eje'!M91*0.5</f>
        <v>1376050</v>
      </c>
      <c r="S22" s="326">
        <f>'6.4.1 Estimación de ventas (Eje'!M92*0.5</f>
        <v>893109.375</v>
      </c>
      <c r="T22" s="326">
        <f>'6.4.1 Estimación de ventas (Eje'!M93*0.5</f>
        <v>635100</v>
      </c>
      <c r="U22" s="326">
        <f>'6.4.1 Estimación de ventas (Eje'!M94*0.5</f>
        <v>714487.5</v>
      </c>
      <c r="V22" s="326">
        <f>'6.4.1 Estimación de ventas (Eje'!M95*0.5</f>
        <v>1720062.5</v>
      </c>
      <c r="W22" s="326">
        <f>'6.4.1 Estimación de ventas (Eje'!M96*0.5</f>
        <v>714487.5</v>
      </c>
      <c r="X22" s="326">
        <f>'6.4.1 Estimación de ventas (Eje'!M97*0.5</f>
        <v>1270200</v>
      </c>
      <c r="Y22" s="326">
        <f>'6.4.1 Estimación de ventas (Eje'!M98*0.5</f>
        <v>1428975</v>
      </c>
      <c r="Z22" s="326">
        <f>'6.4.1 Estimación de ventas (Eje'!M99*0.5</f>
        <v>1376050</v>
      </c>
      <c r="AA22" s="325">
        <f t="shared" si="15"/>
        <v>14931465.63</v>
      </c>
      <c r="AB22" s="326">
        <f>'6.4.1 Estimación de ventas (Eje'!M109*0.5</f>
        <v>2536675.313</v>
      </c>
      <c r="AC22" s="326">
        <f>'6.4.1 Estimación de ventas (Eje'!M110*0.5</f>
        <v>2254822.5</v>
      </c>
      <c r="AD22" s="326">
        <f>'6.4.1 Estimación de ventas (Eje'!M111*0.5</f>
        <v>1449528.75</v>
      </c>
      <c r="AE22" s="326">
        <f>'6.4.1 Estimación de ventas (Eje'!M112*0.5</f>
        <v>1395842.5</v>
      </c>
      <c r="AF22" s="326">
        <f>'6.4.1 Estimación de ventas (Eje'!M113*0.5</f>
        <v>1449528.75</v>
      </c>
      <c r="AG22" s="326">
        <f>'6.4.1 Estimación de ventas (Eje'!M114*0.5</f>
        <v>966352.5</v>
      </c>
      <c r="AH22" s="326">
        <f>'6.4.1 Estimación de ventas (Eje'!M115*0.5</f>
        <v>3261439.688</v>
      </c>
      <c r="AI22" s="326">
        <f>'6.4.1 Estimación de ventas (Eje'!M116*0.5</f>
        <v>3140645.625</v>
      </c>
      <c r="AJ22" s="326">
        <f>'6.4.1 Estimación de ventas (Eje'!M117*0.5</f>
        <v>1449528.75</v>
      </c>
      <c r="AK22" s="326">
        <f>'6.4.1 Estimación de ventas (Eje'!M118*0.5</f>
        <v>1610587.5</v>
      </c>
      <c r="AL22" s="326">
        <f>'6.4.1 Estimación de ventas (Eje'!M119*0.5</f>
        <v>1811910.938</v>
      </c>
      <c r="AM22" s="326">
        <f>'6.4.1 Estimación de ventas (Eje'!M120*0.5</f>
        <v>2093763.75</v>
      </c>
      <c r="AN22" s="325">
        <f t="shared" si="18"/>
        <v>23420626.56</v>
      </c>
    </row>
    <row r="23" ht="26.25" customHeight="1">
      <c r="A23" s="338" t="s">
        <v>707</v>
      </c>
      <c r="B23" s="339">
        <f>'Modelo Matriz de Gastos (Ejempl'!$D$44*'6.4.1 Estimación de ventas (Eje'!G5</f>
        <v>385200</v>
      </c>
      <c r="C23" s="326">
        <f>'Modelo Matriz de Gastos (Ejempl'!$D$44*'6.4.1 Estimación de ventas (Eje'!$G6*(1+$B$1)^1</f>
        <v>392904</v>
      </c>
      <c r="D23" s="326">
        <f>'Modelo Matriz de Gastos (Ejempl'!$D$44*'6.4.1 Estimación de ventas (Eje'!$G7*(1+$B$1)^2</f>
        <v>333968.4</v>
      </c>
      <c r="E23" s="326">
        <f>'Modelo Matriz de Gastos (Ejempl'!$D$44*'6.4.1 Estimación de ventas (Eje'!$G8*(1+$B$1)^3</f>
        <v>408777.3216</v>
      </c>
      <c r="F23" s="326">
        <f>'Modelo Matriz de Gastos (Ejempl'!$D$44*'6.4.1 Estimación de ventas (Eje'!$G9*(1+$B$1)^4</f>
        <v>416952.868</v>
      </c>
      <c r="G23" s="326">
        <f>'Modelo Matriz de Gastos (Ejempl'!$D$44*'6.4.1 Estimación de ventas (Eje'!$G10*(1+$B$1)^5</f>
        <v>283527.9503</v>
      </c>
      <c r="H23" s="326">
        <f>'Modelo Matriz de Gastos (Ejempl'!$D$44*'6.4.1 Estimación de ventas (Eje'!$G11*(1+$B$1)^6</f>
        <v>867595.5278</v>
      </c>
      <c r="I23" s="326">
        <f>'Modelo Matriz de Gastos (Ejempl'!$D$44*'6.4.1 Estimación de ventas (Eje'!$G12*(1+$B$1)^7</f>
        <v>884947.4384</v>
      </c>
      <c r="J23" s="326">
        <f>'Modelo Matriz de Gastos (Ejempl'!$D$44*'6.4.1 Estimación de ventas (Eje'!$G13*(1+$B$1)^8</f>
        <v>451323.1936</v>
      </c>
      <c r="K23" s="326">
        <f>'Modelo Matriz de Gastos (Ejempl'!$D$44*'6.4.1 Estimación de ventas (Eje'!$G14*(1+$B$1)^9</f>
        <v>613799.5432</v>
      </c>
      <c r="L23" s="326">
        <f>'Modelo Matriz de Gastos (Ejempl'!$D$44*'6.4.1 Estimación de ventas (Eje'!$G15*(1+$B$1)^10</f>
        <v>626075.5341</v>
      </c>
      <c r="M23" s="326">
        <f>'Modelo Matriz de Gastos (Ejempl'!$D$44*'6.4.1 Estimación de ventas (Eje'!$G16*(1+$B$1)^11</f>
        <v>798246.306</v>
      </c>
      <c r="N23" s="325">
        <f t="shared" si="13"/>
        <v>6463318.083</v>
      </c>
      <c r="O23" s="326">
        <f>'Modelo Matriz de Gastos (Ejempl'!$D$44*'6.4.1 Estimación de ventas (Eje'!$G24*(1+$B$1)^12</f>
        <v>1139895.725</v>
      </c>
      <c r="P23" s="326">
        <f>'Modelo Matriz de Gastos (Ejempl'!$D$44*'6.4.1 Estimación de ventas (Eje'!$G25*(1+$B$1)^13</f>
        <v>1162693.639</v>
      </c>
      <c r="Q23" s="326">
        <f>'Modelo Matriz de Gastos (Ejempl'!$D$44*'6.4.1 Estimación de ventas (Eje'!$G26*(1+$B$1)^14</f>
        <v>847105.3659</v>
      </c>
      <c r="R23" s="326">
        <f>'Modelo Matriz de Gastos (Ejempl'!$D$44*'6.4.1 Estimación de ventas (Eje'!$G27*(1+$B$1)^15</f>
        <v>864047.4732</v>
      </c>
      <c r="S23" s="326">
        <f>'Modelo Matriz de Gastos (Ejempl'!$D$44*'6.4.1 Estimación de ventas (Eje'!$G28*(1+$B$1)^16</f>
        <v>528797.0536</v>
      </c>
      <c r="T23" s="326">
        <f>'Modelo Matriz de Gastos (Ejempl'!$D$44*'6.4.1 Estimación de ventas (Eje'!$G29*(1+$B$1)^17</f>
        <v>539372.9947</v>
      </c>
      <c r="U23" s="326">
        <f>'Modelo Matriz de Gastos (Ejempl'!$D$44*'6.4.1 Estimación de ventas (Eje'!$G30*(1+$B$1)^18</f>
        <v>1467094.546</v>
      </c>
      <c r="V23" s="326">
        <f>'Modelo Matriz de Gastos (Ejempl'!$D$44*'6.4.1 Estimación de ventas (Eje'!$G31*(1+$B$1)^19</f>
        <v>1496436.436</v>
      </c>
      <c r="W23" s="326">
        <f>'Modelo Matriz de Gastos (Ejempl'!$D$44*'6.4.1 Estimación de ventas (Eje'!$G32*(1+$B$1)^20</f>
        <v>763182.5826</v>
      </c>
      <c r="X23" s="326">
        <f>'Modelo Matriz de Gastos (Ejempl'!$D$44*'6.4.1 Estimación de ventas (Eje'!$G33*(1+$B$1)^21</f>
        <v>973057.7928</v>
      </c>
      <c r="Y23" s="326">
        <f>'Modelo Matriz de Gastos (Ejempl'!$D$44*'6.4.1 Estimación de ventas (Eje'!$G34*(1+$B$1)^22</f>
        <v>992518.9486</v>
      </c>
      <c r="Z23" s="326">
        <f>'Modelo Matriz de Gastos (Ejempl'!$D$44*'6.4.1 Estimación de ventas (Eje'!$G35*(1+$B$1)^23</f>
        <v>1012369.328</v>
      </c>
      <c r="AA23" s="325">
        <f t="shared" si="15"/>
        <v>11786571.89</v>
      </c>
      <c r="AB23" s="326">
        <f>'Modelo Matriz de Gastos (Ejempl'!$D$44*'6.4.1 Estimación de ventas (Eje'!$G43*(1+$B$1)^24</f>
        <v>1858710.085</v>
      </c>
      <c r="AC23" s="326">
        <f>'Modelo Matriz de Gastos (Ejempl'!$D$44*'6.4.1 Estimación de ventas (Eje'!$G44*(1+$B$1)^25</f>
        <v>1895884.287</v>
      </c>
      <c r="AD23" s="326">
        <f>'Modelo Matriz de Gastos (Ejempl'!$D$44*'6.4.1 Estimación de ventas (Eje'!$G45*(1+$B$1)^26</f>
        <v>1504068.201</v>
      </c>
      <c r="AE23" s="326">
        <f>'Modelo Matriz de Gastos (Ejempl'!$D$44*'6.4.1 Estimación de ventas (Eje'!$G46*(1+$B$1)^27</f>
        <v>1534149.565</v>
      </c>
      <c r="AF23" s="326">
        <f>'Modelo Matriz de Gastos (Ejempl'!$D$44*'6.4.1 Estimación de ventas (Eje'!$G47*(1+$B$1)^28</f>
        <v>894190.0323</v>
      </c>
      <c r="AG23" s="326">
        <f>'Modelo Matriz de Gastos (Ejempl'!$D$44*'6.4.1 Estimación de ventas (Eje'!$G48*(1+$B$1)^29</f>
        <v>912073.8329</v>
      </c>
      <c r="AH23" s="326">
        <f>'Modelo Matriz de Gastos (Ejempl'!$D$44*'6.4.1 Estimación de ventas (Eje'!$G49*(1+$B$1)^30</f>
        <v>2325788.274</v>
      </c>
      <c r="AI23" s="326">
        <f>'Modelo Matriz de Gastos (Ejempl'!$D$44*'6.4.1 Estimación de ventas (Eje'!$G50*(1+$B$1)^31</f>
        <v>2372304.039</v>
      </c>
      <c r="AJ23" s="326">
        <f>'Modelo Matriz de Gastos (Ejempl'!$D$44*'6.4.1 Estimación de ventas (Eje'!$G51*(1+$B$1)^32</f>
        <v>1209875.06</v>
      </c>
      <c r="AK23" s="326">
        <f>'Modelo Matriz de Gastos (Ejempl'!$D$44*'6.4.1 Estimación de ventas (Eje'!$G52*(1+$B$1)^33</f>
        <v>1727701.586</v>
      </c>
      <c r="AL23" s="326">
        <f>'Modelo Matriz de Gastos (Ejempl'!$D$44*'6.4.1 Estimación de ventas (Eje'!$G53*(1+$B$1)^34</f>
        <v>1762255.618</v>
      </c>
      <c r="AM23" s="326">
        <f>'Modelo Matriz de Gastos (Ejempl'!$D$44*'6.4.1 Estimación de ventas (Eje'!$G54*(1+$B$1)^35</f>
        <v>1797500.73</v>
      </c>
      <c r="AN23" s="325">
        <f t="shared" si="18"/>
        <v>19794501.31</v>
      </c>
    </row>
    <row r="24" ht="26.25" customHeight="1">
      <c r="A24" s="338" t="s">
        <v>708</v>
      </c>
      <c r="B24" s="326">
        <f>(0.7*'6.4.1 Estimación de ventas (Eje'!I5)*0.3</f>
        <v>5097330</v>
      </c>
      <c r="C24" s="326">
        <f>(0.7*'6.4.1 Estimación de ventas (Eje'!I6)*0.3</f>
        <v>4604040</v>
      </c>
      <c r="D24" s="326">
        <f>(0.7*'6.4.1 Estimación de ventas (Eje'!I7)*0.3</f>
        <v>4035386.25</v>
      </c>
      <c r="E24" s="326">
        <f>(0.7*'6.4.1 Estimación de ventas (Eje'!I8)*0.3</f>
        <v>4686255</v>
      </c>
      <c r="F24" s="326">
        <f>(0.7*'6.4.1 Estimación de ventas (Eje'!I9)*0.3</f>
        <v>4587597</v>
      </c>
      <c r="G24" s="326">
        <f>(0.7*'6.4.1 Estimación de ventas (Eje'!I10)*0.3</f>
        <v>2959740</v>
      </c>
      <c r="H24" s="326">
        <f>(0.7*'6.4.1 Estimación de ventas (Eje'!I11)*0.3</f>
        <v>10194660</v>
      </c>
      <c r="I24" s="326">
        <f>(0.7*'6.4.1 Estimación de ventas (Eje'!I12)*0.3</f>
        <v>10194660</v>
      </c>
      <c r="J24" s="326">
        <f>(0.7*'6.4.1 Estimación de ventas (Eje'!I13)*0.3</f>
        <v>4439610</v>
      </c>
      <c r="K24" s="326">
        <f>(0.7*'6.4.1 Estimación de ventas (Eje'!I14)*0.3</f>
        <v>6456618</v>
      </c>
      <c r="L24" s="326">
        <f>(0.7*'6.4.1 Estimación de ventas (Eje'!I15)*0.3</f>
        <v>6248340</v>
      </c>
      <c r="M24" s="326">
        <f>(0.7*'6.4.1 Estimación de ventas (Eje'!I16)*0.3</f>
        <v>8070772.5</v>
      </c>
      <c r="N24" s="325">
        <f t="shared" si="13"/>
        <v>71575008.75</v>
      </c>
      <c r="O24" s="326">
        <f>(0.5*'6.4.1 Estimación de ventas (Eje'!I24)*0.3</f>
        <v>11381107.5</v>
      </c>
      <c r="P24" s="326">
        <f>(0.5*'6.4.1 Estimación de ventas (Eje'!I25)*0.3</f>
        <v>10279710</v>
      </c>
      <c r="Q24" s="326">
        <f>(0.5*'6.4.1 Estimación de ventas (Eje'!I26)*0.3</f>
        <v>7722894.375</v>
      </c>
      <c r="R24" s="326">
        <f>(0.5*'6.4.1 Estimación de ventas (Eje'!I27)*0.3</f>
        <v>7473768.75</v>
      </c>
      <c r="S24" s="326">
        <f>(0.5*'6.4.1 Estimación de ventas (Eje'!I28)*0.3</f>
        <v>4389855.75</v>
      </c>
      <c r="T24" s="326">
        <f>(0.5*'6.4.1 Estimación de ventas (Eje'!I29)*0.3</f>
        <v>4248247.5</v>
      </c>
      <c r="U24" s="326">
        <f>(0.5*'6.4.1 Estimación de ventas (Eje'!I30)*0.3</f>
        <v>13006980</v>
      </c>
      <c r="V24" s="326">
        <f>(0.5*'6.4.1 Estimación de ventas (Eje'!I31)*0.3</f>
        <v>13006980</v>
      </c>
      <c r="W24" s="326">
        <f>(0.5*'6.4.1 Estimación de ventas (Eje'!I32)*0.3</f>
        <v>5664330</v>
      </c>
      <c r="X24" s="326">
        <f>(0.5*'6.4.1 Estimación de ventas (Eje'!I33)*0.3</f>
        <v>7722894.375</v>
      </c>
      <c r="Y24" s="326">
        <f>(0.5*'6.4.1 Estimación de ventas (Eje'!I34)*0.3</f>
        <v>7473768.75</v>
      </c>
      <c r="Z24" s="326">
        <f>(0.5*'6.4.1 Estimación de ventas (Eje'!I35)*0.3</f>
        <v>7722894.375</v>
      </c>
      <c r="AA24" s="325">
        <f t="shared" si="15"/>
        <v>100093431.4</v>
      </c>
      <c r="AB24" s="326">
        <f>(0.4*'6.4.1 Estimación de ventas (Eje'!I43)*0.3</f>
        <v>13288212</v>
      </c>
      <c r="AC24" s="326">
        <f>(0.4*'6.4.1 Estimación de ventas (Eje'!I44)*0.3</f>
        <v>12002256</v>
      </c>
      <c r="AD24" s="326">
        <f>(0.4*'6.4.1 Estimación de ventas (Eje'!I45)*0.3</f>
        <v>9818512.2</v>
      </c>
      <c r="AE24" s="326">
        <f>(0.4*'6.4.1 Estimación de ventas (Eje'!I46)*0.3</f>
        <v>9501786</v>
      </c>
      <c r="AF24" s="326">
        <f>(0.4*'6.4.1 Estimación de ventas (Eje'!I47)*0.3</f>
        <v>5315284.8</v>
      </c>
      <c r="AG24" s="326">
        <f>(0.4*'6.4.1 Estimación de ventas (Eje'!I48)*0.3</f>
        <v>5143824</v>
      </c>
      <c r="AH24" s="326">
        <f>(0.4*'6.4.1 Estimación de ventas (Eje'!I49)*0.3</f>
        <v>14764680</v>
      </c>
      <c r="AI24" s="326">
        <f>(0.4*'6.4.1 Estimación de ventas (Eje'!I50)*0.3</f>
        <v>14764680</v>
      </c>
      <c r="AJ24" s="326">
        <f>(0.4*'6.4.1 Estimación de ventas (Eje'!I51)*0.3</f>
        <v>6429780</v>
      </c>
      <c r="AK24" s="326">
        <f>(0.4*'6.4.1 Estimación de ventas (Eje'!I52)*0.3</f>
        <v>9818512.2</v>
      </c>
      <c r="AL24" s="326">
        <f>(0.4*'6.4.1 Estimación de ventas (Eje'!I53)*0.3</f>
        <v>9501786</v>
      </c>
      <c r="AM24" s="326">
        <f>(0.4*'6.4.1 Estimación de ventas (Eje'!I54)*0.3</f>
        <v>9818512.2</v>
      </c>
      <c r="AN24" s="325">
        <f t="shared" si="18"/>
        <v>120167825.4</v>
      </c>
    </row>
    <row r="25" ht="26.25" customHeight="1">
      <c r="A25" s="338" t="s">
        <v>709</v>
      </c>
      <c r="B25" s="339">
        <v>500000.0</v>
      </c>
      <c r="C25" s="326">
        <f t="shared" ref="C25:M25" si="35">B25*1.02</f>
        <v>510000</v>
      </c>
      <c r="D25" s="326">
        <f t="shared" si="35"/>
        <v>520200</v>
      </c>
      <c r="E25" s="326">
        <f t="shared" si="35"/>
        <v>530604</v>
      </c>
      <c r="F25" s="326">
        <f t="shared" si="35"/>
        <v>541216.08</v>
      </c>
      <c r="G25" s="326">
        <f t="shared" si="35"/>
        <v>552040.4016</v>
      </c>
      <c r="H25" s="326">
        <f t="shared" si="35"/>
        <v>563081.2096</v>
      </c>
      <c r="I25" s="326">
        <f t="shared" si="35"/>
        <v>574342.8338</v>
      </c>
      <c r="J25" s="326">
        <f t="shared" si="35"/>
        <v>585829.6905</v>
      </c>
      <c r="K25" s="326">
        <f t="shared" si="35"/>
        <v>597546.2843</v>
      </c>
      <c r="L25" s="326">
        <f t="shared" si="35"/>
        <v>609497.21</v>
      </c>
      <c r="M25" s="326">
        <f t="shared" si="35"/>
        <v>621687.1542</v>
      </c>
      <c r="N25" s="325">
        <f t="shared" si="13"/>
        <v>6706044.864</v>
      </c>
      <c r="O25" s="326">
        <f>M25*1.02</f>
        <v>634120.8973</v>
      </c>
      <c r="P25" s="326">
        <f t="shared" ref="P25:Z25" si="36">O25*1.02</f>
        <v>646803.3152</v>
      </c>
      <c r="Q25" s="326">
        <f t="shared" si="36"/>
        <v>659739.3815</v>
      </c>
      <c r="R25" s="326">
        <f t="shared" si="36"/>
        <v>672934.1692</v>
      </c>
      <c r="S25" s="326">
        <f t="shared" si="36"/>
        <v>686392.8525</v>
      </c>
      <c r="T25" s="326">
        <f t="shared" si="36"/>
        <v>700120.7096</v>
      </c>
      <c r="U25" s="326">
        <f t="shared" si="36"/>
        <v>714123.1238</v>
      </c>
      <c r="V25" s="326">
        <f t="shared" si="36"/>
        <v>728405.5863</v>
      </c>
      <c r="W25" s="326">
        <f t="shared" si="36"/>
        <v>742973.698</v>
      </c>
      <c r="X25" s="326">
        <f t="shared" si="36"/>
        <v>757833.1719</v>
      </c>
      <c r="Y25" s="326">
        <f t="shared" si="36"/>
        <v>772989.8354</v>
      </c>
      <c r="Z25" s="326">
        <f t="shared" si="36"/>
        <v>788449.6321</v>
      </c>
      <c r="AA25" s="325">
        <f t="shared" si="15"/>
        <v>8504886.373</v>
      </c>
      <c r="AB25" s="340">
        <f>Z25*1.02</f>
        <v>804218.6247</v>
      </c>
      <c r="AC25" s="326">
        <f t="shared" ref="AC25:AM25" si="37">AB25*1.02</f>
        <v>820302.9972</v>
      </c>
      <c r="AD25" s="326">
        <f t="shared" si="37"/>
        <v>836709.0572</v>
      </c>
      <c r="AE25" s="326">
        <f t="shared" si="37"/>
        <v>853443.2383</v>
      </c>
      <c r="AF25" s="326">
        <f t="shared" si="37"/>
        <v>870512.1031</v>
      </c>
      <c r="AG25" s="326">
        <f t="shared" si="37"/>
        <v>887922.3451</v>
      </c>
      <c r="AH25" s="326">
        <f t="shared" si="37"/>
        <v>905680.7921</v>
      </c>
      <c r="AI25" s="326">
        <f t="shared" si="37"/>
        <v>923794.4079</v>
      </c>
      <c r="AJ25" s="326">
        <f t="shared" si="37"/>
        <v>942270.2961</v>
      </c>
      <c r="AK25" s="326">
        <f t="shared" si="37"/>
        <v>961115.702</v>
      </c>
      <c r="AL25" s="326">
        <f t="shared" si="37"/>
        <v>980338.016</v>
      </c>
      <c r="AM25" s="326">
        <f t="shared" si="37"/>
        <v>999944.7763</v>
      </c>
      <c r="AN25" s="325">
        <f t="shared" si="18"/>
        <v>10786252.36</v>
      </c>
    </row>
    <row r="26" ht="26.25" customHeight="1">
      <c r="A26" s="338" t="s">
        <v>710</v>
      </c>
      <c r="B26" s="326">
        <f>(3000*2*'6.4.1 Estimación de ventas (Eje'!$C$1*4)/12</f>
        <v>2900000</v>
      </c>
      <c r="C26" s="326">
        <f>(3000*2*'6.4.1 Estimación de ventas (Eje'!$C$1*4)/12</f>
        <v>2900000</v>
      </c>
      <c r="D26" s="326">
        <f>(3000*2*'6.4.1 Estimación de ventas (Eje'!$C$1*4)/12</f>
        <v>2900000</v>
      </c>
      <c r="E26" s="326">
        <f>(3000*2*'6.4.1 Estimación de ventas (Eje'!$C$1*4)/12</f>
        <v>2900000</v>
      </c>
      <c r="F26" s="326">
        <f>(3000*2*'6.4.1 Estimación de ventas (Eje'!$C$1*4)/12</f>
        <v>2900000</v>
      </c>
      <c r="G26" s="326">
        <f>(3000*2*'6.4.1 Estimación de ventas (Eje'!$C$1*4)/12</f>
        <v>2900000</v>
      </c>
      <c r="H26" s="326">
        <f>(3000*2*'6.4.1 Estimación de ventas (Eje'!$C$1*4)/12</f>
        <v>2900000</v>
      </c>
      <c r="I26" s="326">
        <f>(3000*2*'6.4.1 Estimación de ventas (Eje'!$C$1*4)/12</f>
        <v>2900000</v>
      </c>
      <c r="J26" s="326">
        <f>(3000*2*'6.4.1 Estimación de ventas (Eje'!$C$1*4)/12</f>
        <v>2900000</v>
      </c>
      <c r="K26" s="326">
        <f>(3000*2*'6.4.1 Estimación de ventas (Eje'!$C$1*4)/12</f>
        <v>2900000</v>
      </c>
      <c r="L26" s="326">
        <f>(3000*2*'6.4.1 Estimación de ventas (Eje'!$C$1*4)/12</f>
        <v>2900000</v>
      </c>
      <c r="M26" s="326">
        <f>(3000*2*'6.4.1 Estimación de ventas (Eje'!$C$1*4)/12</f>
        <v>2900000</v>
      </c>
      <c r="N26" s="325">
        <f t="shared" si="13"/>
        <v>34800000</v>
      </c>
      <c r="O26" s="326">
        <f>(3000*2*'6.4.1 Estimación de ventas (Eje'!$G$37*4)/12</f>
        <v>3700000</v>
      </c>
      <c r="P26" s="326">
        <f>(3000*2*'6.4.1 Estimación de ventas (Eje'!$G$37*4)/12</f>
        <v>3700000</v>
      </c>
      <c r="Q26" s="326">
        <f>(3000*2*'6.4.1 Estimación de ventas (Eje'!$G$37*4)/12</f>
        <v>3700000</v>
      </c>
      <c r="R26" s="326">
        <f>(3000*2*'6.4.1 Estimación de ventas (Eje'!$G$37*4)/12</f>
        <v>3700000</v>
      </c>
      <c r="S26" s="326">
        <f>(3000*2*'6.4.1 Estimación de ventas (Eje'!$G$37*4)/12</f>
        <v>3700000</v>
      </c>
      <c r="T26" s="326">
        <f>(3000*2*'6.4.1 Estimación de ventas (Eje'!$G$37*4)/12</f>
        <v>3700000</v>
      </c>
      <c r="U26" s="326">
        <f>(3000*2*'6.4.1 Estimación de ventas (Eje'!$G$37*4)/12</f>
        <v>3700000</v>
      </c>
      <c r="V26" s="326">
        <f>(3000*2*'6.4.1 Estimación de ventas (Eje'!$G$37*4)/12</f>
        <v>3700000</v>
      </c>
      <c r="W26" s="326">
        <f>(3000*2*'6.4.1 Estimación de ventas (Eje'!$G$37*4)/12</f>
        <v>3700000</v>
      </c>
      <c r="X26" s="326">
        <f>(3000*2*'6.4.1 Estimación de ventas (Eje'!$G$37*4)/12</f>
        <v>3700000</v>
      </c>
      <c r="Y26" s="326">
        <f>(3000*2*'6.4.1 Estimación de ventas (Eje'!$G$37*4)/12</f>
        <v>3700000</v>
      </c>
      <c r="Z26" s="326">
        <f>(3000*2*'6.4.1 Estimación de ventas (Eje'!$G$37*4)/12</f>
        <v>3700000</v>
      </c>
      <c r="AA26" s="325">
        <f t="shared" si="15"/>
        <v>44400000</v>
      </c>
      <c r="AB26" s="340">
        <f>(3000*2*'6.4.1 Estimación de ventas (Eje'!$G$56*2)/12</f>
        <v>2100000</v>
      </c>
      <c r="AC26" s="326">
        <f>(3000*2*'6.4.1 Estimación de ventas (Eje'!$G$56*2)/12</f>
        <v>2100000</v>
      </c>
      <c r="AD26" s="326">
        <f>(3000*2*'6.4.1 Estimación de ventas (Eje'!$G$56*2)/12</f>
        <v>2100000</v>
      </c>
      <c r="AE26" s="326">
        <f>(3000*2*'6.4.1 Estimación de ventas (Eje'!$G$56*2)/12</f>
        <v>2100000</v>
      </c>
      <c r="AF26" s="326">
        <f>(3000*2*'6.4.1 Estimación de ventas (Eje'!$G$56*2)/12</f>
        <v>2100000</v>
      </c>
      <c r="AG26" s="326">
        <f>(3000*2*'6.4.1 Estimación de ventas (Eje'!$G$56*2)/12</f>
        <v>2100000</v>
      </c>
      <c r="AH26" s="326">
        <f>(3000*2*'6.4.1 Estimación de ventas (Eje'!$G$56*2)/12</f>
        <v>2100000</v>
      </c>
      <c r="AI26" s="326">
        <f>(3000*2*'6.4.1 Estimación de ventas (Eje'!$G$56*2)/12</f>
        <v>2100000</v>
      </c>
      <c r="AJ26" s="326">
        <f>(3000*2*'6.4.1 Estimación de ventas (Eje'!$G$56*2)/12</f>
        <v>2100000</v>
      </c>
      <c r="AK26" s="326">
        <f>(3000*2*'6.4.1 Estimación de ventas (Eje'!$G$56*2)/12</f>
        <v>2100000</v>
      </c>
      <c r="AL26" s="326">
        <f>(3000*2*'6.4.1 Estimación de ventas (Eje'!$G$56*2)/12</f>
        <v>2100000</v>
      </c>
      <c r="AM26" s="326">
        <f>(3000*2*'6.4.1 Estimación de ventas (Eje'!$G$56*2)/12</f>
        <v>2100000</v>
      </c>
      <c r="AN26" s="325">
        <f t="shared" si="18"/>
        <v>25200000</v>
      </c>
    </row>
    <row r="27" ht="26.25" customHeight="1">
      <c r="A27" s="338" t="s">
        <v>711</v>
      </c>
      <c r="B27" s="326">
        <f>'Modelo Matriz de Gastos (Ejempl'!$D$146*'6.4.1 Estimación de ventas (Eje'!$O131</f>
        <v>1992959.292</v>
      </c>
      <c r="C27" s="326">
        <f>'Modelo Matriz de Gastos (Ejempl'!$D$146*'6.4.1 Estimación de ventas (Eje'!$O132*(1+$B$1)^1</f>
        <v>6098455.433</v>
      </c>
      <c r="D27" s="326">
        <f>'Modelo Matriz de Gastos (Ejempl'!$D$146*'6.4.1 Estimación de ventas (Eje'!$O133*(1+$B$1)^2</f>
        <v>4146949.694</v>
      </c>
      <c r="E27" s="326">
        <f>'Modelo Matriz de Gastos (Ejempl'!$D$146*'6.4.1 Estimación de ventas (Eje'!$O134*(1+$B$1)^3</f>
        <v>6344833.032</v>
      </c>
      <c r="F27" s="326">
        <f>'Modelo Matriz de Gastos (Ejempl'!$D$146*'6.4.1 Estimación de ventas (Eje'!$O135*(1+$B$1)^4</f>
        <v>4314486.462</v>
      </c>
      <c r="G27" s="326">
        <f>'Modelo Matriz de Gastos (Ejempl'!$D$146*'6.4.1 Estimación de ventas (Eje'!$O136*(1+$B$1)^5</f>
        <v>4400776.191</v>
      </c>
      <c r="H27" s="326">
        <f>'Modelo Matriz de Gastos (Ejempl'!$D$146*'6.4.1 Estimación de ventas (Eje'!$O137*(1+$B$1)^6</f>
        <v>11221979.29</v>
      </c>
      <c r="I27" s="326">
        <f>'Modelo Matriz de Gastos (Ejempl'!$D$146*'6.4.1 Estimación de ventas (Eje'!$O138*(1+$B$1)^7</f>
        <v>11446418.87</v>
      </c>
      <c r="J27" s="326">
        <f>'Modelo Matriz de Gastos (Ejempl'!$D$146*'6.4.1 Estimación de ventas (Eje'!$O139*(1+$B$1)^8</f>
        <v>7005208.35</v>
      </c>
      <c r="K27" s="326">
        <f>'Modelo Matriz de Gastos (Ejempl'!$D$146*'6.4.1 Estimación de ventas (Eje'!$O140*(1+$B$1)^9</f>
        <v>7145312.517</v>
      </c>
      <c r="L27" s="326">
        <f>'Modelo Matriz de Gastos (Ejempl'!$D$146*'6.4.1 Estimación de ventas (Eje'!$O141*(1+$B$1)^10</f>
        <v>7288218.767</v>
      </c>
      <c r="M27" s="326">
        <f>'Modelo Matriz de Gastos (Ejempl'!$D$146*'6.4.1 Estimación de ventas (Eje'!$O142*(1+$B$1)^11</f>
        <v>9911977.524</v>
      </c>
      <c r="N27" s="325">
        <f t="shared" si="13"/>
        <v>81317575.42</v>
      </c>
      <c r="O27" s="326">
        <f>'Modelo Matriz de Gastos (Ejempl'!D146*'6.4.1 Estimación de ventas (Eje'!O155*(1+$B$1)^12</f>
        <v>15165325.61</v>
      </c>
      <c r="P27" s="326">
        <f>'Modelo Matriz de Gastos (Ejempl'!$D$146*'6.4.1 Estimación de ventas (Eje'!$O156*(1+$B$1)^13</f>
        <v>15468632.12</v>
      </c>
      <c r="Q27" s="326">
        <f>'Modelo Matriz de Gastos (Ejempl'!$D$146*'6.4.1 Estimación de ventas (Eje'!$O157*(1+$B$1)^14</f>
        <v>13148337.31</v>
      </c>
      <c r="R27" s="326">
        <f>'Modelo Matriz de Gastos (Ejempl'!$D$146*'6.4.1 Estimación de ventas (Eje'!$O158*(1+$B$1)^15</f>
        <v>13411304.05</v>
      </c>
      <c r="S27" s="326">
        <f>'Modelo Matriz de Gastos (Ejempl'!$D$146*'6.4.1 Estimación de ventas (Eje'!$O159*(1+$B$1)^16</f>
        <v>5471812.053</v>
      </c>
      <c r="T27" s="326">
        <f>'Modelo Matriz de Gastos (Ejempl'!$D$146*'6.4.1 Estimación de ventas (Eje'!$O160*(1+$B$1)^17</f>
        <v>5581248.294</v>
      </c>
      <c r="U27" s="326">
        <f>'Modelo Matriz de Gastos (Ejempl'!$D$146*'6.4.1 Estimación de ventas (Eje'!$O161*(1+$B$1)^18</f>
        <v>19925056.41</v>
      </c>
      <c r="V27" s="326">
        <f>'Modelo Matriz de Gastos (Ejempl'!$D$146*'6.4.1 Estimación de ventas (Eje'!$O162*(1+$B$1)^19</f>
        <v>20323557.54</v>
      </c>
      <c r="W27" s="326">
        <f>'Modelo Matriz de Gastos (Ejempl'!$D$146*'6.4.1 Estimación de ventas (Eje'!$O163*(1+$B$1)^20</f>
        <v>11845730.68</v>
      </c>
      <c r="X27" s="326">
        <f>'Modelo Matriz de Gastos (Ejempl'!$D$146*'6.4.1 Estimación de ventas (Eje'!$O164*(1+$B$1)^21</f>
        <v>12082645.29</v>
      </c>
      <c r="Y27" s="326">
        <f>'Modelo Matriz de Gastos (Ejempl'!$D$146*'6.4.1 Estimación de ventas (Eje'!$O165*(1+$B$1)^22</f>
        <v>12324298.2</v>
      </c>
      <c r="Z27" s="326">
        <f>'Modelo Matriz de Gastos (Ejempl'!$D$146*'6.4.1 Estimación de ventas (Eje'!$O166*(1+$B$1)^23</f>
        <v>15713480.2</v>
      </c>
      <c r="AA27" s="325">
        <f t="shared" si="15"/>
        <v>160461427.8</v>
      </c>
      <c r="AB27" s="326">
        <f>'Modelo Matriz de Gastos (Ejempl'!$D$146*'6.4.1 Estimación de ventas (Eje'!$O179*(1+$B$1)^24</f>
        <v>25644399.69</v>
      </c>
      <c r="AC27" s="326">
        <f>'Modelo Matriz de Gastos (Ejempl'!$D$146*'6.4.1 Estimación de ventas (Eje'!$O180*(1+$B$1)^25</f>
        <v>26157287.69</v>
      </c>
      <c r="AD27" s="326">
        <f>'Modelo Matriz de Gastos (Ejempl'!$D$146*'6.4.1 Estimación de ventas (Eje'!$O181*(1+$B$1)^26</f>
        <v>20010325.08</v>
      </c>
      <c r="AE27" s="326">
        <f>'Modelo Matriz de Gastos (Ejempl'!$D$146*'6.4.1 Estimación de ventas (Eje'!$O182*(1+$B$1)^24</f>
        <v>19233299.77</v>
      </c>
      <c r="AF27" s="326">
        <f>'Modelo Matriz de Gastos (Ejempl'!$D$146*'6.4.1 Estimación de ventas (Eje'!$O179*(1+$B$1)^27</f>
        <v>27214042.11</v>
      </c>
      <c r="AG27" s="326">
        <f>'Modelo Matriz de Gastos (Ejempl'!$D$146*'6.4.1 Estimación de ventas (Eje'!$O183*(1+$B$1)^28</f>
        <v>13879161.47</v>
      </c>
      <c r="AH27" s="326">
        <f>'Modelo Matriz de Gastos (Ejempl'!$D$146*'6.4.1 Estimación de ventas (Eje'!$O184*(1+$B$1)^29</f>
        <v>14156744.7</v>
      </c>
      <c r="AI27" s="326">
        <f>'Modelo Matriz de Gastos (Ejempl'!$D$146*'6.4.1 Estimación de ventas (Eje'!$O185*(1+$B$1)^30</f>
        <v>28879759.2</v>
      </c>
      <c r="AJ27" s="326">
        <f>'Modelo Matriz de Gastos (Ejempl'!$D$146*'6.4.1 Estimación de ventas (Eje'!$O186*(1+$B$1)^31</f>
        <v>33139523.68</v>
      </c>
      <c r="AK27" s="326">
        <f>'Modelo Matriz de Gastos (Ejempl'!$D$146*'6.4.1 Estimación de ventas (Eje'!$O187*(1+$B$1)^32</f>
        <v>15023250.73</v>
      </c>
      <c r="AL27" s="326">
        <f>'Modelo Matriz de Gastos (Ejempl'!$D$146*'6.4.1 Estimación de ventas (Eje'!$O188*(1+$B$1)^33</f>
        <v>19154644.69</v>
      </c>
      <c r="AM27" s="326">
        <f>'Modelo Matriz de Gastos (Ejempl'!$D$146*'6.4.1 Estimación de ventas (Eje'!$O188*(1+$B$1)^34</f>
        <v>19537737.58</v>
      </c>
      <c r="AN27" s="325">
        <f t="shared" si="18"/>
        <v>262030176.4</v>
      </c>
    </row>
    <row r="28" ht="26.25" customHeight="1">
      <c r="A28" s="338" t="s">
        <v>712</v>
      </c>
      <c r="B28" s="326">
        <f>'Modelo Matriz de Gastos (Ejempl'!$D$88*'6.4.1 Estimación de ventas (Eje'!$G5</f>
        <v>3164716.632</v>
      </c>
      <c r="C28" s="326">
        <f>'Modelo Matriz de Gastos (Ejempl'!$D$88*'6.4.1 Estimación de ventas (Eje'!$G6*(1+$B$1)^1</f>
        <v>3228010.965</v>
      </c>
      <c r="D28" s="326">
        <f>'Modelo Matriz de Gastos (Ejempl'!$D$88*'6.4.1 Estimación de ventas (Eje'!$G7*(1+$B$1)^2</f>
        <v>2743809.32</v>
      </c>
      <c r="E28" s="326">
        <f>'Modelo Matriz de Gastos (Ejempl'!$D$88*'6.4.1 Estimación de ventas (Eje'!$G8*(1+$B$1)^3</f>
        <v>3358422.608</v>
      </c>
      <c r="F28" s="326">
        <f>'Modelo Matriz de Gastos (Ejempl'!$D$88*'6.4.1 Estimación de ventas (Eje'!$G9*(1+$B$1)^4</f>
        <v>3425591.06</v>
      </c>
      <c r="G28" s="326">
        <f>'Modelo Matriz de Gastos (Ejempl'!$D$88*'6.4.1 Estimación de ventas (Eje'!$G10*(1+$B$1)^5</f>
        <v>2329401.921</v>
      </c>
      <c r="H28" s="326">
        <f>'Modelo Matriz de Gastos (Ejempl'!$D$88*'6.4.1 Estimación de ventas (Eje'!$G11*(1+$B$1)^6</f>
        <v>7127969.877</v>
      </c>
      <c r="I28" s="326">
        <f>'Modelo Matriz de Gastos (Ejempl'!$D$88*'6.4.1 Estimación de ventas (Eje'!$G12*(1+$B$1)^7</f>
        <v>7270529.275</v>
      </c>
      <c r="J28" s="326">
        <f>'Modelo Matriz de Gastos (Ejempl'!$D$88*'6.4.1 Estimación de ventas (Eje'!$G13*(1+$B$1)^8</f>
        <v>3707969.93</v>
      </c>
      <c r="K28" s="326">
        <f>'Modelo Matriz de Gastos (Ejempl'!$D$88*'6.4.1 Estimación de ventas (Eje'!$G14*(1+$B$1)^9</f>
        <v>5042839.105</v>
      </c>
      <c r="L28" s="326">
        <f>'Modelo Matriz de Gastos (Ejempl'!$D$88*'6.4.1 Estimación de ventas (Eje'!$G15*(1+$B$1)^10</f>
        <v>5143695.887</v>
      </c>
      <c r="M28" s="326">
        <f>'Modelo Matriz de Gastos (Ejempl'!$D$88*'6.4.1 Estimación de ventas (Eje'!$G16*(1+$B$1)^11</f>
        <v>6558212.256</v>
      </c>
      <c r="N28" s="325">
        <f t="shared" si="13"/>
        <v>53101168.83</v>
      </c>
      <c r="O28" s="326">
        <f>'Modelo Matriz de Gastos (Ejempl'!$D$88*'6.4.1 Estimación de ventas (Eje'!$G24*(1+$B$1)^12</f>
        <v>9365127.102</v>
      </c>
      <c r="P28" s="326">
        <f>'Modelo Matriz de Gastos (Ejempl'!$D$88*'6.4.1 Estimación de ventas (Eje'!$G25*(1+$B$1)^13</f>
        <v>9552429.644</v>
      </c>
      <c r="Q28" s="326">
        <f>'Modelo Matriz de Gastos (Ejempl'!$D$88*'6.4.1 Estimación de ventas (Eje'!$G26*(1+$B$1)^14</f>
        <v>6959627.312</v>
      </c>
      <c r="R28" s="326">
        <f>'Modelo Matriz de Gastos (Ejempl'!$D$88*'6.4.1 Estimación de ventas (Eje'!$G27*(1+$B$1)^15</f>
        <v>7098819.858</v>
      </c>
      <c r="S28" s="326">
        <f>'Modelo Matriz de Gastos (Ejempl'!$D$88*'6.4.1 Estimación de ventas (Eje'!$G28*(1+$B$1)^16</f>
        <v>4344477.753</v>
      </c>
      <c r="T28" s="326">
        <f>'Modelo Matriz de Gastos (Ejempl'!$D$88*'6.4.1 Estimación de ventas (Eje'!$G29*(1+$B$1)^17</f>
        <v>4431367.308</v>
      </c>
      <c r="U28" s="326">
        <f>'Modelo Matriz de Gastos (Ejempl'!$D$88*'6.4.1 Estimación de ventas (Eje'!$G30*(1+$B$1)^18</f>
        <v>12053319.08</v>
      </c>
      <c r="V28" s="326">
        <f>'Modelo Matriz de Gastos (Ejempl'!$D$88*'6.4.1 Estimación de ventas (Eje'!$G31*(1+$B$1)^19</f>
        <v>12294385.46</v>
      </c>
      <c r="W28" s="326">
        <f>'Modelo Matriz de Gastos (Ejempl'!$D$88*'6.4.1 Estimación de ventas (Eje'!$G32*(1+$B$1)^20</f>
        <v>6270136.584</v>
      </c>
      <c r="X28" s="326">
        <f>'Modelo Matriz de Gastos (Ejempl'!$D$88*'6.4.1 Estimación de ventas (Eje'!$G33*(1+$B$1)^21</f>
        <v>7994424.145</v>
      </c>
      <c r="Y28" s="326">
        <f>'Modelo Matriz de Gastos (Ejempl'!$D$88*'6.4.1 Estimación de ventas (Eje'!$G34*(1+$B$1)^22</f>
        <v>8154312.628</v>
      </c>
      <c r="Z28" s="326">
        <f>'Modelo Matriz de Gastos (Ejempl'!$D$88*'6.4.1 Estimación de ventas (Eje'!$G35*(1+$B$1)^23</f>
        <v>8317398.881</v>
      </c>
      <c r="AA28" s="325">
        <f t="shared" si="15"/>
        <v>96835825.75</v>
      </c>
      <c r="AB28" s="326">
        <f>'Modelo Matriz de Gastos (Ejempl'!$D$88*'6.4.1 Estimación de ventas (Eje'!$G43*(1+$B$1)^24</f>
        <v>15270744.34</v>
      </c>
      <c r="AC28" s="326">
        <f>'Modelo Matriz de Gastos (Ejempl'!$D$88*'6.4.1 Estimación de ventas (Eje'!$G44*(1+$B$1)^25</f>
        <v>15576159.23</v>
      </c>
      <c r="AD28" s="326">
        <f>'Modelo Matriz de Gastos (Ejempl'!$D$88*'6.4.1 Estimación de ventas (Eje'!$G45*(1+$B$1)^26</f>
        <v>12357086.32</v>
      </c>
      <c r="AE28" s="326">
        <f>'Modelo Matriz de Gastos (Ejempl'!$D$88*'6.4.1 Estimación de ventas (Eje'!$G46*(1+$B$1)^27</f>
        <v>12604228.05</v>
      </c>
      <c r="AF28" s="326">
        <f>'Modelo Matriz de Gastos (Ejempl'!$D$88*'6.4.1 Estimación de ventas (Eje'!$G47*(1+$B$1)^28</f>
        <v>7346464.349</v>
      </c>
      <c r="AG28" s="326">
        <f>'Modelo Matriz de Gastos (Ejempl'!$D$88*'6.4.1 Estimación de ventas (Eje'!$G48*(1+$B$1)^29</f>
        <v>7493393.636</v>
      </c>
      <c r="AH28" s="326">
        <f>'Modelo Matriz de Gastos (Ejempl'!$D$88*'6.4.1 Estimación de ventas (Eje'!$G49*(1+$B$1)^30</f>
        <v>19108153.77</v>
      </c>
      <c r="AI28" s="326">
        <f>'Modelo Matriz de Gastos (Ejempl'!$D$88*'6.4.1 Estimación de ventas (Eje'!$G50*(1+$B$1)^31</f>
        <v>19490316.85</v>
      </c>
      <c r="AJ28" s="326">
        <f>'Modelo Matriz de Gastos (Ejempl'!$D$88*'6.4.1 Estimación de ventas (Eje'!$G51*(1+$B$1)^32</f>
        <v>9940061.593</v>
      </c>
      <c r="AK28" s="326">
        <f>'Modelo Matriz de Gastos (Ejempl'!$D$88*'6.4.1 Estimación de ventas (Eje'!$G52*(1+$B$1)^33</f>
        <v>14194407.95</v>
      </c>
      <c r="AL28" s="326">
        <f>'Modelo Matriz de Gastos (Ejempl'!$D$88*'6.4.1 Estimación de ventas (Eje'!$G53*(1+$B$1)^34</f>
        <v>14478296.11</v>
      </c>
      <c r="AM28" s="326">
        <f>'Modelo Matriz de Gastos (Ejempl'!$D$88*'6.4.1 Estimación de ventas (Eje'!$G54*(1+$B$1)^35</f>
        <v>14767862.04</v>
      </c>
      <c r="AN28" s="325">
        <f t="shared" si="18"/>
        <v>162627174.3</v>
      </c>
    </row>
    <row r="29" ht="26.25" customHeight="1">
      <c r="A29" s="322" t="s">
        <v>713</v>
      </c>
      <c r="B29" s="326">
        <f>'Modelo Matriz de Gastos (Ejempl'!$D$33*'6.4.1 Estimación de ventas (Eje'!$G5</f>
        <v>134364.9</v>
      </c>
      <c r="C29" s="326">
        <f>'Modelo Matriz de Gastos (Ejempl'!$D$33*'6.4.1 Estimación de ventas (Eje'!$G6*(1+$B$1)^1</f>
        <v>137052.198</v>
      </c>
      <c r="D29" s="326">
        <f>'Modelo Matriz de Gastos (Ejempl'!$D$33*'6.4.1 Estimación de ventas (Eje'!$G7*(1+$B$1)^2</f>
        <v>116494.3683</v>
      </c>
      <c r="E29" s="326">
        <f>'Modelo Matriz de Gastos (Ejempl'!$D$33*'6.4.1 Estimación de ventas (Eje'!$G8*(1+$B$1)^3</f>
        <v>142589.1068</v>
      </c>
      <c r="F29" s="326">
        <f>'Modelo Matriz de Gastos (Ejempl'!$D$33*'6.4.1 Estimación de ventas (Eje'!$G9*(1+$B$1)^4</f>
        <v>145440.8889</v>
      </c>
      <c r="G29" s="326">
        <f>'Modelo Matriz de Gastos (Ejempl'!$D$33*'6.4.1 Estimación de ventas (Eje'!$G10*(1+$B$1)^5</f>
        <v>98899.80448</v>
      </c>
      <c r="H29" s="326">
        <f>'Modelo Matriz de Gastos (Ejempl'!$D$33*'6.4.1 Estimación de ventas (Eje'!$G11*(1+$B$1)^6</f>
        <v>302633.4017</v>
      </c>
      <c r="I29" s="326">
        <f>'Modelo Matriz de Gastos (Ejempl'!$D$33*'6.4.1 Estimación de ventas (Eje'!$G12*(1+$B$1)^7</f>
        <v>308686.0697</v>
      </c>
      <c r="J29" s="326">
        <f>'Modelo Matriz de Gastos (Ejempl'!$D$33*'6.4.1 Estimación de ventas (Eje'!$G13*(1+$B$1)^8</f>
        <v>157429.8956</v>
      </c>
      <c r="K29" s="326">
        <f>'Modelo Matriz de Gastos (Ejempl'!$D$33*'6.4.1 Estimación de ventas (Eje'!$G14*(1+$B$1)^9</f>
        <v>214104.658</v>
      </c>
      <c r="L29" s="326">
        <f>'Modelo Matriz de Gastos (Ejempl'!$D$33*'6.4.1 Estimación de ventas (Eje'!$G15*(1+$B$1)^10</f>
        <v>218386.7511</v>
      </c>
      <c r="M29" s="326">
        <f>'Modelo Matriz de Gastos (Ejempl'!$D$33*'6.4.1 Estimación de ventas (Eje'!$G16*(1+$B$1)^11</f>
        <v>278443.1077</v>
      </c>
      <c r="N29" s="325">
        <f t="shared" si="13"/>
        <v>2254525.15</v>
      </c>
      <c r="O29" s="326">
        <f>'Modelo Matriz de Gastos (Ejempl'!$D$33*'6.4.1 Estimación de ventas (Eje'!$G24*(1+$B$1)^12</f>
        <v>397616.7578</v>
      </c>
      <c r="P29" s="326">
        <f>'Modelo Matriz de Gastos (Ejempl'!$D$33*'6.4.1 Estimación de ventas (Eje'!$G25*(1+$B$1)^13</f>
        <v>405569.0929</v>
      </c>
      <c r="Q29" s="326">
        <f>'Modelo Matriz de Gastos (Ejempl'!$D$33*'6.4.1 Estimación de ventas (Eje'!$G26*(1+$B$1)^14</f>
        <v>295486.0534</v>
      </c>
      <c r="R29" s="326">
        <f>'Modelo Matriz de Gastos (Ejempl'!$D$33*'6.4.1 Estimación de ventas (Eje'!$G27*(1+$B$1)^15</f>
        <v>301395.7745</v>
      </c>
      <c r="S29" s="326">
        <f>'Modelo Matriz de Gastos (Ejempl'!$D$33*'6.4.1 Estimación de ventas (Eje'!$G28*(1+$B$1)^16</f>
        <v>184454.214</v>
      </c>
      <c r="T29" s="326">
        <f>'Modelo Matriz de Gastos (Ejempl'!$D$33*'6.4.1 Estimación de ventas (Eje'!$G29*(1+$B$1)^17</f>
        <v>188143.2983</v>
      </c>
      <c r="U29" s="326">
        <f>'Modelo Matriz de Gastos (Ejempl'!$D$33*'6.4.1 Estimación de ventas (Eje'!$G30*(1+$B$1)^18</f>
        <v>511749.7713</v>
      </c>
      <c r="V29" s="326">
        <f>'Modelo Matriz de Gastos (Ejempl'!$D$33*'6.4.1 Estimación de ventas (Eje'!$G31*(1+$B$1)^19</f>
        <v>521984.7667</v>
      </c>
      <c r="W29" s="326">
        <f>'Modelo Matriz de Gastos (Ejempl'!$D$33*'6.4.1 Estimación de ventas (Eje'!$G32*(1+$B$1)^20</f>
        <v>266212.231</v>
      </c>
      <c r="X29" s="326">
        <f>'Modelo Matriz de Gastos (Ejempl'!$D$33*'6.4.1 Estimación de ventas (Eje'!$G33*(1+$B$1)^21</f>
        <v>339420.5946</v>
      </c>
      <c r="Y29" s="326">
        <f>'Modelo Matriz de Gastos (Ejempl'!$D$33*'6.4.1 Estimación de ventas (Eje'!$G34*(1+$B$1)^22</f>
        <v>346209.0064</v>
      </c>
      <c r="Z29" s="326">
        <f>'Modelo Matriz de Gastos (Ejempl'!$D$33*'6.4.1 Estimación de ventas (Eje'!$G35*(1+$B$1)^23</f>
        <v>353133.1866</v>
      </c>
      <c r="AA29" s="325">
        <f t="shared" si="15"/>
        <v>4111374.747</v>
      </c>
      <c r="AB29" s="326">
        <f>'Modelo Matriz de Gastos (Ejempl'!$D$33*'6.4.1 Estimación de ventas (Eje'!G43*(1+$B$1)^24</f>
        <v>648352.5305</v>
      </c>
      <c r="AC29" s="326">
        <f>'Modelo Matriz de Gastos (Ejempl'!$D$33*'6.4.1 Estimación de ventas (Eje'!$G44*(1+$B$1)^25</f>
        <v>661319.5812</v>
      </c>
      <c r="AD29" s="326">
        <f>'Modelo Matriz de Gastos (Ejempl'!$D$33*'6.4.1 Estimación de ventas (Eje'!$G45*(1+$B$1)^26</f>
        <v>524646.8677</v>
      </c>
      <c r="AE29" s="326">
        <f>'Modelo Matriz de Gastos (Ejempl'!$D$33*'6.4.1 Estimación de ventas (Eje'!$G46*(1+$B$1)^27</f>
        <v>535139.8051</v>
      </c>
      <c r="AF29" s="326">
        <f>'Modelo Matriz de Gastos (Ejempl'!$D$33*'6.4.1 Estimación de ventas (Eje'!$G47*(1+$B$1)^28</f>
        <v>311910.0578</v>
      </c>
      <c r="AG29" s="326">
        <f>'Modelo Matriz de Gastos (Ejempl'!D33*'6.4.1 Estimación de ventas (Eje'!$G48*(1+$B$1)^29</f>
        <v>318148.259</v>
      </c>
      <c r="AH29" s="326">
        <f>'Modelo Matriz de Gastos (Ejempl'!D33*'6.4.1 Estimación de ventas (Eje'!$G49*(1+$B$1)^30</f>
        <v>811278.0604</v>
      </c>
      <c r="AI29" s="326">
        <f>'Modelo Matriz de Gastos (Ejempl'!D33*'6.4.1 Estimación de ventas (Eje'!$G50*(1+$B$1)^31</f>
        <v>827503.6216</v>
      </c>
      <c r="AJ29" s="326">
        <f>'Modelo Matriz de Gastos (Ejempl'!D33*'6.4.1 Estimación de ventas (Eje'!$G51*(1+$B$1)^32</f>
        <v>422026.847</v>
      </c>
      <c r="AK29" s="326">
        <f>'Modelo Matriz de Gastos (Ejempl'!D33*'6.4.1 Estimación de ventas (Eje'!$G52*(1+$B$1)^33</f>
        <v>602654.3375</v>
      </c>
      <c r="AL29" s="326">
        <f>'Modelo Matriz de Gastos (Ejempl'!D33*'6.4.1 Estimación de ventas (Eje'!$G53*(1+$B$1)^34</f>
        <v>614707.4243</v>
      </c>
      <c r="AM29" s="326">
        <f>'Modelo Matriz de Gastos (Ejempl'!D33*'6.4.1 Estimación de ventas (Eje'!$G54*(1+$B$1)^35</f>
        <v>627001.5728</v>
      </c>
      <c r="AN29" s="325">
        <f t="shared" si="18"/>
        <v>6904688.965</v>
      </c>
    </row>
    <row r="30" ht="26.25" customHeight="1">
      <c r="A30" s="338" t="s">
        <v>714</v>
      </c>
      <c r="B30" s="326">
        <f>'Modelo Matriz de Gastos (Ejempl'!$D$164*'6.4.1 Estimación de ventas (Eje'!$K67</f>
        <v>94513.846</v>
      </c>
      <c r="C30" s="326">
        <f>'Modelo Matriz de Gastos (Ejempl'!$D$164*'6.4.1 Estimación de ventas (Eje'!$K68*(1+$B$1)^1</f>
        <v>192808.2458</v>
      </c>
      <c r="D30" s="326">
        <f>'Modelo Matriz de Gastos (Ejempl'!$D$164*'6.4.1 Estimación de ventas (Eje'!$K69*(1+$B$1)^2</f>
        <v>196664.4108</v>
      </c>
      <c r="E30" s="326">
        <f>'Modelo Matriz de Gastos (Ejempl'!$D$164*'6.4.1 Estimación de ventas (Eje'!$K70*(1+$B$1)^3</f>
        <v>200597.699</v>
      </c>
      <c r="F30" s="326">
        <f>'Modelo Matriz de Gastos (Ejempl'!$D$164*'6.4.1 Estimación de ventas (Eje'!$K71*(1+$B$1)^4</f>
        <v>102304.8265</v>
      </c>
      <c r="G30" s="326">
        <f>'Modelo Matriz de Gastos (Ejempl'!$D$164*'6.4.1 Estimación de ventas (Eje'!$K72*(1+$B$1)^5</f>
        <v>313052.769</v>
      </c>
      <c r="H30" s="326">
        <f>'Modelo Matriz de Gastos (Ejempl'!$D$164*'6.4.1 Estimación de ventas (Eje'!$K73*(1+$B$1)^6</f>
        <v>425751.7659</v>
      </c>
      <c r="I30" s="326">
        <f>'Modelo Matriz de Gastos (Ejempl'!$D$164*'6.4.1 Estimación de ventas (Eje'!$K74*(1+$B$1)^7</f>
        <v>434266.8012</v>
      </c>
      <c r="J30" s="326">
        <f>'Modelo Matriz de Gastos (Ejempl'!$D$164*'6.4.1 Estimación de ventas (Eje'!$K75*(1+$B$1)^8</f>
        <v>221476.0686</v>
      </c>
      <c r="K30" s="326">
        <f>'Modelo Matriz de Gastos (Ejempl'!$D$164*'6.4.1 Estimación de ventas (Eje'!$K76*(1+$B$1)^9</f>
        <v>338858.385</v>
      </c>
      <c r="L30" s="326">
        <f>'Modelo Matriz de Gastos (Ejempl'!$D$164*'6.4.1 Estimación de ventas (Eje'!$K77*(1+$B$1)^10</f>
        <v>345635.5527</v>
      </c>
      <c r="M30" s="326">
        <f>'Modelo Matriz de Gastos (Ejempl'!$D$164*'6.4.1 Estimación de ventas (Eje'!$K78*(1+$B$1)^11</f>
        <v>470064.3516</v>
      </c>
      <c r="N30" s="325">
        <f t="shared" si="13"/>
        <v>3335994.722</v>
      </c>
      <c r="O30" s="326">
        <f>'Modelo Matriz de Gastos (Ejempl'!$D$164*'6.4.1 Estimación de ventas (Eje'!$K88*(1+$B$1)^12</f>
        <v>599332.0483</v>
      </c>
      <c r="P30" s="326">
        <f>'Modelo Matriz de Gastos (Ejempl'!$D$164*'6.4.1 Estimación de ventas (Eje'!$K89*(1+$B$1)^13</f>
        <v>611318.6893</v>
      </c>
      <c r="Q30" s="326">
        <f>'Modelo Matriz de Gastos (Ejempl'!$D$164*'6.4.1 Estimación de ventas (Eje'!$K90*(1+$B$1)^14</f>
        <v>498836.0504</v>
      </c>
      <c r="R30" s="326">
        <f>'Modelo Matriz de Gastos (Ejempl'!$D$164*'6.4.1 Estimación de ventas (Eje'!$K91*(1+$B$1)^15</f>
        <v>508812.7715</v>
      </c>
      <c r="S30" s="326">
        <f>'Modelo Matriz de Gastos (Ejempl'!$D$164*'6.4.1 Estimación de ventas (Eje'!$K92*(1+$B$1)^16</f>
        <v>324368.1418</v>
      </c>
      <c r="T30" s="326">
        <f>'Modelo Matriz de Gastos (Ejempl'!$D$164*'6.4.1 Estimación de ventas (Eje'!$K93*(1+$B$1)^17</f>
        <v>264684.4037</v>
      </c>
      <c r="U30" s="326">
        <f>'Modelo Matriz de Gastos (Ejempl'!$D$164*'6.4.1 Estimación de ventas (Eje'!$K94*(1+$B$1)^18</f>
        <v>269978.0918</v>
      </c>
      <c r="V30" s="326">
        <f>'Modelo Matriz de Gastos (Ejempl'!$D$164*'6.4.1 Estimación de ventas (Eje'!$K95*(1+$B$1)^19</f>
        <v>688444.1341</v>
      </c>
      <c r="W30" s="326">
        <f>'Modelo Matriz de Gastos (Ejempl'!$D$164*'6.4.1 Estimación de ventas (Eje'!$K96*(1+$B$1)^20</f>
        <v>280885.2067</v>
      </c>
      <c r="X30" s="326">
        <f>'Modelo Matriz de Gastos (Ejempl'!$D$164*'6.4.1 Estimación de ventas (Eje'!$K97*(1+$B$1)^21</f>
        <v>573005.8217</v>
      </c>
      <c r="Y30" s="326">
        <f>'Modelo Matriz de Gastos (Ejempl'!$D$164*'6.4.1 Estimación de ventas (Eje'!$K98*(1+$B$1)^22</f>
        <v>584465.9381</v>
      </c>
      <c r="Z30" s="326">
        <f>'Modelo Matriz de Gastos (Ejempl'!$D$164*'6.4.1 Estimación de ventas (Eje'!$K99*(1+$B$1)^23</f>
        <v>596155.2569</v>
      </c>
      <c r="AA30" s="325">
        <f t="shared" si="15"/>
        <v>5800286.554</v>
      </c>
      <c r="AB30" s="326">
        <f>'Modelo Matriz de Gastos (Ejempl'!$D$164*'6.4.1 Estimación de ventas (Eje'!$K109*(1+$B$1)^24</f>
        <v>1064137.133</v>
      </c>
      <c r="AC30" s="326">
        <f>'Modelo Matriz de Gastos (Ejempl'!$D$164*'6.4.1 Estimación de ventas (Eje'!$K110*(1+$B$1)^25</f>
        <v>1085419.876</v>
      </c>
      <c r="AD30" s="326">
        <f>'Modelo Matriz de Gastos (Ejempl'!$D$164*'6.4.1 Estimación de ventas (Eje'!$K111*(1+$B$1)^26</f>
        <v>632644.7278</v>
      </c>
      <c r="AE30" s="326">
        <f>'Modelo Matriz de Gastos (Ejempl'!$D$164*'6.4.1 Estimación de ventas (Eje'!$K112*(1+$B$1)^27</f>
        <v>645297.6224</v>
      </c>
      <c r="AF30" s="326">
        <f>'Modelo Matriz de Gastos (Ejempl'!$D$164*'6.4.1 Estimación de ventas (Eje'!$K113*(1+$B$1)^28</f>
        <v>658203.5748</v>
      </c>
      <c r="AG30" s="326">
        <f>'Modelo Matriz de Gastos (Ejempl'!$D$164*'6.4.1 Estimación de ventas (Eje'!$K114*(1+$B$1)^29</f>
        <v>503525.7347</v>
      </c>
      <c r="AH30" s="326">
        <f>'Modelo Matriz de Gastos (Ejempl'!$D$164*'6.4.1 Estimación de ventas (Eje'!$K115*(1+$B$1)^30</f>
        <v>1540788.748</v>
      </c>
      <c r="AI30" s="326">
        <f>'Modelo Matriz de Gastos (Ejempl'!$D$164*'6.4.1 Estimación de ventas (Eje'!$K116*(1+$B$1)^31</f>
        <v>1571604.523</v>
      </c>
      <c r="AJ30" s="326">
        <f>'Modelo Matriz de Gastos (Ejempl'!$D$164*'6.4.1 Estimación de ventas (Eje'!$K117*(1+$B$1)^32</f>
        <v>712460.7172</v>
      </c>
      <c r="AK30" s="326">
        <f>'Modelo Matriz de Gastos (Ejempl'!$D$164*'6.4.1 Estimación de ventas (Eje'!$K118*(1+$B$1)^33</f>
        <v>908387.4144</v>
      </c>
      <c r="AL30" s="326">
        <f>'Modelo Matriz de Gastos (Ejempl'!$D$164*'6.4.1 Estimación de ventas (Eje'!$K119*(1+$B$1)^34</f>
        <v>926555.1627</v>
      </c>
      <c r="AM30" s="326">
        <f>'Modelo Matriz de Gastos (Ejempl'!$D$164*'6.4.1 Estimación de ventas (Eje'!$K120*(1+$B$1)^35</f>
        <v>1134103.519</v>
      </c>
      <c r="AN30" s="325">
        <f t="shared" si="18"/>
        <v>11383128.75</v>
      </c>
    </row>
    <row r="31" ht="26.25" customHeight="1">
      <c r="A31" s="338" t="s">
        <v>715</v>
      </c>
      <c r="B31" s="339">
        <f>'Modelo Matriz de Gastos (Ejempl'!$D$222*'6.4.1 Estimación de ventas (Eje'!E240+'Modelo Matriz de Gastos (Ejempl'!$D$279*'6.4.1 Estimación de ventas (Eje'!G240</f>
        <v>0</v>
      </c>
      <c r="C31" s="339">
        <f>('Modelo Matriz de Gastos (Ejempl'!$D$222*'6.4.1 Estimación de ventas (Eje'!E241+'Modelo Matriz de Gastos (Ejempl'!$D$279*'6.4.1 Estimación de ventas (Eje'!G241)*(1+$B$1)^1</f>
        <v>0</v>
      </c>
      <c r="D31" s="339">
        <f>('Modelo Matriz de Gastos (Ejempl'!$D$222*'6.4.1 Estimación de ventas (Eje'!E242+'Modelo Matriz de Gastos (Ejempl'!$D$279*'6.4.1 Estimación de ventas (Eje'!G242)*(1+$B$1)^2</f>
        <v>0</v>
      </c>
      <c r="E31" s="339">
        <f>('Modelo Matriz de Gastos (Ejempl'!$D$222*'6.4.1 Estimación de ventas (Eje'!E243+'Modelo Matriz de Gastos (Ejempl'!$D$279*'6.4.1 Estimación de ventas (Eje'!G243)*(1+$B$1)^3</f>
        <v>2500428.88</v>
      </c>
      <c r="F31" s="339">
        <f>('Modelo Matriz de Gastos (Ejempl'!$D$222*'6.4.1 Estimación de ventas (Eje'!E244+'Modelo Matriz de Gastos (Ejempl'!$D$279*'6.4.1 Estimación de ventas (Eje'!G244)*(1+$B$1)^4</f>
        <v>2550437.458</v>
      </c>
      <c r="G31" s="339">
        <f>('Modelo Matriz de Gastos (Ejempl'!$D$222*'6.4.1 Estimación de ventas (Eje'!E245+'Modelo Matriz de Gastos (Ejempl'!$D$279*'6.4.1 Estimación de ventas (Eje'!G245)*(1+$B$1)^5</f>
        <v>2601446.207</v>
      </c>
      <c r="H31" s="339">
        <f>('Modelo Matriz de Gastos (Ejempl'!$D$222*'6.4.1 Estimación de ventas (Eje'!E246+'Modelo Matriz de Gastos (Ejempl'!$D$279*'6.4.1 Estimación de ventas (Eje'!G246)*(1+$B$1)^6</f>
        <v>0</v>
      </c>
      <c r="I31" s="339">
        <f>('Modelo Matriz de Gastos (Ejempl'!$D$222*'6.4.1 Estimación de ventas (Eje'!E247+'Modelo Matriz de Gastos (Ejempl'!$D$279*'6.4.1 Estimación de ventas (Eje'!G247)*(1+$B$1)^7</f>
        <v>3714175.906</v>
      </c>
      <c r="J31" s="339">
        <f>('Modelo Matriz de Gastos (Ejempl'!$D$222*'6.4.1 Estimación de ventas (Eje'!E248+'Modelo Matriz de Gastos (Ejempl'!$D$279*'6.4.1 Estimación de ventas (Eje'!G248)*(1+$B$1)^8</f>
        <v>6549134.951</v>
      </c>
      <c r="K31" s="339">
        <f>('Modelo Matriz de Gastos (Ejempl'!$D$222*'6.4.1 Estimación de ventas (Eje'!E249+'Modelo Matriz de Gastos (Ejempl'!$D$279*'6.4.1 Estimación de ventas (Eje'!G249)*(1+$B$1)^9</f>
        <v>6680117.65</v>
      </c>
      <c r="L31" s="339">
        <f>('Modelo Matriz de Gastos (Ejempl'!$D$222*'6.4.1 Estimación de ventas (Eje'!E250+'Modelo Matriz de Gastos (Ejempl'!$D$279*'6.4.1 Estimación de ventas (Eje'!G250)*(1+$B$1)^10</f>
        <v>6813720.003</v>
      </c>
      <c r="M31" s="339">
        <f>('Modelo Matriz de Gastos (Ejempl'!$D$222*'6.4.1 Estimación de ventas (Eje'!E251+'Modelo Matriz de Gastos (Ejempl'!$D$279*'6.4.1 Estimación de ventas (Eje'!E251)*(1+$B$1)^11</f>
        <v>6030515.173</v>
      </c>
      <c r="N31" s="325">
        <f t="shared" si="13"/>
        <v>37439976.23</v>
      </c>
      <c r="O31" s="326">
        <f>('Modelo Matriz de Gastos (Ejempl'!$D$222*'6.4.1 Estimación de ventas (Eje'!E221+'Modelo Matriz de Gastos (Ejempl'!$D$279*'6.4.1 Estimación de ventas (Eje'!G221)*(1+$B$1)^12</f>
        <v>0</v>
      </c>
      <c r="P31" s="326">
        <f>('Modelo Matriz de Gastos (Ejempl'!$D$222*'6.4.1 Estimación de ventas (Eje'!E222+'Modelo Matriz de Gastos (Ejempl'!$D$279*'6.4.1 Estimación de ventas (Eje'!G222)*(1+$B$1)^13</f>
        <v>0</v>
      </c>
      <c r="Q31" s="326">
        <f>('Modelo Matriz de Gastos (Ejempl'!$D$222*'6.4.1 Estimación de ventas (Eje'!E223+'Modelo Matriz de Gastos (Ejempl'!$D$279*'6.4.1 Estimación de ventas (Eje'!G223)*(1+$B$1)^14</f>
        <v>0</v>
      </c>
      <c r="R31" s="326">
        <f>('Modelo Matriz de Gastos (Ejempl'!$D$222*'6.4.1 Estimación de ventas (Eje'!E224+'Modelo Matriz de Gastos (Ejempl'!$D$279*'6.4.1 Estimación de ventas (Eje'!G224)*(1+$B$1)^15</f>
        <v>3171148.411</v>
      </c>
      <c r="S31" s="326">
        <f>('Modelo Matriz de Gastos (Ejempl'!$D$222*'6.4.1 Estimación de ventas (Eje'!E225+'Modelo Matriz de Gastos (Ejempl'!$D$279*'6.4.1 Estimación de ventas (Eje'!G225)*(1+$B$1)^16</f>
        <v>3234571.379</v>
      </c>
      <c r="T31" s="326">
        <f>('Modelo Matriz de Gastos (Ejempl'!$D$222*'6.4.1 Estimación de ventas (Eje'!E226+'Modelo Matriz de Gastos (Ejempl'!$D$279*'6.4.1 Estimación de ventas (Eje'!G226)*(1+$B$1)^17</f>
        <v>3299262.806</v>
      </c>
      <c r="U31" s="326">
        <f>('Modelo Matriz de Gastos (Ejempl'!$D$222*'6.4.1 Estimación de ventas (Eje'!E227+'Modelo Matriz de Gastos (Ejempl'!$D$279*'6.4.1 Estimación de ventas (Eje'!G227)*(1+$B$1)^18</f>
        <v>0</v>
      </c>
      <c r="V31" s="326">
        <f>('Modelo Matriz de Gastos (Ejempl'!$D$222*'6.4.1 Estimación de ventas (Eje'!E228+'Modelo Matriz de Gastos (Ejempl'!$D$279*'6.4.1 Estimación de ventas (Eje'!G228)*(1+$B$1)^19</f>
        <v>4710473.116</v>
      </c>
      <c r="W31" s="326">
        <f>('Modelo Matriz de Gastos (Ejempl'!$D$222*'6.4.1 Estimación de ventas (Eje'!E229+'Modelo Matriz de Gastos (Ejempl'!$D$279*'6.4.1 Estimación de ventas (Eje'!G229)*(1+$B$1)^20</f>
        <v>8305886.663</v>
      </c>
      <c r="X31" s="326">
        <f>('Modelo Matriz de Gastos (Ejempl'!$D$222*'6.4.1 Estimación de ventas (Eje'!E230+'Modelo Matriz de Gastos (Ejempl'!$D$279*'6.4.1 Estimación de ventas (Eje'!G230)*(1+$B$1)^21</f>
        <v>8472004.396</v>
      </c>
      <c r="Y31" s="326">
        <f>('Modelo Matriz de Gastos (Ejempl'!$D$222*'6.4.1 Estimación de ventas (Eje'!E231+'Modelo Matriz de Gastos (Ejempl'!$D$279*'6.4.1 Estimación de ventas (Eje'!G231)*(1+$B$1)^22</f>
        <v>8641444.484</v>
      </c>
      <c r="Z31" s="326">
        <f>('Modelo Matriz de Gastos (Ejempl'!$D$222*'6.4.1 Estimación de ventas (Eje'!E232+'Modelo Matriz de Gastos (Ejempl'!$D$279*'6.4.1 Estimación de ventas (Eje'!G232)*(1+$B$1)^23</f>
        <v>8814273.373</v>
      </c>
      <c r="AA31" s="325">
        <f t="shared" si="15"/>
        <v>48649064.63</v>
      </c>
      <c r="AB31" s="326">
        <f>('Modelo Matriz de Gastos (Ejempl'!$D$222*'6.4.1 Estimación de ventas (Eje'!E240+'Modelo Matriz de Gastos (Ejempl'!$D$279*'6.4.1 Estimación de ventas (Eje'!G240)*(1+$B$1)^24</f>
        <v>0</v>
      </c>
      <c r="AC31" s="326">
        <f>('Modelo Matriz de Gastos (Ejempl'!$D$222*'6.4.1 Estimación de ventas (Eje'!E241+'Modelo Matriz de Gastos (Ejempl'!$D$279*'6.4.1 Estimación de ventas (Eje'!G241)*(1+$B$1)^25</f>
        <v>0</v>
      </c>
      <c r="AD31" s="326">
        <f>('Modelo Matriz de Gastos (Ejempl'!$D$222*'6.4.1 Estimación de ventas (Eje'!E242+'Modelo Matriz de Gastos (Ejempl'!$D$279*'6.4.1 Estimación de ventas (Eje'!G242)*(1+$B$1)^26</f>
        <v>0</v>
      </c>
      <c r="AE31" s="326">
        <f>('Modelo Matriz de Gastos (Ejempl'!$D$222*'6.4.1 Estimación de ventas (Eje'!E243+'Modelo Matriz de Gastos (Ejempl'!$D$279*'6.4.1 Estimación de ventas (Eje'!G243)*(1+$B$1)^27</f>
        <v>4021782.951</v>
      </c>
      <c r="AF31" s="326">
        <f>('Modelo Matriz de Gastos (Ejempl'!$D$222*'6.4.1 Estimación de ventas (Eje'!E244+'Modelo Matriz de Gastos (Ejempl'!$D$279*'6.4.1 Estimación de ventas (Eje'!G244)*(1+$B$1)^28</f>
        <v>4102218.61</v>
      </c>
      <c r="AG31" s="326">
        <f>('Modelo Matriz de Gastos (Ejempl'!$D$222*'6.4.1 Estimación de ventas (Eje'!E245+'Modelo Matriz de Gastos (Ejempl'!$D$279*'6.4.1 Estimación de ventas (Eje'!G245)*(1+$B$1)^29</f>
        <v>4184262.982</v>
      </c>
      <c r="AH31" s="326">
        <f>('Modelo Matriz de Gastos (Ejempl'!$D$222*'6.4.1 Estimación de ventas (Eje'!E246+'Modelo Matriz de Gastos (Ejempl'!$D$279*'6.4.1 Estimación de ventas (Eje'!G246)*(1+$B$1)^30</f>
        <v>0</v>
      </c>
      <c r="AI31" s="326">
        <f>('Modelo Matriz de Gastos (Ejempl'!$D$222*'6.4.1 Estimación de ventas (Eje'!E247+'Modelo Matriz de Gastos (Ejempl'!$D$279*'6.4.1 Estimación de ventas (Eje'!G247)*(1+$B$1)^31</f>
        <v>5974018.878</v>
      </c>
      <c r="AJ31" s="326">
        <f>('Modelo Matriz de Gastos (Ejempl'!$D$222*'6.4.1 Estimación de ventas (Eje'!E248+'Modelo Matriz de Gastos (Ejempl'!$D$279*'6.4.1 Estimación de ventas (Eje'!G248)*(1+$B$1)^32</f>
        <v>10533872.61</v>
      </c>
      <c r="AK31" s="326">
        <f>('Modelo Matriz de Gastos (Ejempl'!$D$222*'6.4.1 Estimación de ventas (Eje'!E249+'Modelo Matriz de Gastos (Ejempl'!$D$279*'6.4.1 Estimación de ventas (Eje'!G249)*(1+$B$1)^33</f>
        <v>10744550.06</v>
      </c>
      <c r="AL31" s="326">
        <f>('Modelo Matriz de Gastos (Ejempl'!$D$222*'6.4.1 Estimación de ventas (Eje'!E250+'Modelo Matriz de Gastos (Ejempl'!$D$279*'6.4.1 Estimación de ventas (Eje'!G250)*(1+$B$1)^34</f>
        <v>10959441.06</v>
      </c>
      <c r="AM31" s="326">
        <f>('Modelo Matriz de Gastos (Ejempl'!$D$222*'6.4.1 Estimación de ventas (Eje'!E251+'Modelo Matriz de Gastos (Ejempl'!$D$279*'6.4.1 Estimación de ventas (Eje'!G251)*(1+$B$1)^35</f>
        <v>11178629.88</v>
      </c>
      <c r="AN31" s="325">
        <f t="shared" si="18"/>
        <v>61698777.03</v>
      </c>
    </row>
    <row r="32" ht="26.25" customHeight="1">
      <c r="A32" s="338" t="s">
        <v>716</v>
      </c>
      <c r="B32" s="339">
        <f>'6.4.1 Estimación de ventas (Eje'!M270+'6.4.1 Estimación de ventas (Eje'!M271+'6.4.1 Estimación de ventas (Eje'!M272</f>
        <v>570819</v>
      </c>
      <c r="C32" s="339">
        <f>'6.4.1 Estimación de ventas (Eje'!M270*(1+2%)^1</f>
        <v>218762.46</v>
      </c>
      <c r="D32" s="339">
        <f>'6.4.1 Estimación de ventas (Eje'!M271*(1+2%)^2</f>
        <v>185371.1892</v>
      </c>
      <c r="E32" s="339">
        <f>'6.4.1 Estimación de ventas (Eje'!M272*(1+2%)^3</f>
        <v>189078.613</v>
      </c>
      <c r="F32" s="339">
        <f>'6.4.1 Estimación de ventas (Eje'!M273*(1+2%)^4</f>
        <v>192860.1852</v>
      </c>
      <c r="G32" s="339">
        <f>'6.4.1 Estimación de ventas (Eje'!M274*(1+2%)^5</f>
        <v>236795.5221</v>
      </c>
      <c r="H32" s="339">
        <f>'6.4.1 Estimación de ventas (Eje'!M275*(1+2%)^6</f>
        <v>200650.6106</v>
      </c>
      <c r="I32" s="339">
        <f>'6.4.1 Estimación de ventas (Eje'!M276*(1+2%)^7</f>
        <v>329758.938</v>
      </c>
      <c r="J32" s="339">
        <f>'6.4.1 Estimación de ventas (Eje'!M277*(1+2%)^8</f>
        <v>336354.1168</v>
      </c>
      <c r="K32" s="339">
        <f>'6.4.1 Estimación de ventas (Eje'!M278*(1+2%)^9</f>
        <v>212933.2282</v>
      </c>
      <c r="L32" s="339">
        <f>'6.4.1 Estimación de ventas (Eje'!M279*(1+2%)^10</f>
        <v>261441.3902</v>
      </c>
      <c r="M32" s="339">
        <f>'6.4.1 Estimación de ventas (Eje'!M280*(1+2%)^11</f>
        <v>266670.218</v>
      </c>
      <c r="N32" s="325">
        <f t="shared" si="13"/>
        <v>3201495.471</v>
      </c>
      <c r="O32" s="326">
        <f>'6.4.1 Estimación de ventas (Eje'!M281*(1+2%)^12</f>
        <v>318043.336</v>
      </c>
      <c r="P32" s="326">
        <f>'6.4.1 Estimación de ventas (Eje'!M301*(1+2%)^13</f>
        <v>750046.0604</v>
      </c>
      <c r="Q32" s="326">
        <f>'6.4.1 Estimación de ventas (Eje'!M302*(1+2%)^14</f>
        <v>685521.9966</v>
      </c>
      <c r="R32" s="326">
        <f>'6.4.1 Estimación de ventas (Eje'!M303*(1+2%)^15</f>
        <v>540554.5594</v>
      </c>
      <c r="S32" s="326">
        <f>'6.4.1 Estimación de ventas (Eje'!M304*(1+2%)^16</f>
        <v>551365.6506</v>
      </c>
      <c r="T32" s="326">
        <f>'6.4.1 Estimación de ventas (Eje'!M305*(1+2%)^17</f>
        <v>363740.7135</v>
      </c>
      <c r="U32" s="326">
        <f>'6.4.1 Estimación de ventas (Eje'!M306*(1+2%)^18</f>
        <v>319170.1889</v>
      </c>
      <c r="V32" s="326">
        <f>'6.4.1 Estimación de ventas (Eje'!M307*(1+2%)^19</f>
        <v>963549.4776</v>
      </c>
      <c r="W32" s="326">
        <f>'6.4.1 Estimación de ventas (Eje'!M308*(1+2%)^20</f>
        <v>982820.4672</v>
      </c>
      <c r="X32" s="326">
        <f>'6.4.1 Estimación de ventas (Eje'!M309*(1+2%)^21</f>
        <v>393724.6462</v>
      </c>
      <c r="Y32" s="326">
        <f>'6.4.1 Estimación de ventas (Eje'!M310*(1+2%)^22</f>
        <v>620927.275</v>
      </c>
      <c r="Z32" s="326">
        <f>'6.4.1 Estimación de ventas (Eje'!M311*(1+2%)^23</f>
        <v>633345.8205</v>
      </c>
      <c r="AA32" s="325">
        <f t="shared" si="15"/>
        <v>7122810.192</v>
      </c>
      <c r="AB32" s="326">
        <f>'6.4.1 Estimación de ventas (Eje'!M312*(1+2%)^24</f>
        <v>646012.7369</v>
      </c>
      <c r="AC32" s="326">
        <f>'6.4.1 Estimación de ventas (Eje'!M332*(1+2%)^25</f>
        <v>1144667.208</v>
      </c>
      <c r="AD32" s="326">
        <f>'6.4.1 Estimación de ventas (Eje'!M333*(1+2%)^26</f>
        <v>1106815.475</v>
      </c>
      <c r="AE32" s="326">
        <f>'6.4.1 Estimación de ventas (Eje'!M334*(1+2%)^27</f>
        <v>989669.848</v>
      </c>
      <c r="AF32" s="326">
        <f>'6.4.1 Estimación de ventas (Eje'!M335*(1+2%)^28</f>
        <v>1009463.245</v>
      </c>
      <c r="AG32" s="326">
        <f>'6.4.1 Estimación de ventas (Eje'!M336*(1+2%)^29</f>
        <v>461311.1752</v>
      </c>
      <c r="AH32" s="326">
        <f>'6.4.1 Estimación de ventas (Eje'!M337*(1+2%)^30</f>
        <v>470537.3987</v>
      </c>
      <c r="AI32" s="326">
        <f>'6.4.1 Estimación de ventas (Eje'!M338*(1+2%)^31</f>
        <v>1551198.618</v>
      </c>
      <c r="AJ32" s="326">
        <f>'6.4.1 Estimación de ventas (Eje'!M339*(1+2%)^32</f>
        <v>1582222.59</v>
      </c>
      <c r="AK32" s="326">
        <f>'6.4.1 Estimación de ventas (Eje'!M340*(1+2%)^33</f>
        <v>772045.0211</v>
      </c>
      <c r="AL32" s="326">
        <f>'6.4.1 Estimación de ventas (Eje'!M341*(1+2%)^34</f>
        <v>1136819.57</v>
      </c>
      <c r="AM32" s="326">
        <f>'6.4.1 Estimación de ventas (Eje'!M342*(1+2%)^35</f>
        <v>1159555.962</v>
      </c>
      <c r="AN32" s="325">
        <f t="shared" si="18"/>
        <v>12030318.85</v>
      </c>
    </row>
    <row r="33" ht="26.25" customHeight="1">
      <c r="A33" s="338" t="s">
        <v>717</v>
      </c>
      <c r="B33" s="339">
        <f>'6.4.1 Estimación de ventas (Eje'!E285*'Modelo Matriz de Gastos (Ejempl'!$D$323</f>
        <v>0</v>
      </c>
      <c r="C33" s="339">
        <f>'6.4.1 Estimación de ventas (Eje'!E286*'Modelo Matriz de Gastos (Ejempl'!$D$323*(1+2%)^1</f>
        <v>0</v>
      </c>
      <c r="D33" s="339">
        <f>'6.4.1 Estimación de ventas (Eje'!E287*'Modelo Matriz de Gastos (Ejempl'!$D$323*(1+2%)^2</f>
        <v>0</v>
      </c>
      <c r="E33" s="339">
        <f>'6.4.1 Estimación de ventas (Eje'!E288*'Modelo Matriz de Gastos (Ejempl'!$D$323*(1+2%)^3</f>
        <v>0</v>
      </c>
      <c r="F33" s="339">
        <f>'6.4.1 Estimación de ventas (Eje'!E289*'Modelo Matriz de Gastos (Ejempl'!$D$323*(1+2%)^4</f>
        <v>0</v>
      </c>
      <c r="G33" s="339">
        <f>'6.4.1 Estimación de ventas (Eje'!E290*'Modelo Matriz de Gastos (Ejempl'!$D$323*(1+2%)^5</f>
        <v>0</v>
      </c>
      <c r="H33" s="339">
        <f>'6.4.1 Estimación de ventas (Eje'!E291*'Modelo Matriz de Gastos (Ejempl'!$D$323*(1+2%)^6</f>
        <v>0</v>
      </c>
      <c r="I33" s="339">
        <f>'6.4.1 Estimación de ventas (Eje'!E292*'Modelo Matriz de Gastos (Ejempl'!$D$323*(1+2%)^7</f>
        <v>666201.6185</v>
      </c>
      <c r="J33" s="339">
        <f>'6.4.1 Estimación de ventas (Eje'!E293*'Modelo Matriz de Gastos (Ejempl'!$D$323*(1+2%)^8</f>
        <v>1359051.302</v>
      </c>
      <c r="K33" s="339">
        <f>'6.4.1 Estimación de ventas (Eje'!E294*'Modelo Matriz de Gastos (Ejempl'!$D$323*(1+2%)^9</f>
        <v>1386232.328</v>
      </c>
      <c r="L33" s="339">
        <f>'6.4.1 Estimación de ventas (Eje'!E295*'Modelo Matriz de Gastos (Ejempl'!$D$323*(1+2%)^10</f>
        <v>1413956.974</v>
      </c>
      <c r="M33" s="339">
        <f>'6.4.1 Estimación de ventas (Eje'!E296*'Modelo Matriz de Gastos (Ejempl'!$D$323*(1+2%)^11</f>
        <v>1442236.114</v>
      </c>
      <c r="N33" s="325">
        <f t="shared" si="13"/>
        <v>6267678.336</v>
      </c>
      <c r="O33" s="326">
        <f>'6.4.1 Estimación de ventas (Eje'!E316*'Modelo Matriz de Gastos (Ejempl'!$D$323*(1+2%)^12</f>
        <v>0</v>
      </c>
      <c r="P33" s="326">
        <f>'6.4.1 Estimación de ventas (Eje'!E317*'Modelo Matriz de Gastos (Ejempl'!$D$323*(1+2%)^13</f>
        <v>0</v>
      </c>
      <c r="Q33" s="326">
        <f>'6.4.1 Estimación de ventas (Eje'!E318*'Modelo Matriz de Gastos (Ejempl'!$D$323*(1+2%)^14</f>
        <v>0</v>
      </c>
      <c r="R33" s="326">
        <f>'6.4.1 Estimación de ventas (Eje'!E319*'Modelo Matriz de Gastos (Ejempl'!$D$323*(1+2%)^15</f>
        <v>780561.376</v>
      </c>
      <c r="S33" s="326">
        <f>'6.4.1 Estimación de ventas (Eje'!E320*'Modelo Matriz de Gastos (Ejempl'!$D$323*(1+2%)^16</f>
        <v>796172.6035</v>
      </c>
      <c r="T33" s="326">
        <f>'6.4.1 Estimación de ventas (Eje'!E321*'Modelo Matriz de Gastos (Ejempl'!$D$323*(1+2%)^17</f>
        <v>812096.0556</v>
      </c>
      <c r="U33" s="326">
        <f>'6.4.1 Estimación de ventas (Eje'!E322*'Modelo Matriz de Gastos (Ejempl'!$D$323*(1+2%)^18</f>
        <v>0</v>
      </c>
      <c r="V33" s="326">
        <f>'6.4.1 Estimación de ventas (Eje'!E323*'Modelo Matriz de Gastos (Ejempl'!$D$323*(1+2%)^19</f>
        <v>1689809.472</v>
      </c>
      <c r="W33" s="326">
        <f>'6.4.1 Estimación de ventas (Eje'!E324*'Modelo Matriz de Gastos (Ejempl'!$D$323*(1+2%)^20</f>
        <v>2585408.493</v>
      </c>
      <c r="X33" s="326">
        <f>'6.4.1 Estimación de ventas (Eje'!E325*'Modelo Matriz de Gastos (Ejempl'!$D$323*(1+2%)^21</f>
        <v>2637116.663</v>
      </c>
      <c r="Y33" s="326">
        <f>'6.4.1 Estimación de ventas (Eje'!E326*'Modelo Matriz de Gastos (Ejempl'!$D$323*(1+2%)^22</f>
        <v>2689858.996</v>
      </c>
      <c r="Z33" s="326">
        <f>'6.4.1 Estimación de ventas (Eje'!E327*'Modelo Matriz de Gastos (Ejempl'!$D$323*(1+2%)^23</f>
        <v>2743656.176</v>
      </c>
      <c r="AA33" s="325">
        <f t="shared" si="15"/>
        <v>14734679.83</v>
      </c>
      <c r="AB33" s="326">
        <f>'6.4.1 Estimación de ventas (Eje'!$E347*'Modelo Matriz de Gastos (Ejempl'!$D$323*(1+2%)^24</f>
        <v>0</v>
      </c>
      <c r="AC33" s="326">
        <f>'6.4.1 Estimación de ventas (Eje'!$E348*'Modelo Matriz de Gastos (Ejempl'!$D$323*(1+2%)^25</f>
        <v>0</v>
      </c>
      <c r="AD33" s="326">
        <f>'6.4.1 Estimación de ventas (Eje'!$E349*'Modelo Matriz de Gastos (Ejempl'!$D$323*(1+2%)^26</f>
        <v>0</v>
      </c>
      <c r="AE33" s="326">
        <f>'6.4.1 Estimación de ventas (Eje'!$E350*'Modelo Matriz de Gastos (Ejempl'!$D$323*(1+2%)^27</f>
        <v>989940.5602</v>
      </c>
      <c r="AF33" s="326">
        <f>'6.4.1 Estimación de ventas (Eje'!$E351*'Modelo Matriz de Gastos (Ejempl'!$D$323*(1+2%)^28</f>
        <v>1009739.371</v>
      </c>
      <c r="AG33" s="326">
        <f>'6.4.1 Estimación de ventas (Eje'!$E352*'Modelo Matriz de Gastos (Ejempl'!$D$323*(1+2%)^29</f>
        <v>1029934.159</v>
      </c>
      <c r="AH33" s="326">
        <f>'6.4.1 Estimación de ventas (Eje'!$E353*'Modelo Matriz de Gastos (Ejempl'!$D$323*(1+2%)^30</f>
        <v>0</v>
      </c>
      <c r="AI33" s="326">
        <f>'6.4.1 Estimación de ventas (Eje'!$E354*'Modelo Matriz de Gastos (Ejempl'!$D$323*(1+2%)^31</f>
        <v>2143086.998</v>
      </c>
      <c r="AJ33" s="326">
        <f>'6.4.1 Estimación de ventas (Eje'!$E355*'Modelo Matriz de Gastos (Ejempl'!$D$323*(1+2%)^32</f>
        <v>3278923.107</v>
      </c>
      <c r="AK33" s="326">
        <f>'6.4.1 Estimación de ventas (Eje'!$E356*'Modelo Matriz de Gastos (Ejempl'!$D$323*(1+2%)^33</f>
        <v>3344501.569</v>
      </c>
      <c r="AL33" s="326">
        <f>'6.4.1 Estimación de ventas (Eje'!$E357*'Modelo Matriz de Gastos (Ejempl'!$D$323*(1+2%)^34</f>
        <v>3411391.6</v>
      </c>
      <c r="AM33" s="326">
        <f>'6.4.1 Estimación de ventas (Eje'!$E358*'Modelo Matriz de Gastos (Ejempl'!$D$323*(1+2%)^35</f>
        <v>3479619.432</v>
      </c>
      <c r="AN33" s="325">
        <f t="shared" si="18"/>
        <v>18687136.8</v>
      </c>
    </row>
    <row r="34" ht="26.25" customHeight="1">
      <c r="A34" s="338" t="s">
        <v>718</v>
      </c>
      <c r="B34" s="339">
        <f>'Modelo Matriz de Gastos (Ejempl'!$H$9*'6.4.1 Estimación de ventas (Eje'!$G5</f>
        <v>36000</v>
      </c>
      <c r="C34" s="339">
        <f>'Modelo Matriz de Gastos (Ejempl'!$H$9*'6.4.1 Estimación de ventas (Eje'!$G5*(1+$B$1)^1</f>
        <v>36720</v>
      </c>
      <c r="D34" s="339">
        <f>'Modelo Matriz de Gastos (Ejempl'!$H$9*'6.4.1 Estimación de ventas (Eje'!$G6*(1+$B$1)^2</f>
        <v>37454.4</v>
      </c>
      <c r="E34" s="339">
        <f>'Modelo Matriz de Gastos (Ejempl'!$H$9*'6.4.1 Estimación de ventas (Eje'!$G7*(1+$B$1)^3</f>
        <v>31836.24</v>
      </c>
      <c r="F34" s="339">
        <f>'Modelo Matriz de Gastos (Ejempl'!$H$9*'6.4.1 Estimación de ventas (Eje'!$G8*(1+$B$1)^4</f>
        <v>38967.55776</v>
      </c>
      <c r="G34" s="339">
        <f>'Modelo Matriz de Gastos (Ejempl'!$H$9*'6.4.1 Estimación de ventas (Eje'!$G9*(1+$B$1)^5</f>
        <v>39746.90892</v>
      </c>
      <c r="H34" s="339">
        <f>'Modelo Matriz de Gastos (Ejempl'!$H$9*'6.4.1 Estimación de ventas (Eje'!$G10*(1+$B$1)^6</f>
        <v>27027.89806</v>
      </c>
      <c r="I34" s="339">
        <f>'Modelo Matriz de Gastos (Ejempl'!$H$9*'6.4.1 Estimación de ventas (Eje'!$G11*(1+$B$1)^7</f>
        <v>82705.36807</v>
      </c>
      <c r="J34" s="339">
        <f>'Modelo Matriz de Gastos (Ejempl'!$H$9*'6.4.1 Estimación de ventas (Eje'!$G12*(1+$B$1)^8</f>
        <v>84359.47543</v>
      </c>
      <c r="K34" s="339">
        <f>'Modelo Matriz de Gastos (Ejempl'!$H$9*'6.4.1 Estimación de ventas (Eje'!$G13*(1+$B$1)^9</f>
        <v>43023.33247</v>
      </c>
      <c r="L34" s="339">
        <f>'Modelo Matriz de Gastos (Ejempl'!$H$9*'6.4.1 Estimación de ventas (Eje'!$G14*(1+$B$1)^10</f>
        <v>58511.73216</v>
      </c>
      <c r="M34" s="339">
        <f>'Modelo Matriz de Gastos (Ejempl'!$H$9*'6.4.1 Estimación de ventas (Eje'!$G15*(1+$B$1)^11</f>
        <v>59681.9668</v>
      </c>
      <c r="N34" s="325">
        <f t="shared" si="13"/>
        <v>576034.8797</v>
      </c>
      <c r="O34" s="326">
        <f>'Modelo Matriz de Gastos (Ejempl'!$H$9*'6.4.1 Estimación de ventas (Eje'!$G24*(1+$B$1)^11</f>
        <v>104443.4419</v>
      </c>
      <c r="P34" s="326">
        <f>'Modelo Matriz de Gastos (Ejempl'!$H$9*'6.4.1 Estimación de ventas (Eje'!$G25*(1+$B$1)^12</f>
        <v>106532.3107</v>
      </c>
      <c r="Q34" s="326">
        <f>'Modelo Matriz de Gastos (Ejempl'!$H$9*'6.4.1 Estimación de ventas (Eje'!$G26*(1+$B$1)^13</f>
        <v>77616.39783</v>
      </c>
      <c r="R34" s="326">
        <f>'Modelo Matriz de Gastos (Ejempl'!$H$9*'6.4.1 Estimación de ventas (Eje'!$G27*(1+$B$1)^14</f>
        <v>79168.72578</v>
      </c>
      <c r="S34" s="326">
        <f>'Modelo Matriz de Gastos (Ejempl'!$H$9*'6.4.1 Estimación de ventas (Eje'!$G28*(1+$B$1)^15</f>
        <v>48451.26018</v>
      </c>
      <c r="T34" s="326">
        <f>'Modelo Matriz de Gastos (Ejempl'!$H$9*'6.4.1 Estimación de ventas (Eje'!$G29*(1+$B$1)^16</f>
        <v>49420.28538</v>
      </c>
      <c r="U34" s="326">
        <f>'Modelo Matriz de Gastos (Ejempl'!$H$9*'6.4.1 Estimación de ventas (Eje'!$G30*(1+$B$1)^17</f>
        <v>134423.1762</v>
      </c>
      <c r="V34" s="326">
        <f>'Modelo Matriz de Gastos (Ejempl'!$H$9*'6.4.1 Estimación de ventas (Eje'!$G31*(1+$B$1)^18</f>
        <v>137111.6398</v>
      </c>
      <c r="W34" s="326">
        <f>'Modelo Matriz de Gastos (Ejempl'!$H$9*'6.4.1 Estimación de ventas (Eje'!$G32*(1+$B$1)^19</f>
        <v>69926.93628</v>
      </c>
      <c r="X34" s="326">
        <f>'Modelo Matriz de Gastos (Ejempl'!$H$9*'6.4.1 Estimación de ventas (Eje'!$G33*(1+$B$1)^20</f>
        <v>89156.84376</v>
      </c>
      <c r="Y34" s="326">
        <f>'Modelo Matriz de Gastos (Ejempl'!$H$9*'6.4.1 Estimación de ventas (Eje'!$G34*(1+$B$1)^21</f>
        <v>90939.98063</v>
      </c>
      <c r="Z34" s="326">
        <f>'Modelo Matriz de Gastos (Ejempl'!$H$9*'6.4.1 Estimación de ventas (Eje'!$G35*(1+$B$1)^22</f>
        <v>92758.78025</v>
      </c>
      <c r="AA34" s="325">
        <f t="shared" si="15"/>
        <v>1079949.779</v>
      </c>
      <c r="AB34" s="326">
        <f>'Modelo Matriz de Gastos (Ejempl'!$H$9*'6.4.1 Estimación de ventas (Eje'!$G44*(1+$B$1)^23</f>
        <v>170305.1205</v>
      </c>
      <c r="AC34" s="326">
        <f>'Modelo Matriz de Gastos (Ejempl'!$H$9*'6.4.1 Estimación de ventas (Eje'!$G45*(1+$B$1)^24</f>
        <v>135108.729</v>
      </c>
      <c r="AD34" s="326">
        <f>'Modelo Matriz de Gastos (Ejempl'!$H$9*'6.4.1 Estimación de ventas (Eje'!$G46*(1+$B$1)^25</f>
        <v>137810.9035</v>
      </c>
      <c r="AE34" s="326">
        <f>'Modelo Matriz de Gastos (Ejempl'!$H$9*'6.4.1 Estimación de ventas (Eje'!$G5*(1+$B$1)^26</f>
        <v>60243.05212</v>
      </c>
      <c r="AF34" s="326">
        <f>'Modelo Matriz de Gastos (Ejempl'!$H$9*'6.4.1 Estimación de ventas (Eje'!$G6*(1+$B$1)^27</f>
        <v>61447.91316</v>
      </c>
      <c r="AG34" s="326">
        <f>'Modelo Matriz de Gastos (Ejempl'!$H$9*'6.4.1 Estimación de ventas (Eje'!$G7*(1+$B$1)^28</f>
        <v>52230.72619</v>
      </c>
      <c r="AH34" s="326">
        <f>'Modelo Matriz de Gastos (Ejempl'!$H$9*'6.4.1 Estimación de ventas (Eje'!$G8*(1+$B$1)^29</f>
        <v>63930.40885</v>
      </c>
      <c r="AI34" s="326">
        <f>'Modelo Matriz de Gastos (Ejempl'!$H$9*'6.4.1 Estimación de ventas (Eje'!$G9*(1+$B$1)^30</f>
        <v>65209.01703</v>
      </c>
      <c r="AJ34" s="326">
        <f>'Modelo Matriz de Gastos (Ejempl'!$H$9*'6.4.1 Estimación de ventas (Eje'!$G10*(1+$B$1)^31</f>
        <v>44342.13158</v>
      </c>
      <c r="AK34" s="326">
        <f>'Modelo Matriz de Gastos (Ejempl'!$H$9*'6.4.1 Estimación de ventas (Eje'!$G11*(1+$B$1)^32</f>
        <v>135686.9226</v>
      </c>
      <c r="AL34" s="326">
        <f>'Modelo Matriz de Gastos (Ejempl'!$H$9*'6.4.1 Estimación de ventas (Eje'!$G12*(1+$B$1)^33</f>
        <v>138400.6611</v>
      </c>
      <c r="AM34" s="326">
        <f>'Modelo Matriz de Gastos (Ejempl'!$H$9*'6.4.1 Estimación de ventas (Eje'!$G13*(1+$B$1)^34</f>
        <v>70584.33715</v>
      </c>
      <c r="AN34" s="325">
        <f t="shared" si="18"/>
        <v>1135299.923</v>
      </c>
    </row>
    <row r="35" ht="26.25" customHeight="1">
      <c r="A35" s="322" t="s">
        <v>719</v>
      </c>
      <c r="B35" s="326">
        <f>'Modelo Matriz de Gastos (Ejempl'!D55</f>
        <v>204579.45</v>
      </c>
      <c r="C35" s="339">
        <v>0.0</v>
      </c>
      <c r="D35" s="339">
        <v>0.0</v>
      </c>
      <c r="E35" s="339">
        <v>0.0</v>
      </c>
      <c r="F35" s="339">
        <v>0.0</v>
      </c>
      <c r="G35" s="339">
        <v>0.0</v>
      </c>
      <c r="H35" s="326">
        <f>'Modelo Matriz de Gastos (Ejempl'!$D$55*(1+$B$1)^6</f>
        <v>230389.6883</v>
      </c>
      <c r="I35" s="339">
        <v>0.0</v>
      </c>
      <c r="J35" s="339">
        <v>0.0</v>
      </c>
      <c r="K35" s="339">
        <v>0.0</v>
      </c>
      <c r="L35" s="339">
        <v>0.0</v>
      </c>
      <c r="M35" s="339">
        <v>0.0</v>
      </c>
      <c r="N35" s="325">
        <f t="shared" si="13"/>
        <v>434969.1383</v>
      </c>
      <c r="O35" s="326">
        <f>'Modelo Matriz de Gastos (Ejempl'!$D$55*(1+$B$1)^12</f>
        <v>259456.2088</v>
      </c>
      <c r="P35" s="339">
        <v>0.0</v>
      </c>
      <c r="Q35" s="339">
        <v>0.0</v>
      </c>
      <c r="R35" s="339">
        <v>0.0</v>
      </c>
      <c r="S35" s="339">
        <v>0.0</v>
      </c>
      <c r="T35" s="339">
        <v>0.0</v>
      </c>
      <c r="U35" s="326">
        <f>'Modelo Matriz de Gastos (Ejempl'!$D$55*(1+$B$1)^18</f>
        <v>292189.8318</v>
      </c>
      <c r="V35" s="339">
        <v>0.0</v>
      </c>
      <c r="W35" s="339">
        <v>0.0</v>
      </c>
      <c r="X35" s="339">
        <v>0.0</v>
      </c>
      <c r="Y35" s="339">
        <v>0.0</v>
      </c>
      <c r="Z35" s="339">
        <v>0.0</v>
      </c>
      <c r="AA35" s="325">
        <f t="shared" si="15"/>
        <v>551646.0406</v>
      </c>
      <c r="AB35" s="326">
        <f>'Modelo Matriz de Gastos (Ejempl'!$D$55*(1+$B$1)^24</f>
        <v>329053.2079</v>
      </c>
      <c r="AC35" s="339">
        <v>0.0</v>
      </c>
      <c r="AD35" s="339">
        <v>0.0</v>
      </c>
      <c r="AE35" s="339">
        <v>0.0</v>
      </c>
      <c r="AF35" s="339">
        <v>0.0</v>
      </c>
      <c r="AG35" s="339">
        <v>0.0</v>
      </c>
      <c r="AH35" s="326">
        <f>'Modelo Matriz de Gastos (Ejempl'!$D$55*(1+$B$1)^30</f>
        <v>370567.3566</v>
      </c>
      <c r="AI35" s="339">
        <v>0.0</v>
      </c>
      <c r="AJ35" s="339">
        <v>0.0</v>
      </c>
      <c r="AK35" s="339">
        <v>0.0</v>
      </c>
      <c r="AL35" s="339">
        <v>0.0</v>
      </c>
      <c r="AM35" s="339">
        <v>0.0</v>
      </c>
      <c r="AN35" s="325">
        <f t="shared" si="18"/>
        <v>699620.5645</v>
      </c>
    </row>
    <row r="36" ht="26.25" customHeight="1">
      <c r="A36" s="338" t="s">
        <v>720</v>
      </c>
      <c r="B36" s="339">
        <f>32000*2</f>
        <v>64000</v>
      </c>
      <c r="C36" s="326">
        <f t="shared" ref="C36:M36" si="38">B36*1.02</f>
        <v>65280</v>
      </c>
      <c r="D36" s="326">
        <f t="shared" si="38"/>
        <v>66585.6</v>
      </c>
      <c r="E36" s="326">
        <f t="shared" si="38"/>
        <v>67917.312</v>
      </c>
      <c r="F36" s="326">
        <f t="shared" si="38"/>
        <v>69275.65824</v>
      </c>
      <c r="G36" s="326">
        <f t="shared" si="38"/>
        <v>70661.1714</v>
      </c>
      <c r="H36" s="326">
        <f t="shared" si="38"/>
        <v>72074.39483</v>
      </c>
      <c r="I36" s="326">
        <f t="shared" si="38"/>
        <v>73515.88273</v>
      </c>
      <c r="J36" s="326">
        <f t="shared" si="38"/>
        <v>74986.20038</v>
      </c>
      <c r="K36" s="326">
        <f t="shared" si="38"/>
        <v>76485.92439</v>
      </c>
      <c r="L36" s="326">
        <f t="shared" si="38"/>
        <v>78015.64288</v>
      </c>
      <c r="M36" s="326">
        <f t="shared" si="38"/>
        <v>79575.95574</v>
      </c>
      <c r="N36" s="325">
        <f t="shared" si="13"/>
        <v>858373.7426</v>
      </c>
      <c r="O36" s="326">
        <f>M36*1.02</f>
        <v>81167.47485</v>
      </c>
      <c r="P36" s="326">
        <f t="shared" ref="P36:Z36" si="39">O36*1.02</f>
        <v>82790.82435</v>
      </c>
      <c r="Q36" s="326">
        <f t="shared" si="39"/>
        <v>84446.64084</v>
      </c>
      <c r="R36" s="326">
        <f t="shared" si="39"/>
        <v>86135.57365</v>
      </c>
      <c r="S36" s="326">
        <f t="shared" si="39"/>
        <v>87858.28513</v>
      </c>
      <c r="T36" s="326">
        <f t="shared" si="39"/>
        <v>89615.45083</v>
      </c>
      <c r="U36" s="326">
        <f t="shared" si="39"/>
        <v>91407.75984</v>
      </c>
      <c r="V36" s="326">
        <f t="shared" si="39"/>
        <v>93235.91504</v>
      </c>
      <c r="W36" s="326">
        <f t="shared" si="39"/>
        <v>95100.63334</v>
      </c>
      <c r="X36" s="326">
        <f t="shared" si="39"/>
        <v>97002.64601</v>
      </c>
      <c r="Y36" s="326">
        <f t="shared" si="39"/>
        <v>98942.69893</v>
      </c>
      <c r="Z36" s="326">
        <f t="shared" si="39"/>
        <v>100921.5529</v>
      </c>
      <c r="AA36" s="325">
        <f t="shared" si="15"/>
        <v>1088625.456</v>
      </c>
      <c r="AB36" s="326">
        <f>Z36*1.02</f>
        <v>102939.984</v>
      </c>
      <c r="AC36" s="326">
        <f>AB36*1.02</f>
        <v>104998.7836</v>
      </c>
      <c r="AD36" s="326">
        <f t="shared" ref="AD36:AM36" si="40">AB36+AB36*0.02</f>
        <v>104998.7836</v>
      </c>
      <c r="AE36" s="326">
        <f t="shared" si="40"/>
        <v>107098.7593</v>
      </c>
      <c r="AF36" s="326">
        <f t="shared" si="40"/>
        <v>107098.7593</v>
      </c>
      <c r="AG36" s="326">
        <f t="shared" si="40"/>
        <v>109240.7345</v>
      </c>
      <c r="AH36" s="326">
        <f t="shared" si="40"/>
        <v>109240.7345</v>
      </c>
      <c r="AI36" s="326">
        <f t="shared" si="40"/>
        <v>111425.5492</v>
      </c>
      <c r="AJ36" s="326">
        <f t="shared" si="40"/>
        <v>111425.5492</v>
      </c>
      <c r="AK36" s="326">
        <f t="shared" si="40"/>
        <v>113654.0602</v>
      </c>
      <c r="AL36" s="326">
        <f t="shared" si="40"/>
        <v>113654.0602</v>
      </c>
      <c r="AM36" s="326">
        <f t="shared" si="40"/>
        <v>115927.1414</v>
      </c>
      <c r="AN36" s="325">
        <f t="shared" si="18"/>
        <v>1311702.899</v>
      </c>
    </row>
    <row r="37" ht="26.25" customHeight="1">
      <c r="A37" s="322" t="s">
        <v>721</v>
      </c>
      <c r="B37" s="339">
        <v>515215.72</v>
      </c>
      <c r="C37" s="326">
        <f>B37</f>
        <v>515215.72</v>
      </c>
      <c r="D37" s="339">
        <v>515216.72</v>
      </c>
      <c r="E37" s="326">
        <f>D37</f>
        <v>515216.72</v>
      </c>
      <c r="F37" s="339">
        <v>515217.72</v>
      </c>
      <c r="G37" s="326">
        <f>F37</f>
        <v>515217.72</v>
      </c>
      <c r="H37" s="339">
        <v>515218.72</v>
      </c>
      <c r="I37" s="326">
        <f>H37</f>
        <v>515218.72</v>
      </c>
      <c r="J37" s="339">
        <v>515219.72</v>
      </c>
      <c r="K37" s="326">
        <f>J37</f>
        <v>515219.72</v>
      </c>
      <c r="L37" s="339">
        <v>515220.72</v>
      </c>
      <c r="M37" s="326">
        <f>L37</f>
        <v>515220.72</v>
      </c>
      <c r="N37" s="325">
        <f t="shared" si="13"/>
        <v>6182618.64</v>
      </c>
      <c r="O37" s="326">
        <f t="shared" ref="O37:Z37" si="41">(6182588.69*(1+$B$1)^12)/12</f>
        <v>653418.1146</v>
      </c>
      <c r="P37" s="326">
        <f t="shared" si="41"/>
        <v>653418.1146</v>
      </c>
      <c r="Q37" s="326">
        <f t="shared" si="41"/>
        <v>653418.1146</v>
      </c>
      <c r="R37" s="326">
        <f t="shared" si="41"/>
        <v>653418.1146</v>
      </c>
      <c r="S37" s="326">
        <f t="shared" si="41"/>
        <v>653418.1146</v>
      </c>
      <c r="T37" s="326">
        <f t="shared" si="41"/>
        <v>653418.1146</v>
      </c>
      <c r="U37" s="326">
        <f t="shared" si="41"/>
        <v>653418.1146</v>
      </c>
      <c r="V37" s="326">
        <f t="shared" si="41"/>
        <v>653418.1146</v>
      </c>
      <c r="W37" s="326">
        <f t="shared" si="41"/>
        <v>653418.1146</v>
      </c>
      <c r="X37" s="326">
        <f t="shared" si="41"/>
        <v>653418.1146</v>
      </c>
      <c r="Y37" s="326">
        <f t="shared" si="41"/>
        <v>653418.1146</v>
      </c>
      <c r="Z37" s="326">
        <f t="shared" si="41"/>
        <v>653418.1146</v>
      </c>
      <c r="AA37" s="325">
        <f t="shared" si="15"/>
        <v>7841017.375</v>
      </c>
      <c r="AB37" s="326">
        <f t="shared" ref="AB37:AM37" si="42">(6182588.69*(1+$B$1)^24)/12</f>
        <v>828692.1623</v>
      </c>
      <c r="AC37" s="326">
        <f t="shared" si="42"/>
        <v>828692.1623</v>
      </c>
      <c r="AD37" s="326">
        <f t="shared" si="42"/>
        <v>828692.1623</v>
      </c>
      <c r="AE37" s="326">
        <f t="shared" si="42"/>
        <v>828692.1623</v>
      </c>
      <c r="AF37" s="326">
        <f t="shared" si="42"/>
        <v>828692.1623</v>
      </c>
      <c r="AG37" s="326">
        <f t="shared" si="42"/>
        <v>828692.1623</v>
      </c>
      <c r="AH37" s="326">
        <f t="shared" si="42"/>
        <v>828692.1623</v>
      </c>
      <c r="AI37" s="326">
        <f t="shared" si="42"/>
        <v>828692.1623</v>
      </c>
      <c r="AJ37" s="326">
        <f t="shared" si="42"/>
        <v>828692.1623</v>
      </c>
      <c r="AK37" s="326">
        <f t="shared" si="42"/>
        <v>828692.1623</v>
      </c>
      <c r="AL37" s="326">
        <f t="shared" si="42"/>
        <v>828692.1623</v>
      </c>
      <c r="AM37" s="326">
        <f t="shared" si="42"/>
        <v>828692.1623</v>
      </c>
      <c r="AN37" s="325">
        <f t="shared" si="18"/>
        <v>9944305.947</v>
      </c>
    </row>
    <row r="38" ht="26.25" customHeight="1">
      <c r="A38" s="338" t="s">
        <v>722</v>
      </c>
      <c r="B38" s="339">
        <v>321456.0</v>
      </c>
      <c r="C38" s="326">
        <f t="shared" ref="C38:M38" si="43">B38*1.02</f>
        <v>327885.12</v>
      </c>
      <c r="D38" s="326">
        <f t="shared" si="43"/>
        <v>334442.8224</v>
      </c>
      <c r="E38" s="326">
        <f t="shared" si="43"/>
        <v>341131.6788</v>
      </c>
      <c r="F38" s="326">
        <f t="shared" si="43"/>
        <v>347954.3124</v>
      </c>
      <c r="G38" s="326">
        <f t="shared" si="43"/>
        <v>354913.3987</v>
      </c>
      <c r="H38" s="326">
        <f t="shared" si="43"/>
        <v>362011.6666</v>
      </c>
      <c r="I38" s="326">
        <f t="shared" si="43"/>
        <v>369251.9</v>
      </c>
      <c r="J38" s="326">
        <f t="shared" si="43"/>
        <v>376636.938</v>
      </c>
      <c r="K38" s="326">
        <f t="shared" si="43"/>
        <v>384169.6767</v>
      </c>
      <c r="L38" s="326">
        <f t="shared" si="43"/>
        <v>391853.0703</v>
      </c>
      <c r="M38" s="326">
        <f t="shared" si="43"/>
        <v>399690.1317</v>
      </c>
      <c r="N38" s="325">
        <f t="shared" si="13"/>
        <v>4311396.716</v>
      </c>
      <c r="O38" s="326">
        <f t="shared" ref="O38:O41" si="47">M38*1.02</f>
        <v>407683.9343</v>
      </c>
      <c r="P38" s="326">
        <f t="shared" ref="P38:Z38" si="44">O38*1.02</f>
        <v>415837.613</v>
      </c>
      <c r="Q38" s="326">
        <f t="shared" si="44"/>
        <v>424154.3653</v>
      </c>
      <c r="R38" s="326">
        <f t="shared" si="44"/>
        <v>432637.4526</v>
      </c>
      <c r="S38" s="326">
        <f t="shared" si="44"/>
        <v>441290.2016</v>
      </c>
      <c r="T38" s="326">
        <f t="shared" si="44"/>
        <v>450116.0056</v>
      </c>
      <c r="U38" s="326">
        <f t="shared" si="44"/>
        <v>459118.3258</v>
      </c>
      <c r="V38" s="326">
        <f t="shared" si="44"/>
        <v>468300.6923</v>
      </c>
      <c r="W38" s="326">
        <f t="shared" si="44"/>
        <v>477666.7061</v>
      </c>
      <c r="X38" s="326">
        <f t="shared" si="44"/>
        <v>487220.0402</v>
      </c>
      <c r="Y38" s="326">
        <f t="shared" si="44"/>
        <v>496964.441</v>
      </c>
      <c r="Z38" s="326">
        <f t="shared" si="44"/>
        <v>506903.7299</v>
      </c>
      <c r="AA38" s="325">
        <f t="shared" si="15"/>
        <v>5467893.508</v>
      </c>
      <c r="AB38" s="326">
        <f t="shared" ref="AB38:AB41" si="49">Z38*1.02</f>
        <v>517041.8045</v>
      </c>
      <c r="AC38" s="326">
        <f t="shared" ref="AC38:AM38" si="45">AB38*1.02</f>
        <v>527382.6406</v>
      </c>
      <c r="AD38" s="326">
        <f t="shared" si="45"/>
        <v>537930.2934</v>
      </c>
      <c r="AE38" s="326">
        <f t="shared" si="45"/>
        <v>548688.8992</v>
      </c>
      <c r="AF38" s="326">
        <f t="shared" si="45"/>
        <v>559662.6772</v>
      </c>
      <c r="AG38" s="326">
        <f t="shared" si="45"/>
        <v>570855.9308</v>
      </c>
      <c r="AH38" s="326">
        <f t="shared" si="45"/>
        <v>582273.0494</v>
      </c>
      <c r="AI38" s="326">
        <f t="shared" si="45"/>
        <v>593918.5104</v>
      </c>
      <c r="AJ38" s="326">
        <f t="shared" si="45"/>
        <v>605796.8806</v>
      </c>
      <c r="AK38" s="326">
        <f t="shared" si="45"/>
        <v>617912.8182</v>
      </c>
      <c r="AL38" s="326">
        <f t="shared" si="45"/>
        <v>630271.0745</v>
      </c>
      <c r="AM38" s="326">
        <f t="shared" si="45"/>
        <v>642876.496</v>
      </c>
      <c r="AN38" s="325">
        <f t="shared" si="18"/>
        <v>6934611.075</v>
      </c>
    </row>
    <row r="39" ht="26.25" customHeight="1">
      <c r="A39" s="322" t="s">
        <v>723</v>
      </c>
      <c r="B39" s="326">
        <f>1500000</f>
        <v>1500000</v>
      </c>
      <c r="C39" s="326">
        <f t="shared" ref="C39:M39" si="46">B39*1.02</f>
        <v>1530000</v>
      </c>
      <c r="D39" s="326">
        <f t="shared" si="46"/>
        <v>1560600</v>
      </c>
      <c r="E39" s="326">
        <f t="shared" si="46"/>
        <v>1591812</v>
      </c>
      <c r="F39" s="326">
        <f t="shared" si="46"/>
        <v>1623648.24</v>
      </c>
      <c r="G39" s="326">
        <f t="shared" si="46"/>
        <v>1656121.205</v>
      </c>
      <c r="H39" s="326">
        <f t="shared" si="46"/>
        <v>1689243.629</v>
      </c>
      <c r="I39" s="326">
        <f t="shared" si="46"/>
        <v>1723028.501</v>
      </c>
      <c r="J39" s="326">
        <f t="shared" si="46"/>
        <v>1757489.072</v>
      </c>
      <c r="K39" s="326">
        <f t="shared" si="46"/>
        <v>1792638.853</v>
      </c>
      <c r="L39" s="326">
        <f t="shared" si="46"/>
        <v>1828491.63</v>
      </c>
      <c r="M39" s="326">
        <f t="shared" si="46"/>
        <v>1865061.463</v>
      </c>
      <c r="N39" s="325">
        <f t="shared" si="13"/>
        <v>20118134.59</v>
      </c>
      <c r="O39" s="326">
        <f t="shared" si="47"/>
        <v>1902362.692</v>
      </c>
      <c r="P39" s="326">
        <f t="shared" ref="P39:Z39" si="48">O39*1.02</f>
        <v>1940409.946</v>
      </c>
      <c r="Q39" s="326">
        <f t="shared" si="48"/>
        <v>1979218.145</v>
      </c>
      <c r="R39" s="326">
        <f t="shared" si="48"/>
        <v>2018802.507</v>
      </c>
      <c r="S39" s="326">
        <f t="shared" si="48"/>
        <v>2059178.558</v>
      </c>
      <c r="T39" s="326">
        <f t="shared" si="48"/>
        <v>2100362.129</v>
      </c>
      <c r="U39" s="326">
        <f t="shared" si="48"/>
        <v>2142369.371</v>
      </c>
      <c r="V39" s="326">
        <f t="shared" si="48"/>
        <v>2185216.759</v>
      </c>
      <c r="W39" s="326">
        <f t="shared" si="48"/>
        <v>2228921.094</v>
      </c>
      <c r="X39" s="326">
        <f t="shared" si="48"/>
        <v>2273499.516</v>
      </c>
      <c r="Y39" s="326">
        <f t="shared" si="48"/>
        <v>2318969.506</v>
      </c>
      <c r="Z39" s="326">
        <f t="shared" si="48"/>
        <v>2365348.896</v>
      </c>
      <c r="AA39" s="325">
        <f t="shared" si="15"/>
        <v>25514659.12</v>
      </c>
      <c r="AB39" s="326">
        <f t="shared" si="49"/>
        <v>2412655.874</v>
      </c>
      <c r="AC39" s="326">
        <f t="shared" ref="AC39:AM39" si="50">AB39*1.02</f>
        <v>2460908.992</v>
      </c>
      <c r="AD39" s="326">
        <f t="shared" si="50"/>
        <v>2510127.172</v>
      </c>
      <c r="AE39" s="326">
        <f t="shared" si="50"/>
        <v>2560329.715</v>
      </c>
      <c r="AF39" s="326">
        <f t="shared" si="50"/>
        <v>2611536.309</v>
      </c>
      <c r="AG39" s="326">
        <f t="shared" si="50"/>
        <v>2663767.035</v>
      </c>
      <c r="AH39" s="326">
        <f t="shared" si="50"/>
        <v>2717042.376</v>
      </c>
      <c r="AI39" s="326">
        <f t="shared" si="50"/>
        <v>2771383.224</v>
      </c>
      <c r="AJ39" s="326">
        <f t="shared" si="50"/>
        <v>2826810.888</v>
      </c>
      <c r="AK39" s="326">
        <f t="shared" si="50"/>
        <v>2883347.106</v>
      </c>
      <c r="AL39" s="326">
        <f t="shared" si="50"/>
        <v>2941014.048</v>
      </c>
      <c r="AM39" s="326">
        <f t="shared" si="50"/>
        <v>2999834.329</v>
      </c>
      <c r="AN39" s="325">
        <f t="shared" si="18"/>
        <v>32358757.07</v>
      </c>
    </row>
    <row r="40" ht="26.25" customHeight="1">
      <c r="A40" s="322" t="s">
        <v>724</v>
      </c>
      <c r="B40" s="326">
        <f>1270000</f>
        <v>1270000</v>
      </c>
      <c r="C40" s="326">
        <f t="shared" ref="C40:M40" si="51">B40*1.02</f>
        <v>1295400</v>
      </c>
      <c r="D40" s="326">
        <f t="shared" si="51"/>
        <v>1321308</v>
      </c>
      <c r="E40" s="326">
        <f t="shared" si="51"/>
        <v>1347734.16</v>
      </c>
      <c r="F40" s="326">
        <f t="shared" si="51"/>
        <v>1374688.843</v>
      </c>
      <c r="G40" s="326">
        <f t="shared" si="51"/>
        <v>1402182.62</v>
      </c>
      <c r="H40" s="326">
        <f t="shared" si="51"/>
        <v>1430226.272</v>
      </c>
      <c r="I40" s="326">
        <f t="shared" si="51"/>
        <v>1458830.798</v>
      </c>
      <c r="J40" s="326">
        <f t="shared" si="51"/>
        <v>1488007.414</v>
      </c>
      <c r="K40" s="326">
        <f t="shared" si="51"/>
        <v>1517767.562</v>
      </c>
      <c r="L40" s="326">
        <f t="shared" si="51"/>
        <v>1548122.913</v>
      </c>
      <c r="M40" s="326">
        <f t="shared" si="51"/>
        <v>1579085.372</v>
      </c>
      <c r="N40" s="325">
        <f t="shared" si="13"/>
        <v>17033353.95</v>
      </c>
      <c r="O40" s="326">
        <f t="shared" si="47"/>
        <v>1610667.079</v>
      </c>
      <c r="P40" s="326">
        <f t="shared" ref="P40:Z40" si="52">O40*1.02</f>
        <v>1642880.421</v>
      </c>
      <c r="Q40" s="326">
        <f t="shared" si="52"/>
        <v>1675738.029</v>
      </c>
      <c r="R40" s="326">
        <f t="shared" si="52"/>
        <v>1709252.79</v>
      </c>
      <c r="S40" s="326">
        <f t="shared" si="52"/>
        <v>1743437.845</v>
      </c>
      <c r="T40" s="326">
        <f t="shared" si="52"/>
        <v>1778306.602</v>
      </c>
      <c r="U40" s="326">
        <f t="shared" si="52"/>
        <v>1813872.734</v>
      </c>
      <c r="V40" s="326">
        <f t="shared" si="52"/>
        <v>1850150.189</v>
      </c>
      <c r="W40" s="326">
        <f t="shared" si="52"/>
        <v>1887153.193</v>
      </c>
      <c r="X40" s="326">
        <f t="shared" si="52"/>
        <v>1924896.257</v>
      </c>
      <c r="Y40" s="326">
        <f t="shared" si="52"/>
        <v>1963394.182</v>
      </c>
      <c r="Z40" s="326">
        <f t="shared" si="52"/>
        <v>2002662.066</v>
      </c>
      <c r="AA40" s="325">
        <f t="shared" si="15"/>
        <v>21602411.39</v>
      </c>
      <c r="AB40" s="326">
        <f t="shared" si="49"/>
        <v>2042715.307</v>
      </c>
      <c r="AC40" s="326">
        <f t="shared" ref="AC40:AM40" si="53">AB40*1.02</f>
        <v>2083569.613</v>
      </c>
      <c r="AD40" s="326">
        <f t="shared" si="53"/>
        <v>2125241.005</v>
      </c>
      <c r="AE40" s="326">
        <f t="shared" si="53"/>
        <v>2167745.825</v>
      </c>
      <c r="AF40" s="326">
        <f t="shared" si="53"/>
        <v>2211100.742</v>
      </c>
      <c r="AG40" s="326">
        <f t="shared" si="53"/>
        <v>2255322.757</v>
      </c>
      <c r="AH40" s="326">
        <f t="shared" si="53"/>
        <v>2300429.212</v>
      </c>
      <c r="AI40" s="326">
        <f t="shared" si="53"/>
        <v>2346437.796</v>
      </c>
      <c r="AJ40" s="326">
        <f t="shared" si="53"/>
        <v>2393366.552</v>
      </c>
      <c r="AK40" s="326">
        <f t="shared" si="53"/>
        <v>2441233.883</v>
      </c>
      <c r="AL40" s="326">
        <f t="shared" si="53"/>
        <v>2490058.561</v>
      </c>
      <c r="AM40" s="326">
        <f t="shared" si="53"/>
        <v>2539859.732</v>
      </c>
      <c r="AN40" s="325">
        <f t="shared" si="18"/>
        <v>27397080.98</v>
      </c>
    </row>
    <row r="41" ht="26.25" customHeight="1">
      <c r="A41" s="338" t="s">
        <v>725</v>
      </c>
      <c r="B41" s="339">
        <v>150000.0</v>
      </c>
      <c r="C41" s="326">
        <f t="shared" ref="C41:M41" si="54">B41*1.02</f>
        <v>153000</v>
      </c>
      <c r="D41" s="326">
        <f t="shared" si="54"/>
        <v>156060</v>
      </c>
      <c r="E41" s="326">
        <f t="shared" si="54"/>
        <v>159181.2</v>
      </c>
      <c r="F41" s="326">
        <f t="shared" si="54"/>
        <v>162364.824</v>
      </c>
      <c r="G41" s="326">
        <f t="shared" si="54"/>
        <v>165612.1205</v>
      </c>
      <c r="H41" s="326">
        <f t="shared" si="54"/>
        <v>168924.3629</v>
      </c>
      <c r="I41" s="326">
        <f t="shared" si="54"/>
        <v>172302.8501</v>
      </c>
      <c r="J41" s="326">
        <f t="shared" si="54"/>
        <v>175748.9072</v>
      </c>
      <c r="K41" s="326">
        <f t="shared" si="54"/>
        <v>179263.8853</v>
      </c>
      <c r="L41" s="326">
        <f t="shared" si="54"/>
        <v>182849.163</v>
      </c>
      <c r="M41" s="326">
        <f t="shared" si="54"/>
        <v>186506.1463</v>
      </c>
      <c r="N41" s="325">
        <f t="shared" si="13"/>
        <v>2011813.459</v>
      </c>
      <c r="O41" s="326">
        <f t="shared" si="47"/>
        <v>190236.2692</v>
      </c>
      <c r="P41" s="326">
        <f t="shared" ref="P41:Z41" si="55">O41*1.02</f>
        <v>194040.9946</v>
      </c>
      <c r="Q41" s="326">
        <f t="shared" si="55"/>
        <v>197921.8145</v>
      </c>
      <c r="R41" s="326">
        <f t="shared" si="55"/>
        <v>201880.2507</v>
      </c>
      <c r="S41" s="326">
        <f t="shared" si="55"/>
        <v>205917.8558</v>
      </c>
      <c r="T41" s="326">
        <f t="shared" si="55"/>
        <v>210036.2129</v>
      </c>
      <c r="U41" s="326">
        <f t="shared" si="55"/>
        <v>214236.9371</v>
      </c>
      <c r="V41" s="326">
        <f t="shared" si="55"/>
        <v>218521.6759</v>
      </c>
      <c r="W41" s="326">
        <f t="shared" si="55"/>
        <v>222892.1094</v>
      </c>
      <c r="X41" s="326">
        <f t="shared" si="55"/>
        <v>227349.9516</v>
      </c>
      <c r="Y41" s="326">
        <f t="shared" si="55"/>
        <v>231896.9506</v>
      </c>
      <c r="Z41" s="326">
        <f t="shared" si="55"/>
        <v>236534.8896</v>
      </c>
      <c r="AA41" s="325">
        <f t="shared" si="15"/>
        <v>2551465.912</v>
      </c>
      <c r="AB41" s="326">
        <f t="shared" si="49"/>
        <v>241265.5874</v>
      </c>
      <c r="AC41" s="326">
        <f t="shared" ref="AC41:AM41" si="56">AB41*1.02</f>
        <v>246090.8992</v>
      </c>
      <c r="AD41" s="326">
        <f t="shared" si="56"/>
        <v>251012.7172</v>
      </c>
      <c r="AE41" s="326">
        <f t="shared" si="56"/>
        <v>256032.9715</v>
      </c>
      <c r="AF41" s="326">
        <f t="shared" si="56"/>
        <v>261153.6309</v>
      </c>
      <c r="AG41" s="326">
        <f t="shared" si="56"/>
        <v>266376.7035</v>
      </c>
      <c r="AH41" s="326">
        <f t="shared" si="56"/>
        <v>271704.2376</v>
      </c>
      <c r="AI41" s="326">
        <f t="shared" si="56"/>
        <v>277138.3224</v>
      </c>
      <c r="AJ41" s="326">
        <f t="shared" si="56"/>
        <v>282681.0888</v>
      </c>
      <c r="AK41" s="326">
        <f t="shared" si="56"/>
        <v>288334.7106</v>
      </c>
      <c r="AL41" s="326">
        <f t="shared" si="56"/>
        <v>294101.4048</v>
      </c>
      <c r="AM41" s="326">
        <f t="shared" si="56"/>
        <v>299983.4329</v>
      </c>
      <c r="AN41" s="325">
        <f t="shared" si="18"/>
        <v>3235875.707</v>
      </c>
    </row>
    <row r="42" ht="26.25" customHeight="1">
      <c r="A42" s="338" t="s">
        <v>726</v>
      </c>
      <c r="B42" s="339">
        <v>40040.0</v>
      </c>
      <c r="C42" s="339">
        <v>0.0</v>
      </c>
      <c r="D42" s="339">
        <v>0.0</v>
      </c>
      <c r="E42" s="339">
        <v>0.0</v>
      </c>
      <c r="F42" s="339">
        <v>0.0</v>
      </c>
      <c r="G42" s="339">
        <v>0.0</v>
      </c>
      <c r="H42" s="339">
        <v>0.0</v>
      </c>
      <c r="I42" s="339">
        <v>0.0</v>
      </c>
      <c r="J42" s="339">
        <v>0.0</v>
      </c>
      <c r="K42" s="339">
        <v>0.0</v>
      </c>
      <c r="L42" s="339">
        <v>0.0</v>
      </c>
      <c r="M42" s="339">
        <v>0.0</v>
      </c>
      <c r="N42" s="325">
        <f t="shared" si="13"/>
        <v>40040</v>
      </c>
      <c r="O42" s="326">
        <f>B42*(1+$B$1)^12</f>
        <v>50780.40145</v>
      </c>
      <c r="P42" s="339">
        <v>0.0</v>
      </c>
      <c r="Q42" s="339">
        <v>0.0</v>
      </c>
      <c r="R42" s="339">
        <v>0.0</v>
      </c>
      <c r="S42" s="339">
        <v>0.0</v>
      </c>
      <c r="T42" s="339">
        <v>0.0</v>
      </c>
      <c r="U42" s="339">
        <v>0.0</v>
      </c>
      <c r="V42" s="339">
        <v>0.0</v>
      </c>
      <c r="W42" s="339">
        <v>0.0</v>
      </c>
      <c r="X42" s="339">
        <v>0.0</v>
      </c>
      <c r="Y42" s="339">
        <v>0.0</v>
      </c>
      <c r="Z42" s="339">
        <v>0.0</v>
      </c>
      <c r="AA42" s="325">
        <f t="shared" si="15"/>
        <v>50780.40145</v>
      </c>
      <c r="AB42" s="326">
        <f>O42*(1+$B$1)^24</f>
        <v>81677.08924</v>
      </c>
      <c r="AC42" s="339">
        <v>0.0</v>
      </c>
      <c r="AD42" s="339">
        <v>0.0</v>
      </c>
      <c r="AE42" s="339">
        <v>0.0</v>
      </c>
      <c r="AF42" s="339">
        <v>0.0</v>
      </c>
      <c r="AG42" s="339">
        <v>0.0</v>
      </c>
      <c r="AH42" s="339">
        <v>0.0</v>
      </c>
      <c r="AI42" s="339">
        <v>0.0</v>
      </c>
      <c r="AJ42" s="339">
        <v>0.0</v>
      </c>
      <c r="AK42" s="339">
        <v>0.0</v>
      </c>
      <c r="AL42" s="339">
        <v>0.0</v>
      </c>
      <c r="AM42" s="339">
        <v>0.0</v>
      </c>
      <c r="AN42" s="325">
        <f t="shared" si="18"/>
        <v>81677.08924</v>
      </c>
    </row>
    <row r="43" ht="26.25" customHeight="1">
      <c r="A43" s="338" t="s">
        <v>727</v>
      </c>
      <c r="B43" s="339">
        <v>39500.0</v>
      </c>
      <c r="C43" s="326">
        <f t="shared" ref="C43:M43" si="57">B43*1.02</f>
        <v>40290</v>
      </c>
      <c r="D43" s="326">
        <f t="shared" si="57"/>
        <v>41095.8</v>
      </c>
      <c r="E43" s="326">
        <f t="shared" si="57"/>
        <v>41917.716</v>
      </c>
      <c r="F43" s="326">
        <f t="shared" si="57"/>
        <v>42756.07032</v>
      </c>
      <c r="G43" s="326">
        <f t="shared" si="57"/>
        <v>43611.19173</v>
      </c>
      <c r="H43" s="326">
        <f t="shared" si="57"/>
        <v>44483.41556</v>
      </c>
      <c r="I43" s="326">
        <f t="shared" si="57"/>
        <v>45373.08387</v>
      </c>
      <c r="J43" s="326">
        <f t="shared" si="57"/>
        <v>46280.54555</v>
      </c>
      <c r="K43" s="326">
        <f t="shared" si="57"/>
        <v>47206.15646</v>
      </c>
      <c r="L43" s="326">
        <f t="shared" si="57"/>
        <v>48150.27959</v>
      </c>
      <c r="M43" s="326">
        <f t="shared" si="57"/>
        <v>49113.28518</v>
      </c>
      <c r="N43" s="325">
        <f t="shared" si="13"/>
        <v>529777.5443</v>
      </c>
      <c r="O43" s="326">
        <f t="shared" ref="O43:O48" si="61">M43*1.02</f>
        <v>50095.55089</v>
      </c>
      <c r="P43" s="326">
        <f t="shared" ref="P43:Z43" si="58">O43*1.02</f>
        <v>51097.4619</v>
      </c>
      <c r="Q43" s="326">
        <f t="shared" si="58"/>
        <v>52119.41114</v>
      </c>
      <c r="R43" s="326">
        <f t="shared" si="58"/>
        <v>53161.79936</v>
      </c>
      <c r="S43" s="326">
        <f t="shared" si="58"/>
        <v>54225.03535</v>
      </c>
      <c r="T43" s="326">
        <f t="shared" si="58"/>
        <v>55309.53606</v>
      </c>
      <c r="U43" s="326">
        <f t="shared" si="58"/>
        <v>56415.72678</v>
      </c>
      <c r="V43" s="326">
        <f t="shared" si="58"/>
        <v>57544.04131</v>
      </c>
      <c r="W43" s="326">
        <f t="shared" si="58"/>
        <v>58694.92214</v>
      </c>
      <c r="X43" s="326">
        <f t="shared" si="58"/>
        <v>59868.82058</v>
      </c>
      <c r="Y43" s="326">
        <f t="shared" si="58"/>
        <v>61066.197</v>
      </c>
      <c r="Z43" s="326">
        <f t="shared" si="58"/>
        <v>62287.52094</v>
      </c>
      <c r="AA43" s="325">
        <f t="shared" si="15"/>
        <v>671886.0235</v>
      </c>
      <c r="AB43" s="326">
        <f t="shared" ref="AB43:AB48" si="63">Z43*1.02</f>
        <v>63533.27135</v>
      </c>
      <c r="AC43" s="326">
        <f t="shared" ref="AC43:AM43" si="59">AB43*1.02</f>
        <v>64803.93678</v>
      </c>
      <c r="AD43" s="326">
        <f t="shared" si="59"/>
        <v>66100.01552</v>
      </c>
      <c r="AE43" s="326">
        <f t="shared" si="59"/>
        <v>67422.01583</v>
      </c>
      <c r="AF43" s="326">
        <f t="shared" si="59"/>
        <v>68770.45614</v>
      </c>
      <c r="AG43" s="326">
        <f t="shared" si="59"/>
        <v>70145.86527</v>
      </c>
      <c r="AH43" s="326">
        <f t="shared" si="59"/>
        <v>71548.78257</v>
      </c>
      <c r="AI43" s="326">
        <f t="shared" si="59"/>
        <v>72979.75822</v>
      </c>
      <c r="AJ43" s="326">
        <f t="shared" si="59"/>
        <v>74439.35339</v>
      </c>
      <c r="AK43" s="326">
        <f t="shared" si="59"/>
        <v>75928.14046</v>
      </c>
      <c r="AL43" s="326">
        <f t="shared" si="59"/>
        <v>77446.70326</v>
      </c>
      <c r="AM43" s="326">
        <f t="shared" si="59"/>
        <v>78995.63733</v>
      </c>
      <c r="AN43" s="325">
        <f t="shared" si="18"/>
        <v>852113.9361</v>
      </c>
    </row>
    <row r="44" ht="26.25" customHeight="1">
      <c r="A44" s="338" t="s">
        <v>728</v>
      </c>
      <c r="B44" s="339">
        <v>187865.0</v>
      </c>
      <c r="C44" s="326">
        <f t="shared" ref="C44:M44" si="60">B44*1.02</f>
        <v>191622.3</v>
      </c>
      <c r="D44" s="326">
        <f t="shared" si="60"/>
        <v>195454.746</v>
      </c>
      <c r="E44" s="326">
        <f t="shared" si="60"/>
        <v>199363.8409</v>
      </c>
      <c r="F44" s="326">
        <f t="shared" si="60"/>
        <v>203351.1177</v>
      </c>
      <c r="G44" s="326">
        <f t="shared" si="60"/>
        <v>207418.1401</v>
      </c>
      <c r="H44" s="326">
        <f t="shared" si="60"/>
        <v>211566.5029</v>
      </c>
      <c r="I44" s="326">
        <f t="shared" si="60"/>
        <v>215797.833</v>
      </c>
      <c r="J44" s="326">
        <f t="shared" si="60"/>
        <v>220113.7896</v>
      </c>
      <c r="K44" s="326">
        <f t="shared" si="60"/>
        <v>224516.0654</v>
      </c>
      <c r="L44" s="326">
        <f t="shared" si="60"/>
        <v>229006.3867</v>
      </c>
      <c r="M44" s="326">
        <f t="shared" si="60"/>
        <v>233586.5144</v>
      </c>
      <c r="N44" s="325">
        <f t="shared" si="13"/>
        <v>2519662.237</v>
      </c>
      <c r="O44" s="326">
        <f t="shared" si="61"/>
        <v>238258.2447</v>
      </c>
      <c r="P44" s="326">
        <f t="shared" ref="P44:Z44" si="62">O44*1.02</f>
        <v>243023.4096</v>
      </c>
      <c r="Q44" s="326">
        <f t="shared" si="62"/>
        <v>247883.8778</v>
      </c>
      <c r="R44" s="326">
        <f t="shared" si="62"/>
        <v>252841.5554</v>
      </c>
      <c r="S44" s="326">
        <f t="shared" si="62"/>
        <v>257898.3865</v>
      </c>
      <c r="T44" s="326">
        <f t="shared" si="62"/>
        <v>263056.3542</v>
      </c>
      <c r="U44" s="326">
        <f t="shared" si="62"/>
        <v>268317.4813</v>
      </c>
      <c r="V44" s="326">
        <f t="shared" si="62"/>
        <v>273683.8309</v>
      </c>
      <c r="W44" s="326">
        <f t="shared" si="62"/>
        <v>279157.5075</v>
      </c>
      <c r="X44" s="326">
        <f t="shared" si="62"/>
        <v>284740.6577</v>
      </c>
      <c r="Y44" s="326">
        <f t="shared" si="62"/>
        <v>290435.4709</v>
      </c>
      <c r="Z44" s="326">
        <f t="shared" si="62"/>
        <v>296244.1803</v>
      </c>
      <c r="AA44" s="325">
        <f t="shared" si="15"/>
        <v>3195540.957</v>
      </c>
      <c r="AB44" s="326">
        <f t="shared" si="63"/>
        <v>302169.0639</v>
      </c>
      <c r="AC44" s="326">
        <f t="shared" ref="AC44:AM44" si="64">AB44*1.02</f>
        <v>308212.4452</v>
      </c>
      <c r="AD44" s="326">
        <f t="shared" si="64"/>
        <v>314376.6941</v>
      </c>
      <c r="AE44" s="326">
        <f t="shared" si="64"/>
        <v>320664.2279</v>
      </c>
      <c r="AF44" s="326">
        <f t="shared" si="64"/>
        <v>327077.5125</v>
      </c>
      <c r="AG44" s="326">
        <f t="shared" si="64"/>
        <v>333619.0627</v>
      </c>
      <c r="AH44" s="326">
        <f t="shared" si="64"/>
        <v>340291.444</v>
      </c>
      <c r="AI44" s="326">
        <f t="shared" si="64"/>
        <v>347097.2729</v>
      </c>
      <c r="AJ44" s="326">
        <f t="shared" si="64"/>
        <v>354039.2183</v>
      </c>
      <c r="AK44" s="326">
        <f t="shared" si="64"/>
        <v>361120.0027</v>
      </c>
      <c r="AL44" s="326">
        <f t="shared" si="64"/>
        <v>368342.4028</v>
      </c>
      <c r="AM44" s="326">
        <f t="shared" si="64"/>
        <v>375709.2508</v>
      </c>
      <c r="AN44" s="325">
        <f t="shared" si="18"/>
        <v>4052718.598</v>
      </c>
    </row>
    <row r="45" ht="26.25" customHeight="1">
      <c r="A45" s="322" t="s">
        <v>729</v>
      </c>
      <c r="B45" s="339">
        <v>350000.0</v>
      </c>
      <c r="C45" s="326">
        <f t="shared" ref="C45:M45" si="65">B45*1.02</f>
        <v>357000</v>
      </c>
      <c r="D45" s="326">
        <f t="shared" si="65"/>
        <v>364140</v>
      </c>
      <c r="E45" s="326">
        <f t="shared" si="65"/>
        <v>371422.8</v>
      </c>
      <c r="F45" s="326">
        <f t="shared" si="65"/>
        <v>378851.256</v>
      </c>
      <c r="G45" s="326">
        <f t="shared" si="65"/>
        <v>386428.2811</v>
      </c>
      <c r="H45" s="326">
        <f t="shared" si="65"/>
        <v>394156.8467</v>
      </c>
      <c r="I45" s="326">
        <f t="shared" si="65"/>
        <v>402039.9837</v>
      </c>
      <c r="J45" s="326">
        <f t="shared" si="65"/>
        <v>410080.7834</v>
      </c>
      <c r="K45" s="326">
        <f t="shared" si="65"/>
        <v>418282.399</v>
      </c>
      <c r="L45" s="326">
        <f t="shared" si="65"/>
        <v>426648.047</v>
      </c>
      <c r="M45" s="326">
        <f t="shared" si="65"/>
        <v>435181.0079</v>
      </c>
      <c r="N45" s="325">
        <f t="shared" si="13"/>
        <v>4694231.405</v>
      </c>
      <c r="O45" s="326">
        <f t="shared" si="61"/>
        <v>443884.6281</v>
      </c>
      <c r="P45" s="326">
        <f t="shared" ref="P45:Z45" si="66">O45*1.02</f>
        <v>452762.3207</v>
      </c>
      <c r="Q45" s="326">
        <f t="shared" si="66"/>
        <v>461817.5671</v>
      </c>
      <c r="R45" s="326">
        <f t="shared" si="66"/>
        <v>471053.9184</v>
      </c>
      <c r="S45" s="326">
        <f t="shared" si="66"/>
        <v>480474.9968</v>
      </c>
      <c r="T45" s="326">
        <f t="shared" si="66"/>
        <v>490084.4967</v>
      </c>
      <c r="U45" s="326">
        <f t="shared" si="66"/>
        <v>499886.1867</v>
      </c>
      <c r="V45" s="326">
        <f t="shared" si="66"/>
        <v>509883.9104</v>
      </c>
      <c r="W45" s="326">
        <f t="shared" si="66"/>
        <v>520081.5886</v>
      </c>
      <c r="X45" s="326">
        <f t="shared" si="66"/>
        <v>530483.2204</v>
      </c>
      <c r="Y45" s="326">
        <f t="shared" si="66"/>
        <v>541092.8848</v>
      </c>
      <c r="Z45" s="326">
        <f t="shared" si="66"/>
        <v>551914.7425</v>
      </c>
      <c r="AA45" s="325">
        <f t="shared" si="15"/>
        <v>5953420.461</v>
      </c>
      <c r="AB45" s="326">
        <f t="shared" si="63"/>
        <v>562953.0373</v>
      </c>
      <c r="AC45" s="326">
        <f t="shared" ref="AC45:AM45" si="67">AB45*1.02</f>
        <v>574212.0981</v>
      </c>
      <c r="AD45" s="326">
        <f t="shared" si="67"/>
        <v>585696.34</v>
      </c>
      <c r="AE45" s="326">
        <f t="shared" si="67"/>
        <v>597410.2668</v>
      </c>
      <c r="AF45" s="326">
        <f t="shared" si="67"/>
        <v>609358.4722</v>
      </c>
      <c r="AG45" s="326">
        <f t="shared" si="67"/>
        <v>621545.6416</v>
      </c>
      <c r="AH45" s="326">
        <f t="shared" si="67"/>
        <v>633976.5544</v>
      </c>
      <c r="AI45" s="326">
        <f t="shared" si="67"/>
        <v>646656.0855</v>
      </c>
      <c r="AJ45" s="326">
        <f t="shared" si="67"/>
        <v>659589.2072</v>
      </c>
      <c r="AK45" s="326">
        <f t="shared" si="67"/>
        <v>672780.9914</v>
      </c>
      <c r="AL45" s="326">
        <f t="shared" si="67"/>
        <v>686236.6112</v>
      </c>
      <c r="AM45" s="326">
        <f t="shared" si="67"/>
        <v>699961.3434</v>
      </c>
      <c r="AN45" s="325">
        <f t="shared" si="18"/>
        <v>7550376.649</v>
      </c>
    </row>
    <row r="46" ht="26.25" customHeight="1">
      <c r="A46" s="322" t="s">
        <v>730</v>
      </c>
      <c r="B46" s="339">
        <v>180000.0</v>
      </c>
      <c r="C46" s="326">
        <f t="shared" ref="C46:M46" si="68">B46*1.02</f>
        <v>183600</v>
      </c>
      <c r="D46" s="326">
        <f t="shared" si="68"/>
        <v>187272</v>
      </c>
      <c r="E46" s="326">
        <f t="shared" si="68"/>
        <v>191017.44</v>
      </c>
      <c r="F46" s="326">
        <f t="shared" si="68"/>
        <v>194837.7888</v>
      </c>
      <c r="G46" s="326">
        <f t="shared" si="68"/>
        <v>198734.5446</v>
      </c>
      <c r="H46" s="326">
        <f t="shared" si="68"/>
        <v>202709.2355</v>
      </c>
      <c r="I46" s="326">
        <f t="shared" si="68"/>
        <v>206763.4202</v>
      </c>
      <c r="J46" s="326">
        <f t="shared" si="68"/>
        <v>210898.6886</v>
      </c>
      <c r="K46" s="326">
        <f t="shared" si="68"/>
        <v>215116.6624</v>
      </c>
      <c r="L46" s="326">
        <f t="shared" si="68"/>
        <v>219418.9956</v>
      </c>
      <c r="M46" s="326">
        <f t="shared" si="68"/>
        <v>223807.3755</v>
      </c>
      <c r="N46" s="325">
        <f t="shared" si="13"/>
        <v>2414176.151</v>
      </c>
      <c r="O46" s="326">
        <f t="shared" si="61"/>
        <v>228283.523</v>
      </c>
      <c r="P46" s="326">
        <f t="shared" ref="P46:Z46" si="69">O46*1.02</f>
        <v>232849.1935</v>
      </c>
      <c r="Q46" s="326">
        <f t="shared" si="69"/>
        <v>237506.1774</v>
      </c>
      <c r="R46" s="326">
        <f t="shared" si="69"/>
        <v>242256.3009</v>
      </c>
      <c r="S46" s="326">
        <f t="shared" si="69"/>
        <v>247101.4269</v>
      </c>
      <c r="T46" s="326">
        <f t="shared" si="69"/>
        <v>252043.4555</v>
      </c>
      <c r="U46" s="326">
        <f t="shared" si="69"/>
        <v>257084.3246</v>
      </c>
      <c r="V46" s="326">
        <f t="shared" si="69"/>
        <v>262226.0111</v>
      </c>
      <c r="W46" s="326">
        <f t="shared" si="69"/>
        <v>267470.5313</v>
      </c>
      <c r="X46" s="326">
        <f t="shared" si="69"/>
        <v>272819.9419</v>
      </c>
      <c r="Y46" s="326">
        <f t="shared" si="69"/>
        <v>278276.3407</v>
      </c>
      <c r="Z46" s="326">
        <f t="shared" si="69"/>
        <v>283841.8676</v>
      </c>
      <c r="AA46" s="325">
        <f t="shared" si="15"/>
        <v>3061759.094</v>
      </c>
      <c r="AB46" s="326">
        <f t="shared" si="63"/>
        <v>289518.7049</v>
      </c>
      <c r="AC46" s="326">
        <f t="shared" ref="AC46:AM46" si="70">AB46*1.02</f>
        <v>295309.079</v>
      </c>
      <c r="AD46" s="326">
        <f t="shared" si="70"/>
        <v>301215.2606</v>
      </c>
      <c r="AE46" s="326">
        <f t="shared" si="70"/>
        <v>307239.5658</v>
      </c>
      <c r="AF46" s="326">
        <f t="shared" si="70"/>
        <v>313384.3571</v>
      </c>
      <c r="AG46" s="326">
        <f t="shared" si="70"/>
        <v>319652.0443</v>
      </c>
      <c r="AH46" s="326">
        <f t="shared" si="70"/>
        <v>326045.0851</v>
      </c>
      <c r="AI46" s="326">
        <f t="shared" si="70"/>
        <v>332565.9868</v>
      </c>
      <c r="AJ46" s="326">
        <f t="shared" si="70"/>
        <v>339217.3066</v>
      </c>
      <c r="AK46" s="326">
        <f t="shared" si="70"/>
        <v>346001.6527</v>
      </c>
      <c r="AL46" s="326">
        <f t="shared" si="70"/>
        <v>352921.6858</v>
      </c>
      <c r="AM46" s="326">
        <f t="shared" si="70"/>
        <v>359980.1195</v>
      </c>
      <c r="AN46" s="325">
        <f t="shared" si="18"/>
        <v>3883050.848</v>
      </c>
    </row>
    <row r="47" ht="26.25" customHeight="1">
      <c r="A47" s="322" t="s">
        <v>731</v>
      </c>
      <c r="B47" s="339">
        <v>205210.0</v>
      </c>
      <c r="C47" s="326">
        <f t="shared" ref="C47:M47" si="71">B47*1.02</f>
        <v>209314.2</v>
      </c>
      <c r="D47" s="326">
        <f t="shared" si="71"/>
        <v>213500.484</v>
      </c>
      <c r="E47" s="326">
        <f t="shared" si="71"/>
        <v>217770.4937</v>
      </c>
      <c r="F47" s="326">
        <f t="shared" si="71"/>
        <v>222125.9036</v>
      </c>
      <c r="G47" s="326">
        <f t="shared" si="71"/>
        <v>226568.4216</v>
      </c>
      <c r="H47" s="326">
        <f t="shared" si="71"/>
        <v>231099.7901</v>
      </c>
      <c r="I47" s="326">
        <f t="shared" si="71"/>
        <v>235721.7859</v>
      </c>
      <c r="J47" s="326">
        <f t="shared" si="71"/>
        <v>240436.2216</v>
      </c>
      <c r="K47" s="326">
        <f t="shared" si="71"/>
        <v>245244.946</v>
      </c>
      <c r="L47" s="326">
        <f t="shared" si="71"/>
        <v>250149.8449</v>
      </c>
      <c r="M47" s="326">
        <f t="shared" si="71"/>
        <v>255152.8418</v>
      </c>
      <c r="N47" s="325">
        <f t="shared" si="13"/>
        <v>2752294.933</v>
      </c>
      <c r="O47" s="326">
        <f t="shared" si="61"/>
        <v>260255.8987</v>
      </c>
      <c r="P47" s="326">
        <f t="shared" ref="P47:Z47" si="72">O47*1.02</f>
        <v>265461.0166</v>
      </c>
      <c r="Q47" s="326">
        <f t="shared" si="72"/>
        <v>270770.237</v>
      </c>
      <c r="R47" s="326">
        <f t="shared" si="72"/>
        <v>276185.6417</v>
      </c>
      <c r="S47" s="326">
        <f t="shared" si="72"/>
        <v>281709.3545</v>
      </c>
      <c r="T47" s="326">
        <f t="shared" si="72"/>
        <v>287343.5416</v>
      </c>
      <c r="U47" s="326">
        <f t="shared" si="72"/>
        <v>293090.4125</v>
      </c>
      <c r="V47" s="326">
        <f t="shared" si="72"/>
        <v>298952.2207</v>
      </c>
      <c r="W47" s="326">
        <f t="shared" si="72"/>
        <v>304931.2651</v>
      </c>
      <c r="X47" s="326">
        <f t="shared" si="72"/>
        <v>311029.8904</v>
      </c>
      <c r="Y47" s="326">
        <f t="shared" si="72"/>
        <v>317250.4882</v>
      </c>
      <c r="Z47" s="326">
        <f t="shared" si="72"/>
        <v>323595.498</v>
      </c>
      <c r="AA47" s="325">
        <f t="shared" si="15"/>
        <v>3490575.465</v>
      </c>
      <c r="AB47" s="326">
        <f t="shared" si="63"/>
        <v>330067.408</v>
      </c>
      <c r="AC47" s="326">
        <f t="shared" ref="AC47:AM47" si="73">AB47*1.02</f>
        <v>336668.7561</v>
      </c>
      <c r="AD47" s="326">
        <f t="shared" si="73"/>
        <v>343402.1312</v>
      </c>
      <c r="AE47" s="326">
        <f t="shared" si="73"/>
        <v>350270.1739</v>
      </c>
      <c r="AF47" s="326">
        <f t="shared" si="73"/>
        <v>357275.5773</v>
      </c>
      <c r="AG47" s="326">
        <f t="shared" si="73"/>
        <v>364421.0889</v>
      </c>
      <c r="AH47" s="326">
        <f t="shared" si="73"/>
        <v>371709.5107</v>
      </c>
      <c r="AI47" s="326">
        <f t="shared" si="73"/>
        <v>379143.7009</v>
      </c>
      <c r="AJ47" s="326">
        <f t="shared" si="73"/>
        <v>386726.5749</v>
      </c>
      <c r="AK47" s="326">
        <f t="shared" si="73"/>
        <v>394461.1064</v>
      </c>
      <c r="AL47" s="326">
        <f t="shared" si="73"/>
        <v>402350.3285</v>
      </c>
      <c r="AM47" s="326">
        <f t="shared" si="73"/>
        <v>410397.3351</v>
      </c>
      <c r="AN47" s="325">
        <f t="shared" si="18"/>
        <v>4426893.692</v>
      </c>
    </row>
    <row r="48" ht="26.25" customHeight="1">
      <c r="A48" s="338" t="s">
        <v>732</v>
      </c>
      <c r="B48" s="339">
        <v>54450.0</v>
      </c>
      <c r="C48" s="326">
        <f t="shared" ref="C48:M48" si="74">B48*1.02</f>
        <v>55539</v>
      </c>
      <c r="D48" s="326">
        <f t="shared" si="74"/>
        <v>56649.78</v>
      </c>
      <c r="E48" s="326">
        <f t="shared" si="74"/>
        <v>57782.7756</v>
      </c>
      <c r="F48" s="326">
        <f t="shared" si="74"/>
        <v>58938.43111</v>
      </c>
      <c r="G48" s="326">
        <f t="shared" si="74"/>
        <v>60117.19973</v>
      </c>
      <c r="H48" s="326">
        <f t="shared" si="74"/>
        <v>61319.54373</v>
      </c>
      <c r="I48" s="326">
        <f t="shared" si="74"/>
        <v>62545.9346</v>
      </c>
      <c r="J48" s="326">
        <f t="shared" si="74"/>
        <v>63796.8533</v>
      </c>
      <c r="K48" s="326">
        <f t="shared" si="74"/>
        <v>65072.79036</v>
      </c>
      <c r="L48" s="326">
        <f t="shared" si="74"/>
        <v>66374.24617</v>
      </c>
      <c r="M48" s="326">
        <f t="shared" si="74"/>
        <v>67701.73109</v>
      </c>
      <c r="N48" s="325">
        <f t="shared" si="13"/>
        <v>730288.2857</v>
      </c>
      <c r="O48" s="326">
        <f t="shared" si="61"/>
        <v>69055.76571</v>
      </c>
      <c r="P48" s="326">
        <f t="shared" ref="P48:Z48" si="75">O48*1.02</f>
        <v>70436.88103</v>
      </c>
      <c r="Q48" s="326">
        <f t="shared" si="75"/>
        <v>71845.61865</v>
      </c>
      <c r="R48" s="326">
        <f t="shared" si="75"/>
        <v>73282.53102</v>
      </c>
      <c r="S48" s="326">
        <f t="shared" si="75"/>
        <v>74748.18164</v>
      </c>
      <c r="T48" s="326">
        <f t="shared" si="75"/>
        <v>76243.14528</v>
      </c>
      <c r="U48" s="326">
        <f t="shared" si="75"/>
        <v>77768.00818</v>
      </c>
      <c r="V48" s="326">
        <f t="shared" si="75"/>
        <v>79323.36834</v>
      </c>
      <c r="W48" s="326">
        <f t="shared" si="75"/>
        <v>80909.83571</v>
      </c>
      <c r="X48" s="326">
        <f t="shared" si="75"/>
        <v>82528.03243</v>
      </c>
      <c r="Y48" s="326">
        <f t="shared" si="75"/>
        <v>84178.59307</v>
      </c>
      <c r="Z48" s="326">
        <f t="shared" si="75"/>
        <v>85862.16494</v>
      </c>
      <c r="AA48" s="325">
        <f t="shared" si="15"/>
        <v>926182.126</v>
      </c>
      <c r="AB48" s="326">
        <f t="shared" si="63"/>
        <v>87579.40823</v>
      </c>
      <c r="AC48" s="326">
        <f t="shared" ref="AC48:AM48" si="76">AB48*1.02</f>
        <v>89330.9964</v>
      </c>
      <c r="AD48" s="326">
        <f t="shared" si="76"/>
        <v>91117.61633</v>
      </c>
      <c r="AE48" s="326">
        <f t="shared" si="76"/>
        <v>92939.96865</v>
      </c>
      <c r="AF48" s="326">
        <f t="shared" si="76"/>
        <v>94798.76803</v>
      </c>
      <c r="AG48" s="326">
        <f t="shared" si="76"/>
        <v>96694.74339</v>
      </c>
      <c r="AH48" s="326">
        <f t="shared" si="76"/>
        <v>98628.63825</v>
      </c>
      <c r="AI48" s="326">
        <f t="shared" si="76"/>
        <v>100601.211</v>
      </c>
      <c r="AJ48" s="326">
        <f t="shared" si="76"/>
        <v>102613.2352</v>
      </c>
      <c r="AK48" s="326">
        <f t="shared" si="76"/>
        <v>104665.4999</v>
      </c>
      <c r="AL48" s="326">
        <f t="shared" si="76"/>
        <v>106758.8099</v>
      </c>
      <c r="AM48" s="326">
        <f t="shared" si="76"/>
        <v>108893.9861</v>
      </c>
      <c r="AN48" s="325">
        <f t="shared" si="18"/>
        <v>1174622.882</v>
      </c>
    </row>
    <row r="49" ht="26.25" customHeight="1">
      <c r="A49" s="338" t="s">
        <v>733</v>
      </c>
      <c r="B49" s="339">
        <f>43000*7</f>
        <v>301000</v>
      </c>
      <c r="C49" s="339">
        <v>0.0</v>
      </c>
      <c r="D49" s="339">
        <v>0.0</v>
      </c>
      <c r="E49" s="339">
        <v>0.0</v>
      </c>
      <c r="F49" s="339">
        <v>0.0</v>
      </c>
      <c r="G49" s="339">
        <v>0.0</v>
      </c>
      <c r="H49" s="339">
        <v>0.0</v>
      </c>
      <c r="I49" s="339">
        <v>0.0</v>
      </c>
      <c r="J49" s="339">
        <v>0.0</v>
      </c>
      <c r="K49" s="339">
        <v>0.0</v>
      </c>
      <c r="L49" s="339">
        <v>0.0</v>
      </c>
      <c r="M49" s="339">
        <v>0.0</v>
      </c>
      <c r="N49" s="325">
        <f t="shared" si="13"/>
        <v>301000</v>
      </c>
      <c r="O49" s="326">
        <f t="shared" ref="O49:O52" si="77">B49*(1+$B$1)^12</f>
        <v>381740.7802</v>
      </c>
      <c r="P49" s="339">
        <v>0.0</v>
      </c>
      <c r="Q49" s="339">
        <v>0.0</v>
      </c>
      <c r="R49" s="339">
        <v>0.0</v>
      </c>
      <c r="S49" s="339">
        <v>0.0</v>
      </c>
      <c r="T49" s="339">
        <v>0.0</v>
      </c>
      <c r="U49" s="339">
        <v>0.0</v>
      </c>
      <c r="V49" s="339">
        <v>0.0</v>
      </c>
      <c r="W49" s="339">
        <v>0.0</v>
      </c>
      <c r="X49" s="339">
        <v>0.0</v>
      </c>
      <c r="Y49" s="339">
        <v>0.0</v>
      </c>
      <c r="Z49" s="339">
        <v>0.0</v>
      </c>
      <c r="AA49" s="325">
        <f t="shared" si="15"/>
        <v>381740.7802</v>
      </c>
      <c r="AB49" s="339">
        <f t="shared" ref="AB49:AB52" si="78">B49*(1+$B$1)^24</f>
        <v>484139.6121</v>
      </c>
      <c r="AC49" s="339">
        <v>0.0</v>
      </c>
      <c r="AD49" s="339">
        <v>0.0</v>
      </c>
      <c r="AE49" s="339">
        <v>0.0</v>
      </c>
      <c r="AF49" s="339">
        <v>0.0</v>
      </c>
      <c r="AG49" s="339">
        <v>0.0</v>
      </c>
      <c r="AH49" s="339">
        <v>0.0</v>
      </c>
      <c r="AI49" s="339">
        <v>0.0</v>
      </c>
      <c r="AJ49" s="339">
        <v>0.0</v>
      </c>
      <c r="AK49" s="339">
        <v>0.0</v>
      </c>
      <c r="AL49" s="339">
        <v>0.0</v>
      </c>
      <c r="AM49" s="339">
        <v>0.0</v>
      </c>
      <c r="AN49" s="325">
        <f t="shared" si="18"/>
        <v>484139.6121</v>
      </c>
    </row>
    <row r="50" ht="26.25" customHeight="1">
      <c r="A50" s="338" t="s">
        <v>734</v>
      </c>
      <c r="B50" s="339">
        <v>48000.0</v>
      </c>
      <c r="C50" s="339">
        <v>0.0</v>
      </c>
      <c r="D50" s="339">
        <v>0.0</v>
      </c>
      <c r="E50" s="339">
        <v>0.0</v>
      </c>
      <c r="F50" s="339">
        <v>0.0</v>
      </c>
      <c r="G50" s="339">
        <v>0.0</v>
      </c>
      <c r="H50" s="339">
        <v>0.0</v>
      </c>
      <c r="I50" s="339">
        <v>0.0</v>
      </c>
      <c r="J50" s="339">
        <v>0.0</v>
      </c>
      <c r="K50" s="339">
        <v>0.0</v>
      </c>
      <c r="L50" s="339">
        <v>0.0</v>
      </c>
      <c r="M50" s="339">
        <v>0.0</v>
      </c>
      <c r="N50" s="325">
        <f t="shared" si="13"/>
        <v>48000</v>
      </c>
      <c r="O50" s="326">
        <f t="shared" si="77"/>
        <v>60875.60614</v>
      </c>
      <c r="P50" s="339">
        <v>0.0</v>
      </c>
      <c r="Q50" s="339">
        <v>0.0</v>
      </c>
      <c r="R50" s="339">
        <v>0.0</v>
      </c>
      <c r="S50" s="339">
        <v>0.0</v>
      </c>
      <c r="T50" s="339">
        <v>0.0</v>
      </c>
      <c r="U50" s="339">
        <v>0.0</v>
      </c>
      <c r="V50" s="339">
        <v>0.0</v>
      </c>
      <c r="W50" s="339">
        <v>0.0</v>
      </c>
      <c r="X50" s="339">
        <v>0.0</v>
      </c>
      <c r="Y50" s="339">
        <v>0.0</v>
      </c>
      <c r="Z50" s="339">
        <v>0.0</v>
      </c>
      <c r="AA50" s="325">
        <f t="shared" si="15"/>
        <v>60875.60614</v>
      </c>
      <c r="AB50" s="339">
        <f t="shared" si="78"/>
        <v>77204.98797</v>
      </c>
      <c r="AC50" s="339">
        <v>0.0</v>
      </c>
      <c r="AD50" s="339">
        <v>0.0</v>
      </c>
      <c r="AE50" s="339">
        <v>0.0</v>
      </c>
      <c r="AF50" s="339">
        <v>0.0</v>
      </c>
      <c r="AG50" s="339">
        <v>0.0</v>
      </c>
      <c r="AH50" s="339">
        <v>0.0</v>
      </c>
      <c r="AI50" s="339">
        <v>0.0</v>
      </c>
      <c r="AJ50" s="339">
        <v>0.0</v>
      </c>
      <c r="AK50" s="339">
        <v>0.0</v>
      </c>
      <c r="AL50" s="339">
        <v>0.0</v>
      </c>
      <c r="AM50" s="339">
        <v>0.0</v>
      </c>
      <c r="AN50" s="325">
        <f t="shared" si="18"/>
        <v>77204.98797</v>
      </c>
    </row>
    <row r="51" ht="26.25" customHeight="1">
      <c r="A51" s="338" t="s">
        <v>735</v>
      </c>
      <c r="B51" s="339">
        <f>25990*3</f>
        <v>77970</v>
      </c>
      <c r="C51" s="339">
        <v>0.0</v>
      </c>
      <c r="D51" s="339">
        <v>0.0</v>
      </c>
      <c r="E51" s="339">
        <v>0.0</v>
      </c>
      <c r="F51" s="339">
        <v>0.0</v>
      </c>
      <c r="G51" s="339">
        <v>0.0</v>
      </c>
      <c r="H51" s="339">
        <v>0.0</v>
      </c>
      <c r="I51" s="339">
        <v>0.0</v>
      </c>
      <c r="J51" s="339">
        <v>0.0</v>
      </c>
      <c r="K51" s="339">
        <v>0.0</v>
      </c>
      <c r="L51" s="339">
        <v>0.0</v>
      </c>
      <c r="M51" s="339">
        <v>0.0</v>
      </c>
      <c r="N51" s="325">
        <f t="shared" si="13"/>
        <v>77970</v>
      </c>
      <c r="O51" s="326">
        <f t="shared" si="77"/>
        <v>98884.81272</v>
      </c>
      <c r="P51" s="339">
        <v>0.0</v>
      </c>
      <c r="Q51" s="339">
        <v>0.0</v>
      </c>
      <c r="R51" s="339">
        <v>0.0</v>
      </c>
      <c r="S51" s="339">
        <v>0.0</v>
      </c>
      <c r="T51" s="339">
        <v>0.0</v>
      </c>
      <c r="U51" s="339">
        <v>0.0</v>
      </c>
      <c r="V51" s="339">
        <v>0.0</v>
      </c>
      <c r="W51" s="339">
        <v>0.0</v>
      </c>
      <c r="X51" s="339">
        <v>0.0</v>
      </c>
      <c r="Y51" s="339">
        <v>0.0</v>
      </c>
      <c r="Z51" s="339">
        <v>0.0</v>
      </c>
      <c r="AA51" s="325">
        <f t="shared" si="15"/>
        <v>98884.81272</v>
      </c>
      <c r="AB51" s="326">
        <f t="shared" si="78"/>
        <v>125409.8523</v>
      </c>
      <c r="AC51" s="339">
        <v>0.0</v>
      </c>
      <c r="AD51" s="339">
        <v>0.0</v>
      </c>
      <c r="AE51" s="339">
        <v>0.0</v>
      </c>
      <c r="AF51" s="339">
        <v>0.0</v>
      </c>
      <c r="AG51" s="339">
        <v>0.0</v>
      </c>
      <c r="AH51" s="339">
        <v>0.0</v>
      </c>
      <c r="AI51" s="339">
        <v>0.0</v>
      </c>
      <c r="AJ51" s="339">
        <v>0.0</v>
      </c>
      <c r="AK51" s="339">
        <v>0.0</v>
      </c>
      <c r="AL51" s="339">
        <v>0.0</v>
      </c>
      <c r="AM51" s="339">
        <v>0.0</v>
      </c>
      <c r="AN51" s="325">
        <f t="shared" si="18"/>
        <v>125409.8523</v>
      </c>
    </row>
    <row r="52" ht="26.25" customHeight="1">
      <c r="A52" s="322" t="s">
        <v>736</v>
      </c>
      <c r="B52" s="339">
        <v>8500.0</v>
      </c>
      <c r="C52" s="339">
        <v>0.0</v>
      </c>
      <c r="D52" s="339">
        <v>0.0</v>
      </c>
      <c r="E52" s="339">
        <v>0.0</v>
      </c>
      <c r="F52" s="339">
        <v>0.0</v>
      </c>
      <c r="G52" s="339">
        <v>0.0</v>
      </c>
      <c r="H52" s="339">
        <v>0.0</v>
      </c>
      <c r="I52" s="339">
        <v>0.0</v>
      </c>
      <c r="J52" s="339">
        <v>0.0</v>
      </c>
      <c r="K52" s="339">
        <v>0.0</v>
      </c>
      <c r="L52" s="339">
        <v>0.0</v>
      </c>
      <c r="M52" s="339">
        <v>0.0</v>
      </c>
      <c r="N52" s="325">
        <f t="shared" si="13"/>
        <v>8500</v>
      </c>
      <c r="O52" s="326">
        <f t="shared" si="77"/>
        <v>10780.05525</v>
      </c>
      <c r="P52" s="339">
        <v>0.0</v>
      </c>
      <c r="Q52" s="339">
        <v>0.0</v>
      </c>
      <c r="R52" s="339">
        <v>0.0</v>
      </c>
      <c r="S52" s="339">
        <v>0.0</v>
      </c>
      <c r="T52" s="339">
        <v>0.0</v>
      </c>
      <c r="U52" s="339">
        <v>0.0</v>
      </c>
      <c r="V52" s="339">
        <v>0.0</v>
      </c>
      <c r="W52" s="339">
        <v>0.0</v>
      </c>
      <c r="X52" s="339">
        <v>0.0</v>
      </c>
      <c r="Y52" s="339">
        <v>0.0</v>
      </c>
      <c r="Z52" s="339">
        <v>0.0</v>
      </c>
      <c r="AA52" s="325">
        <f t="shared" si="15"/>
        <v>10780.05525</v>
      </c>
      <c r="AB52" s="326">
        <f t="shared" si="78"/>
        <v>13671.71662</v>
      </c>
      <c r="AC52" s="339">
        <v>0.0</v>
      </c>
      <c r="AD52" s="339">
        <v>0.0</v>
      </c>
      <c r="AE52" s="339">
        <v>0.0</v>
      </c>
      <c r="AF52" s="339">
        <v>0.0</v>
      </c>
      <c r="AG52" s="339">
        <v>0.0</v>
      </c>
      <c r="AH52" s="339">
        <v>0.0</v>
      </c>
      <c r="AI52" s="339">
        <v>0.0</v>
      </c>
      <c r="AJ52" s="339">
        <v>0.0</v>
      </c>
      <c r="AK52" s="339">
        <v>0.0</v>
      </c>
      <c r="AL52" s="339">
        <v>0.0</v>
      </c>
      <c r="AM52" s="339">
        <v>0.0</v>
      </c>
      <c r="AN52" s="325">
        <f t="shared" si="18"/>
        <v>13671.71662</v>
      </c>
    </row>
    <row r="53" ht="26.25" customHeight="1">
      <c r="A53" s="338" t="s">
        <v>737</v>
      </c>
      <c r="B53" s="339">
        <f>(11.2*3)*'6.1 Detalle de inversión de equ'!C2</f>
        <v>48720</v>
      </c>
      <c r="C53" s="326">
        <f t="shared" ref="C53:M53" si="79">B53*1.02</f>
        <v>49694.4</v>
      </c>
      <c r="D53" s="326">
        <f t="shared" si="79"/>
        <v>50688.288</v>
      </c>
      <c r="E53" s="326">
        <f t="shared" si="79"/>
        <v>51702.05376</v>
      </c>
      <c r="F53" s="326">
        <f t="shared" si="79"/>
        <v>52736.09484</v>
      </c>
      <c r="G53" s="326">
        <f t="shared" si="79"/>
        <v>53790.81673</v>
      </c>
      <c r="H53" s="326">
        <f t="shared" si="79"/>
        <v>54866.63307</v>
      </c>
      <c r="I53" s="326">
        <f t="shared" si="79"/>
        <v>55963.96573</v>
      </c>
      <c r="J53" s="326">
        <f t="shared" si="79"/>
        <v>57083.24504</v>
      </c>
      <c r="K53" s="326">
        <f t="shared" si="79"/>
        <v>58224.90994</v>
      </c>
      <c r="L53" s="326">
        <f t="shared" si="79"/>
        <v>59389.40814</v>
      </c>
      <c r="M53" s="326">
        <f t="shared" si="79"/>
        <v>60577.1963</v>
      </c>
      <c r="N53" s="325">
        <f t="shared" si="13"/>
        <v>653437.0116</v>
      </c>
      <c r="O53" s="326">
        <f t="shared" ref="O53:O54" si="83">M53*1.02</f>
        <v>61788.74023</v>
      </c>
      <c r="P53" s="326">
        <f t="shared" ref="P53:Z53" si="80">O53*1.02</f>
        <v>63024.51504</v>
      </c>
      <c r="Q53" s="326">
        <f t="shared" si="80"/>
        <v>64285.00534</v>
      </c>
      <c r="R53" s="326">
        <f t="shared" si="80"/>
        <v>65570.70544</v>
      </c>
      <c r="S53" s="326">
        <f t="shared" si="80"/>
        <v>66882.11955</v>
      </c>
      <c r="T53" s="326">
        <f t="shared" si="80"/>
        <v>68219.76194</v>
      </c>
      <c r="U53" s="326">
        <f t="shared" si="80"/>
        <v>69584.15718</v>
      </c>
      <c r="V53" s="326">
        <f t="shared" si="80"/>
        <v>70975.84033</v>
      </c>
      <c r="W53" s="326">
        <f t="shared" si="80"/>
        <v>72395.35713</v>
      </c>
      <c r="X53" s="326">
        <f t="shared" si="80"/>
        <v>73843.26427</v>
      </c>
      <c r="Y53" s="326">
        <f t="shared" si="80"/>
        <v>75320.12956</v>
      </c>
      <c r="Z53" s="326">
        <f t="shared" si="80"/>
        <v>76826.53215</v>
      </c>
      <c r="AA53" s="325">
        <f t="shared" si="15"/>
        <v>828716.1282</v>
      </c>
      <c r="AB53" s="326">
        <f t="shared" ref="AB53:AB54" si="85">Z53*1.02</f>
        <v>78363.06279</v>
      </c>
      <c r="AC53" s="326">
        <f t="shared" ref="AC53:AM53" si="81">AB53*1.02</f>
        <v>79930.32405</v>
      </c>
      <c r="AD53" s="326">
        <f t="shared" si="81"/>
        <v>81528.93053</v>
      </c>
      <c r="AE53" s="326">
        <f t="shared" si="81"/>
        <v>83159.50914</v>
      </c>
      <c r="AF53" s="326">
        <f t="shared" si="81"/>
        <v>84822.69932</v>
      </c>
      <c r="AG53" s="326">
        <f t="shared" si="81"/>
        <v>86519.15331</v>
      </c>
      <c r="AH53" s="326">
        <f t="shared" si="81"/>
        <v>88249.53638</v>
      </c>
      <c r="AI53" s="326">
        <f t="shared" si="81"/>
        <v>90014.52711</v>
      </c>
      <c r="AJ53" s="326">
        <f t="shared" si="81"/>
        <v>91814.81765</v>
      </c>
      <c r="AK53" s="326">
        <f t="shared" si="81"/>
        <v>93651.114</v>
      </c>
      <c r="AL53" s="326">
        <f t="shared" si="81"/>
        <v>95524.13628</v>
      </c>
      <c r="AM53" s="326">
        <f t="shared" si="81"/>
        <v>97434.61901</v>
      </c>
      <c r="AN53" s="325">
        <f t="shared" si="18"/>
        <v>1051012.43</v>
      </c>
    </row>
    <row r="54" ht="26.25" customHeight="1">
      <c r="A54" s="322" t="s">
        <v>738</v>
      </c>
      <c r="B54" s="339">
        <v>160000.0</v>
      </c>
      <c r="C54" s="326">
        <f t="shared" ref="C54:M54" si="82">B54*1.02</f>
        <v>163200</v>
      </c>
      <c r="D54" s="326">
        <f t="shared" si="82"/>
        <v>166464</v>
      </c>
      <c r="E54" s="326">
        <f t="shared" si="82"/>
        <v>169793.28</v>
      </c>
      <c r="F54" s="326">
        <f t="shared" si="82"/>
        <v>173189.1456</v>
      </c>
      <c r="G54" s="326">
        <f t="shared" si="82"/>
        <v>176652.9285</v>
      </c>
      <c r="H54" s="326">
        <f t="shared" si="82"/>
        <v>180185.9871</v>
      </c>
      <c r="I54" s="326">
        <f t="shared" si="82"/>
        <v>183789.7068</v>
      </c>
      <c r="J54" s="326">
        <f t="shared" si="82"/>
        <v>187465.501</v>
      </c>
      <c r="K54" s="326">
        <f t="shared" si="82"/>
        <v>191214.811</v>
      </c>
      <c r="L54" s="326">
        <f t="shared" si="82"/>
        <v>195039.1072</v>
      </c>
      <c r="M54" s="326">
        <f t="shared" si="82"/>
        <v>198939.8893</v>
      </c>
      <c r="N54" s="325">
        <f t="shared" si="13"/>
        <v>2145934.357</v>
      </c>
      <c r="O54" s="326">
        <f t="shared" si="83"/>
        <v>202918.6871</v>
      </c>
      <c r="P54" s="326">
        <f t="shared" ref="P54:Z54" si="84">O54*1.02</f>
        <v>206977.0609</v>
      </c>
      <c r="Q54" s="326">
        <f t="shared" si="84"/>
        <v>211116.6021</v>
      </c>
      <c r="R54" s="326">
        <f t="shared" si="84"/>
        <v>215338.9341</v>
      </c>
      <c r="S54" s="326">
        <f t="shared" si="84"/>
        <v>219645.7128</v>
      </c>
      <c r="T54" s="326">
        <f t="shared" si="84"/>
        <v>224038.6271</v>
      </c>
      <c r="U54" s="326">
        <f t="shared" si="84"/>
        <v>228519.3996</v>
      </c>
      <c r="V54" s="326">
        <f t="shared" si="84"/>
        <v>233089.7876</v>
      </c>
      <c r="W54" s="326">
        <f t="shared" si="84"/>
        <v>237751.5834</v>
      </c>
      <c r="X54" s="326">
        <f t="shared" si="84"/>
        <v>242506.615</v>
      </c>
      <c r="Y54" s="326">
        <f t="shared" si="84"/>
        <v>247356.7473</v>
      </c>
      <c r="Z54" s="326">
        <f t="shared" si="84"/>
        <v>252303.8823</v>
      </c>
      <c r="AA54" s="325">
        <f t="shared" si="15"/>
        <v>2721563.639</v>
      </c>
      <c r="AB54" s="326">
        <f t="shared" si="85"/>
        <v>257349.9599</v>
      </c>
      <c r="AC54" s="326">
        <f t="shared" ref="AC54:AM54" si="86">AB54*1.02</f>
        <v>262496.9591</v>
      </c>
      <c r="AD54" s="326">
        <f t="shared" si="86"/>
        <v>267746.8983</v>
      </c>
      <c r="AE54" s="326">
        <f t="shared" si="86"/>
        <v>273101.8363</v>
      </c>
      <c r="AF54" s="326">
        <f t="shared" si="86"/>
        <v>278563.873</v>
      </c>
      <c r="AG54" s="326">
        <f t="shared" si="86"/>
        <v>284135.1504</v>
      </c>
      <c r="AH54" s="326">
        <f t="shared" si="86"/>
        <v>289817.8535</v>
      </c>
      <c r="AI54" s="326">
        <f t="shared" si="86"/>
        <v>295614.2105</v>
      </c>
      <c r="AJ54" s="326">
        <f t="shared" si="86"/>
        <v>301526.4947</v>
      </c>
      <c r="AK54" s="326">
        <f t="shared" si="86"/>
        <v>307557.0246</v>
      </c>
      <c r="AL54" s="326">
        <f t="shared" si="86"/>
        <v>313708.1651</v>
      </c>
      <c r="AM54" s="326">
        <f t="shared" si="86"/>
        <v>319982.3284</v>
      </c>
      <c r="AN54" s="325">
        <f t="shared" si="18"/>
        <v>3451600.754</v>
      </c>
    </row>
    <row r="55" ht="26.25" customHeight="1">
      <c r="A55" s="65" t="s">
        <v>739</v>
      </c>
      <c r="B55" s="339">
        <v>2000000.0</v>
      </c>
      <c r="C55" s="339">
        <v>2000000.0</v>
      </c>
      <c r="D55" s="339">
        <v>2000000.0</v>
      </c>
      <c r="E55" s="339">
        <v>2000000.0</v>
      </c>
      <c r="F55" s="339">
        <v>2000000.0</v>
      </c>
      <c r="G55" s="339">
        <v>2000000.0</v>
      </c>
      <c r="H55" s="339">
        <v>2000000.0</v>
      </c>
      <c r="I55" s="339">
        <v>2000000.0</v>
      </c>
      <c r="J55" s="339">
        <v>2000000.0</v>
      </c>
      <c r="K55" s="339">
        <v>2000000.0</v>
      </c>
      <c r="L55" s="339">
        <v>2000000.0</v>
      </c>
      <c r="M55" s="339">
        <v>2000000.0</v>
      </c>
      <c r="N55" s="325">
        <f t="shared" si="13"/>
        <v>24000000</v>
      </c>
      <c r="O55" s="341">
        <v>8000000.0</v>
      </c>
      <c r="P55" s="341">
        <v>8000000.0</v>
      </c>
      <c r="Q55" s="341">
        <v>8000000.0</v>
      </c>
      <c r="R55" s="341">
        <v>8000000.0</v>
      </c>
      <c r="S55" s="341">
        <v>8000000.0</v>
      </c>
      <c r="T55" s="341">
        <v>8000000.0</v>
      </c>
      <c r="U55" s="341">
        <v>8000000.0</v>
      </c>
      <c r="V55" s="341">
        <v>8000000.0</v>
      </c>
      <c r="W55" s="341">
        <v>8000000.0</v>
      </c>
      <c r="X55" s="341">
        <v>8000000.0</v>
      </c>
      <c r="Y55" s="341">
        <v>8000000.0</v>
      </c>
      <c r="Z55" s="341">
        <v>8000000.0</v>
      </c>
      <c r="AA55" s="325">
        <f t="shared" si="15"/>
        <v>96000000</v>
      </c>
      <c r="AB55" s="339">
        <v>1.2E7</v>
      </c>
      <c r="AC55" s="339">
        <v>1.2E7</v>
      </c>
      <c r="AD55" s="339">
        <v>1.2E7</v>
      </c>
      <c r="AE55" s="339">
        <v>1.2E7</v>
      </c>
      <c r="AF55" s="339">
        <v>1.2E7</v>
      </c>
      <c r="AG55" s="339">
        <v>1.2E7</v>
      </c>
      <c r="AH55" s="339">
        <v>1.2E7</v>
      </c>
      <c r="AI55" s="339">
        <v>1.2E7</v>
      </c>
      <c r="AJ55" s="339">
        <v>1.2E7</v>
      </c>
      <c r="AK55" s="339">
        <v>1.2E7</v>
      </c>
      <c r="AL55" s="339">
        <v>1.2E7</v>
      </c>
      <c r="AM55" s="339">
        <v>1.2E7</v>
      </c>
      <c r="AN55" s="325">
        <f t="shared" si="18"/>
        <v>144000000</v>
      </c>
    </row>
    <row r="56" ht="26.25" customHeight="1">
      <c r="A56" s="336" t="s">
        <v>740</v>
      </c>
      <c r="B56" s="326">
        <f>'6.2.1 Detalle devolución présta'!F3</f>
        <v>0</v>
      </c>
      <c r="C56" s="326">
        <f>'6.2.1 Detalle devolución présta'!F4</f>
        <v>0</v>
      </c>
      <c r="D56" s="326">
        <f>'6.2.1 Detalle devolución présta'!F5</f>
        <v>0</v>
      </c>
      <c r="E56" s="326">
        <f>'6.2.1 Detalle devolución présta'!F6</f>
        <v>0</v>
      </c>
      <c r="F56" s="326">
        <f>'6.2.1 Detalle devolución présta'!F7</f>
        <v>0</v>
      </c>
      <c r="G56" s="326">
        <f>'6.2.1 Detalle devolución présta'!F8</f>
        <v>0</v>
      </c>
      <c r="H56" s="326">
        <f>'6.2.1 Detalle devolución présta'!F9</f>
        <v>2230389.52</v>
      </c>
      <c r="I56" s="326">
        <f>'6.2.1 Detalle devolución présta'!F10</f>
        <v>2256410.731</v>
      </c>
      <c r="J56" s="326">
        <f>'6.2.1 Detalle devolución présta'!F11</f>
        <v>2282735.523</v>
      </c>
      <c r="K56" s="326">
        <f>'6.2.1 Detalle devolución présta'!F12</f>
        <v>2309367.437</v>
      </c>
      <c r="L56" s="326">
        <f>'6.2.1 Detalle devolución présta'!F13</f>
        <v>2336310.058</v>
      </c>
      <c r="M56" s="326">
        <f>'6.2.1 Detalle devolución présta'!F14</f>
        <v>2363567.008</v>
      </c>
      <c r="N56" s="325">
        <f t="shared" si="13"/>
        <v>13778780.28</v>
      </c>
      <c r="O56" s="326">
        <f>'6.2.1 Detalle devolución présta'!F15</f>
        <v>2391141.957</v>
      </c>
      <c r="P56" s="326">
        <f>'6.2.1 Detalle devolución présta'!F16</f>
        <v>2419038.613</v>
      </c>
      <c r="Q56" s="326">
        <f>'6.2.1 Detalle devolución présta'!F17</f>
        <v>2447260.73</v>
      </c>
      <c r="R56" s="326">
        <f>'6.2.1 Detalle devolución présta'!F18</f>
        <v>2475812.105</v>
      </c>
      <c r="S56" s="326">
        <f>'6.2.1 Detalle devolución présta'!F19</f>
        <v>2504696.58</v>
      </c>
      <c r="T56" s="326">
        <f>'6.2.1 Detalle devolución présta'!F20</f>
        <v>2533918.04</v>
      </c>
      <c r="U56" s="326">
        <f>'6.2.1 Detalle devolución présta'!F21</f>
        <v>2563480.417</v>
      </c>
      <c r="V56" s="326">
        <f>'6.2.1 Detalle devolución présta'!F22</f>
        <v>2593387.689</v>
      </c>
      <c r="W56" s="326">
        <f>'6.2.1 Detalle devolución présta'!F23</f>
        <v>2623643.878</v>
      </c>
      <c r="X56" s="326">
        <f>'6.2.1 Detalle devolución présta'!F24</f>
        <v>2654253.057</v>
      </c>
      <c r="Y56" s="326">
        <f>'6.2.1 Detalle devolución présta'!F25</f>
        <v>2685219.342</v>
      </c>
      <c r="Z56" s="326">
        <f>'6.2.1 Detalle devolución présta'!F26</f>
        <v>2716546.901</v>
      </c>
      <c r="AA56" s="325">
        <f t="shared" si="15"/>
        <v>30608399.31</v>
      </c>
      <c r="AB56" s="326">
        <f>'6.2.1 Detalle devolución présta'!F27</f>
        <v>2748239.949</v>
      </c>
      <c r="AC56" s="326">
        <f>'6.2.1 Detalle devolución présta'!F28</f>
        <v>2780302.748</v>
      </c>
      <c r="AD56" s="326">
        <f>'6.2.1 Detalle devolución présta'!F29</f>
        <v>2812739.613</v>
      </c>
      <c r="AE56" s="326">
        <f>'6.2.1 Detalle devolución présta'!F30</f>
        <v>2845554.909</v>
      </c>
      <c r="AF56" s="326">
        <f>'6.2.1 Detalle devolución présta'!F31</f>
        <v>2878753.05</v>
      </c>
      <c r="AG56" s="326">
        <f>'6.2.1 Detalle devolución présta'!F32</f>
        <v>2912338.502</v>
      </c>
      <c r="AH56" s="326">
        <f>'6.2.1 Detalle devolución présta'!F33</f>
        <v>2946315.784</v>
      </c>
      <c r="AI56" s="326">
        <f>'6.2.1 Detalle devolución présta'!F34</f>
        <v>2980689.468</v>
      </c>
      <c r="AJ56" s="326">
        <f>'6.2.1 Detalle devolución présta'!F35</f>
        <v>3015464.179</v>
      </c>
      <c r="AK56" s="326">
        <f>'6.2.1 Detalle devolución présta'!F36</f>
        <v>3050644.594</v>
      </c>
      <c r="AL56" s="326">
        <f>'6.2.1 Detalle devolución présta'!F37</f>
        <v>3086235.448</v>
      </c>
      <c r="AM56" s="326">
        <f>'6.2.1 Detalle devolución présta'!F38</f>
        <v>3122241.528</v>
      </c>
      <c r="AN56" s="325">
        <f t="shared" si="18"/>
        <v>35179519.77</v>
      </c>
    </row>
    <row r="57" ht="26.25" customHeight="1">
      <c r="A57" s="336" t="s">
        <v>741</v>
      </c>
      <c r="B57" s="326">
        <f>'6.2.1 Detalle devolución présta'!G3</f>
        <v>1400000</v>
      </c>
      <c r="C57" s="326">
        <f>'6.2.1 Detalle devolución présta'!G4</f>
        <v>1400000</v>
      </c>
      <c r="D57" s="326">
        <f>'6.2.1 Detalle devolución présta'!G5</f>
        <v>1400000</v>
      </c>
      <c r="E57" s="326">
        <f>'6.2.1 Detalle devolución présta'!G6</f>
        <v>1400000</v>
      </c>
      <c r="F57" s="326">
        <f>'6.2.1 Detalle devolución présta'!G7</f>
        <v>1400000</v>
      </c>
      <c r="G57" s="326">
        <f>'6.2.1 Detalle devolución présta'!G8</f>
        <v>1400000</v>
      </c>
      <c r="H57" s="326">
        <f>'6.2.1 Detalle devolución présta'!G9</f>
        <v>1400000</v>
      </c>
      <c r="I57" s="326">
        <f>'6.2.1 Detalle devolución présta'!G10</f>
        <v>1373978.789</v>
      </c>
      <c r="J57" s="326">
        <f>'6.2.1 Detalle devolución présta'!G11</f>
        <v>1347653.997</v>
      </c>
      <c r="K57" s="326">
        <f>'6.2.1 Detalle devolución présta'!G12</f>
        <v>1321022.083</v>
      </c>
      <c r="L57" s="326">
        <f>'6.2.1 Detalle devolución présta'!G13</f>
        <v>1294079.463</v>
      </c>
      <c r="M57" s="326">
        <f>'6.2.1 Detalle devolución présta'!G14</f>
        <v>1266822.512</v>
      </c>
      <c r="N57" s="325">
        <f t="shared" si="13"/>
        <v>16403556.84</v>
      </c>
      <c r="O57" s="326">
        <f>'6.2.1 Detalle devolución présta'!G15</f>
        <v>1239247.563</v>
      </c>
      <c r="P57" s="326">
        <f>'6.2.1 Detalle devolución présta'!G16</f>
        <v>1211350.907</v>
      </c>
      <c r="Q57" s="326">
        <f>'6.2.1 Detalle devolución présta'!G17</f>
        <v>1183128.79</v>
      </c>
      <c r="R57" s="326">
        <f>'6.2.1 Detalle devolución présta'!G18</f>
        <v>1154577.415</v>
      </c>
      <c r="S57" s="326">
        <f>'6.2.1 Detalle devolución présta'!G19</f>
        <v>1125692.94</v>
      </c>
      <c r="T57" s="326">
        <f>'6.2.1 Detalle devolución présta'!G20</f>
        <v>1096471.48</v>
      </c>
      <c r="U57" s="326">
        <f>'6.2.1 Detalle devolución présta'!G21</f>
        <v>1066909.103</v>
      </c>
      <c r="V57" s="326">
        <f>'6.2.1 Detalle devolución présta'!G22</f>
        <v>1037001.832</v>
      </c>
      <c r="W57" s="326">
        <f>'6.2.1 Detalle devolución présta'!G23</f>
        <v>1006745.642</v>
      </c>
      <c r="X57" s="326">
        <f>'6.2.1 Detalle devolución présta'!G24</f>
        <v>976136.4633</v>
      </c>
      <c r="Y57" s="326">
        <f>'6.2.1 Detalle devolución présta'!G25</f>
        <v>945170.1777</v>
      </c>
      <c r="Z57" s="326">
        <f>'6.2.1 Detalle devolución présta'!G26</f>
        <v>913842.6187</v>
      </c>
      <c r="AA57" s="325">
        <f t="shared" si="15"/>
        <v>12956274.93</v>
      </c>
      <c r="AB57" s="326">
        <f>'6.2.1 Detalle devolución présta'!G27</f>
        <v>882149.5715</v>
      </c>
      <c r="AC57" s="326">
        <f>'6.2.1 Detalle devolución présta'!G28</f>
        <v>850086.7721</v>
      </c>
      <c r="AD57" s="326">
        <f>'6.2.1 Detalle devolución présta'!G29</f>
        <v>817649.9067</v>
      </c>
      <c r="AE57" s="326">
        <f>'6.2.1 Detalle devolución présta'!G30</f>
        <v>784834.6112</v>
      </c>
      <c r="AF57" s="326">
        <f>'6.2.1 Detalle devolución présta'!G31</f>
        <v>751636.4706</v>
      </c>
      <c r="AG57" s="326">
        <f>'6.2.1 Detalle devolución présta'!G32</f>
        <v>718051.0184</v>
      </c>
      <c r="AH57" s="326">
        <f>'6.2.1 Detalle devolución présta'!G33</f>
        <v>684073.7358</v>
      </c>
      <c r="AI57" s="326">
        <f>'6.2.1 Detalle devolución présta'!G34</f>
        <v>649700.0517</v>
      </c>
      <c r="AJ57" s="326">
        <f>'6.2.1 Detalle devolución présta'!G35</f>
        <v>614925.3412</v>
      </c>
      <c r="AK57" s="326">
        <f>'6.2.1 Detalle devolución présta'!G36</f>
        <v>579744.9258</v>
      </c>
      <c r="AL57" s="326">
        <f>'6.2.1 Detalle devolución présta'!G37</f>
        <v>544154.0722</v>
      </c>
      <c r="AM57" s="326">
        <f>'6.2.1 Detalle devolución présta'!G38</f>
        <v>508147.992</v>
      </c>
      <c r="AN57" s="325">
        <f t="shared" si="18"/>
        <v>8385154.469</v>
      </c>
    </row>
    <row r="58" ht="26.25" customHeight="1">
      <c r="A58" s="322" t="s">
        <v>742</v>
      </c>
      <c r="B58" s="339">
        <v>0.0</v>
      </c>
      <c r="C58" s="339">
        <v>0.0</v>
      </c>
      <c r="D58" s="339">
        <v>0.0</v>
      </c>
      <c r="E58" s="339">
        <v>0.0</v>
      </c>
      <c r="F58" s="339">
        <v>0.0</v>
      </c>
      <c r="G58" s="339">
        <v>0.0</v>
      </c>
      <c r="H58" s="339">
        <v>0.0</v>
      </c>
      <c r="I58" s="339">
        <v>0.0</v>
      </c>
      <c r="J58" s="339">
        <v>0.0</v>
      </c>
      <c r="K58" s="339">
        <v>0.0</v>
      </c>
      <c r="L58" s="339">
        <v>0.0</v>
      </c>
      <c r="M58" s="339">
        <v>0.0</v>
      </c>
      <c r="N58" s="325">
        <f t="shared" si="13"/>
        <v>0</v>
      </c>
      <c r="O58" s="326">
        <f>36517.8+(36517.8*26.82%)</f>
        <v>46311.87396</v>
      </c>
      <c r="P58" s="326">
        <f t="shared" ref="P58:Z58" si="87">O58+O58*0.02</f>
        <v>47238.11144</v>
      </c>
      <c r="Q58" s="326">
        <f t="shared" si="87"/>
        <v>48182.87367</v>
      </c>
      <c r="R58" s="326">
        <f t="shared" si="87"/>
        <v>49146.53114</v>
      </c>
      <c r="S58" s="326">
        <f t="shared" si="87"/>
        <v>50129.46176</v>
      </c>
      <c r="T58" s="326">
        <f t="shared" si="87"/>
        <v>51132.051</v>
      </c>
      <c r="U58" s="326">
        <f t="shared" si="87"/>
        <v>52154.69202</v>
      </c>
      <c r="V58" s="326">
        <f t="shared" si="87"/>
        <v>53197.78586</v>
      </c>
      <c r="W58" s="326">
        <f t="shared" si="87"/>
        <v>54261.74158</v>
      </c>
      <c r="X58" s="326">
        <f t="shared" si="87"/>
        <v>55346.97641</v>
      </c>
      <c r="Y58" s="326">
        <f t="shared" si="87"/>
        <v>56453.91594</v>
      </c>
      <c r="Z58" s="326">
        <f t="shared" si="87"/>
        <v>57582.99426</v>
      </c>
      <c r="AA58" s="325">
        <f t="shared" si="15"/>
        <v>621139.009</v>
      </c>
      <c r="AB58" s="326">
        <f>Z58+Z58*0.02</f>
        <v>58734.65414</v>
      </c>
      <c r="AC58" s="326">
        <f t="shared" ref="AC58:AM58" si="88">AB58+AB58*0.02</f>
        <v>59909.34722</v>
      </c>
      <c r="AD58" s="326">
        <f t="shared" si="88"/>
        <v>61107.53417</v>
      </c>
      <c r="AE58" s="326">
        <f t="shared" si="88"/>
        <v>62329.68485</v>
      </c>
      <c r="AF58" s="326">
        <f t="shared" si="88"/>
        <v>63576.27855</v>
      </c>
      <c r="AG58" s="326">
        <f t="shared" si="88"/>
        <v>64847.80412</v>
      </c>
      <c r="AH58" s="326">
        <f t="shared" si="88"/>
        <v>66144.7602</v>
      </c>
      <c r="AI58" s="326">
        <f t="shared" si="88"/>
        <v>67467.65541</v>
      </c>
      <c r="AJ58" s="326">
        <f t="shared" si="88"/>
        <v>68817.00851</v>
      </c>
      <c r="AK58" s="326">
        <f t="shared" si="88"/>
        <v>70193.34868</v>
      </c>
      <c r="AL58" s="326">
        <f t="shared" si="88"/>
        <v>71597.21566</v>
      </c>
      <c r="AM58" s="326">
        <f t="shared" si="88"/>
        <v>73029.15997</v>
      </c>
      <c r="AN58" s="325">
        <f t="shared" si="18"/>
        <v>787754.4515</v>
      </c>
    </row>
    <row r="59" ht="36.0" customHeight="1">
      <c r="A59" s="336" t="s">
        <v>743</v>
      </c>
      <c r="B59" s="326">
        <f t="shared" ref="B59:M59" si="89">B12*0.02</f>
        <v>687308.1</v>
      </c>
      <c r="C59" s="326">
        <f t="shared" si="89"/>
        <v>948491.37</v>
      </c>
      <c r="D59" s="326">
        <f t="shared" si="89"/>
        <v>773666.6094</v>
      </c>
      <c r="E59" s="326">
        <f t="shared" si="89"/>
        <v>1021695.408</v>
      </c>
      <c r="F59" s="326">
        <f t="shared" si="89"/>
        <v>843598.3701</v>
      </c>
      <c r="G59" s="326">
        <f t="shared" si="89"/>
        <v>707830.9038</v>
      </c>
      <c r="H59" s="326">
        <f t="shared" si="89"/>
        <v>1925783.578</v>
      </c>
      <c r="I59" s="326">
        <f t="shared" si="89"/>
        <v>2044608.896</v>
      </c>
      <c r="J59" s="326">
        <f t="shared" si="89"/>
        <v>1184080.593</v>
      </c>
      <c r="K59" s="326">
        <f t="shared" si="89"/>
        <v>1405688.258</v>
      </c>
      <c r="L59" s="326">
        <f t="shared" si="89"/>
        <v>1374735.287</v>
      </c>
      <c r="M59" s="326">
        <f t="shared" si="89"/>
        <v>1761924.348</v>
      </c>
      <c r="N59" s="325">
        <f t="shared" si="13"/>
        <v>14679411.72</v>
      </c>
      <c r="O59" s="326">
        <f t="shared" ref="O59:Z59" si="90">O12*0.02</f>
        <v>2726719.994</v>
      </c>
      <c r="P59" s="326">
        <f t="shared" si="90"/>
        <v>2462214.659</v>
      </c>
      <c r="Q59" s="326">
        <f t="shared" si="90"/>
        <v>2030895.423</v>
      </c>
      <c r="R59" s="326">
        <f t="shared" si="90"/>
        <v>2126698.54</v>
      </c>
      <c r="S59" s="326">
        <f t="shared" si="90"/>
        <v>1166643.26</v>
      </c>
      <c r="T59" s="326">
        <f t="shared" si="90"/>
        <v>1123991.528</v>
      </c>
      <c r="U59" s="326">
        <f t="shared" si="90"/>
        <v>3094603.478</v>
      </c>
      <c r="V59" s="326">
        <f t="shared" si="90"/>
        <v>3385334.805</v>
      </c>
      <c r="W59" s="326">
        <f t="shared" si="90"/>
        <v>1927372.744</v>
      </c>
      <c r="X59" s="326">
        <f t="shared" si="90"/>
        <v>2260754.226</v>
      </c>
      <c r="Y59" s="326">
        <f t="shared" si="90"/>
        <v>2212718.985</v>
      </c>
      <c r="Z59" s="326">
        <f t="shared" si="90"/>
        <v>2453559.133</v>
      </c>
      <c r="AA59" s="325">
        <f t="shared" si="15"/>
        <v>26971506.77</v>
      </c>
      <c r="AB59" s="326">
        <f t="shared" ref="AB59:AM59" si="91">AB12*0.02</f>
        <v>3919977.398</v>
      </c>
      <c r="AC59" s="326">
        <f t="shared" si="91"/>
        <v>3542677.461</v>
      </c>
      <c r="AD59" s="326">
        <f t="shared" si="91"/>
        <v>2914948.082</v>
      </c>
      <c r="AE59" s="326">
        <f t="shared" si="91"/>
        <v>3007876.096</v>
      </c>
      <c r="AF59" s="326">
        <f t="shared" si="91"/>
        <v>1935798.947</v>
      </c>
      <c r="AG59" s="326">
        <f t="shared" si="91"/>
        <v>1864458.895</v>
      </c>
      <c r="AH59" s="326">
        <f t="shared" si="91"/>
        <v>4216646.224</v>
      </c>
      <c r="AI59" s="326">
        <f t="shared" si="91"/>
        <v>4718268.452</v>
      </c>
      <c r="AJ59" s="326">
        <f t="shared" si="91"/>
        <v>2115711.95</v>
      </c>
      <c r="AK59" s="326">
        <f t="shared" si="91"/>
        <v>3242494.705</v>
      </c>
      <c r="AL59" s="326">
        <f t="shared" si="91"/>
        <v>3167909.505</v>
      </c>
      <c r="AM59" s="326">
        <f t="shared" si="91"/>
        <v>3463151.162</v>
      </c>
      <c r="AN59" s="325">
        <f t="shared" si="18"/>
        <v>38109918.88</v>
      </c>
    </row>
    <row r="60" ht="36.0" customHeight="1">
      <c r="A60" s="336" t="s">
        <v>744</v>
      </c>
      <c r="B60" s="326">
        <f t="shared" ref="B60:M60" si="92">B12*0.03</f>
        <v>1030962.15</v>
      </c>
      <c r="C60" s="326">
        <f t="shared" si="92"/>
        <v>1422737.055</v>
      </c>
      <c r="D60" s="326">
        <f t="shared" si="92"/>
        <v>1160499.914</v>
      </c>
      <c r="E60" s="326">
        <f t="shared" si="92"/>
        <v>1532543.111</v>
      </c>
      <c r="F60" s="326">
        <f t="shared" si="92"/>
        <v>1265397.555</v>
      </c>
      <c r="G60" s="326">
        <f t="shared" si="92"/>
        <v>1061746.356</v>
      </c>
      <c r="H60" s="326">
        <f t="shared" si="92"/>
        <v>2888675.368</v>
      </c>
      <c r="I60" s="326">
        <f t="shared" si="92"/>
        <v>3066913.344</v>
      </c>
      <c r="J60" s="326">
        <f t="shared" si="92"/>
        <v>1776120.89</v>
      </c>
      <c r="K60" s="326">
        <f t="shared" si="92"/>
        <v>2108532.387</v>
      </c>
      <c r="L60" s="326">
        <f t="shared" si="92"/>
        <v>2062102.931</v>
      </c>
      <c r="M60" s="326">
        <f t="shared" si="92"/>
        <v>2642886.523</v>
      </c>
      <c r="N60" s="325">
        <f t="shared" si="13"/>
        <v>22019117.58</v>
      </c>
      <c r="O60" s="326">
        <f t="shared" ref="O60:Z60" si="93">O12*0.03</f>
        <v>4090079.991</v>
      </c>
      <c r="P60" s="326">
        <f t="shared" si="93"/>
        <v>3693321.989</v>
      </c>
      <c r="Q60" s="326">
        <f t="shared" si="93"/>
        <v>3046343.134</v>
      </c>
      <c r="R60" s="326">
        <f t="shared" si="93"/>
        <v>3190047.81</v>
      </c>
      <c r="S60" s="326">
        <f t="shared" si="93"/>
        <v>1749964.89</v>
      </c>
      <c r="T60" s="326">
        <f t="shared" si="93"/>
        <v>1685987.291</v>
      </c>
      <c r="U60" s="326">
        <f t="shared" si="93"/>
        <v>4641905.216</v>
      </c>
      <c r="V60" s="326">
        <f t="shared" si="93"/>
        <v>5078002.207</v>
      </c>
      <c r="W60" s="326">
        <f t="shared" si="93"/>
        <v>2891059.116</v>
      </c>
      <c r="X60" s="326">
        <f t="shared" si="93"/>
        <v>3391131.339</v>
      </c>
      <c r="Y60" s="326">
        <f t="shared" si="93"/>
        <v>3319078.478</v>
      </c>
      <c r="Z60" s="326">
        <f t="shared" si="93"/>
        <v>3680338.699</v>
      </c>
      <c r="AA60" s="325">
        <f t="shared" si="15"/>
        <v>40457260.16</v>
      </c>
      <c r="AB60" s="326">
        <f t="shared" ref="AB60:AM60" si="94">AB12*0.03</f>
        <v>5879966.096</v>
      </c>
      <c r="AC60" s="326">
        <f t="shared" si="94"/>
        <v>5314016.192</v>
      </c>
      <c r="AD60" s="326">
        <f t="shared" si="94"/>
        <v>4372422.124</v>
      </c>
      <c r="AE60" s="326">
        <f t="shared" si="94"/>
        <v>4511814.144</v>
      </c>
      <c r="AF60" s="326">
        <f t="shared" si="94"/>
        <v>2903698.42</v>
      </c>
      <c r="AG60" s="326">
        <f t="shared" si="94"/>
        <v>2796688.342</v>
      </c>
      <c r="AH60" s="326">
        <f t="shared" si="94"/>
        <v>6324969.336</v>
      </c>
      <c r="AI60" s="326">
        <f t="shared" si="94"/>
        <v>7077402.678</v>
      </c>
      <c r="AJ60" s="326">
        <f t="shared" si="94"/>
        <v>3173567.925</v>
      </c>
      <c r="AK60" s="326">
        <f t="shared" si="94"/>
        <v>4863742.058</v>
      </c>
      <c r="AL60" s="326">
        <f t="shared" si="94"/>
        <v>4751864.257</v>
      </c>
      <c r="AM60" s="326">
        <f t="shared" si="94"/>
        <v>5194726.743</v>
      </c>
      <c r="AN60" s="325">
        <f t="shared" si="18"/>
        <v>57164878.31</v>
      </c>
    </row>
    <row r="61" ht="36.0" customHeight="1">
      <c r="A61" s="336" t="s">
        <v>745</v>
      </c>
      <c r="B61" s="326">
        <f t="shared" ref="B61:M61" si="95">SUM(B14:B60)*0.006</f>
        <v>290830.9924</v>
      </c>
      <c r="C61" s="326">
        <f t="shared" si="95"/>
        <v>305781.6262</v>
      </c>
      <c r="D61" s="326">
        <f t="shared" si="95"/>
        <v>288816.9682</v>
      </c>
      <c r="E61" s="326">
        <f t="shared" si="95"/>
        <v>333145.6761</v>
      </c>
      <c r="F61" s="326">
        <f t="shared" si="95"/>
        <v>321099.0221</v>
      </c>
      <c r="G61" s="326">
        <f t="shared" si="95"/>
        <v>304368.7139</v>
      </c>
      <c r="H61" s="326">
        <f t="shared" si="95"/>
        <v>451244.3251</v>
      </c>
      <c r="I61" s="326">
        <f t="shared" si="95"/>
        <v>487824.7457</v>
      </c>
      <c r="J61" s="326">
        <f t="shared" si="95"/>
        <v>408801.2553</v>
      </c>
      <c r="K61" s="326">
        <f t="shared" si="95"/>
        <v>435928.5898</v>
      </c>
      <c r="L61" s="326">
        <f t="shared" si="95"/>
        <v>442329.3319</v>
      </c>
      <c r="M61" s="326">
        <f t="shared" si="95"/>
        <v>486658.0483</v>
      </c>
      <c r="N61" s="325">
        <f t="shared" si="13"/>
        <v>4556829.295</v>
      </c>
      <c r="O61" s="326">
        <f t="shared" ref="O61:Z61" si="96">SUM(O14:O60)*0.006</f>
        <v>586419.2834</v>
      </c>
      <c r="P61" s="326">
        <f t="shared" si="96"/>
        <v>579339.9813</v>
      </c>
      <c r="Q61" s="326">
        <f t="shared" si="96"/>
        <v>524948.7374</v>
      </c>
      <c r="R61" s="326">
        <f t="shared" si="96"/>
        <v>554205.0968</v>
      </c>
      <c r="S61" s="326">
        <f t="shared" si="96"/>
        <v>452430.6117</v>
      </c>
      <c r="T61" s="326">
        <f t="shared" si="96"/>
        <v>453950.7963</v>
      </c>
      <c r="U61" s="326">
        <f t="shared" si="96"/>
        <v>664336.9794</v>
      </c>
      <c r="V61" s="326">
        <f t="shared" si="96"/>
        <v>726444.9928</v>
      </c>
      <c r="W61" s="326">
        <f t="shared" si="96"/>
        <v>584813.4526</v>
      </c>
      <c r="X61" s="326">
        <f t="shared" si="96"/>
        <v>624711.3684</v>
      </c>
      <c r="Y61" s="326">
        <f t="shared" si="96"/>
        <v>633583.4777</v>
      </c>
      <c r="Z61" s="326">
        <f t="shared" si="96"/>
        <v>666104.5357</v>
      </c>
      <c r="AA61" s="325">
        <f t="shared" si="15"/>
        <v>7051289.313</v>
      </c>
      <c r="AB61" s="326">
        <f t="shared" ref="AB61:AM61" si="97">SUM(AB14:AB60)*0.006</f>
        <v>803687.2882</v>
      </c>
      <c r="AC61" s="326">
        <f t="shared" si="97"/>
        <v>795275.1253</v>
      </c>
      <c r="AD61" s="326">
        <f t="shared" si="97"/>
        <v>707816.6786</v>
      </c>
      <c r="AE61" s="326">
        <f t="shared" si="97"/>
        <v>738380.0327</v>
      </c>
      <c r="AF61" s="326">
        <f t="shared" si="97"/>
        <v>710060.6297</v>
      </c>
      <c r="AG61" s="326">
        <f t="shared" si="97"/>
        <v>627889.5669</v>
      </c>
      <c r="AH61" s="326">
        <f t="shared" si="97"/>
        <v>810404.9624</v>
      </c>
      <c r="AI61" s="326">
        <f t="shared" si="97"/>
        <v>967258.9561</v>
      </c>
      <c r="AJ61" s="326">
        <f t="shared" si="97"/>
        <v>853242.3512</v>
      </c>
      <c r="AK61" s="326">
        <f t="shared" si="97"/>
        <v>820505.0498</v>
      </c>
      <c r="AL61" s="326">
        <f t="shared" si="97"/>
        <v>855600.5631</v>
      </c>
      <c r="AM61" s="326">
        <f t="shared" si="97"/>
        <v>876908.1645</v>
      </c>
      <c r="AN61" s="325">
        <f t="shared" si="18"/>
        <v>9567029.368</v>
      </c>
    </row>
    <row r="62" ht="36.0" customHeight="1">
      <c r="A62" s="336" t="s">
        <v>746</v>
      </c>
      <c r="B62" s="326">
        <f t="shared" ref="B62:M62" si="98">B12*0.006</f>
        <v>206192.43</v>
      </c>
      <c r="C62" s="326">
        <f t="shared" si="98"/>
        <v>284547.411</v>
      </c>
      <c r="D62" s="326">
        <f t="shared" si="98"/>
        <v>232099.9828</v>
      </c>
      <c r="E62" s="326">
        <f t="shared" si="98"/>
        <v>306508.6223</v>
      </c>
      <c r="F62" s="326">
        <f t="shared" si="98"/>
        <v>253079.511</v>
      </c>
      <c r="G62" s="326">
        <f t="shared" si="98"/>
        <v>212349.2712</v>
      </c>
      <c r="H62" s="326">
        <f t="shared" si="98"/>
        <v>577735.0735</v>
      </c>
      <c r="I62" s="326">
        <f t="shared" si="98"/>
        <v>613382.6688</v>
      </c>
      <c r="J62" s="326">
        <f t="shared" si="98"/>
        <v>355224.1779</v>
      </c>
      <c r="K62" s="326">
        <f t="shared" si="98"/>
        <v>421706.4774</v>
      </c>
      <c r="L62" s="326">
        <f t="shared" si="98"/>
        <v>412420.5861</v>
      </c>
      <c r="M62" s="326">
        <f t="shared" si="98"/>
        <v>528577.3045</v>
      </c>
      <c r="N62" s="325">
        <f t="shared" si="13"/>
        <v>4403823.517</v>
      </c>
      <c r="O62" s="326">
        <f t="shared" ref="O62:Z62" si="99">O12*0.006</f>
        <v>818015.9981</v>
      </c>
      <c r="P62" s="326">
        <f t="shared" si="99"/>
        <v>738664.3978</v>
      </c>
      <c r="Q62" s="326">
        <f t="shared" si="99"/>
        <v>609268.6268</v>
      </c>
      <c r="R62" s="326">
        <f t="shared" si="99"/>
        <v>638009.562</v>
      </c>
      <c r="S62" s="326">
        <f t="shared" si="99"/>
        <v>349992.9781</v>
      </c>
      <c r="T62" s="326">
        <f t="shared" si="99"/>
        <v>337197.4583</v>
      </c>
      <c r="U62" s="326">
        <f t="shared" si="99"/>
        <v>928381.0433</v>
      </c>
      <c r="V62" s="326">
        <f t="shared" si="99"/>
        <v>1015600.441</v>
      </c>
      <c r="W62" s="326">
        <f t="shared" si="99"/>
        <v>578211.8232</v>
      </c>
      <c r="X62" s="326">
        <f t="shared" si="99"/>
        <v>678226.2678</v>
      </c>
      <c r="Y62" s="326">
        <f t="shared" si="99"/>
        <v>663815.6956</v>
      </c>
      <c r="Z62" s="326">
        <f t="shared" si="99"/>
        <v>736067.7399</v>
      </c>
      <c r="AA62" s="325">
        <f t="shared" si="15"/>
        <v>8091452.032</v>
      </c>
      <c r="AB62" s="326">
        <f t="shared" ref="AB62:AM62" si="100">SUM(AB15:AB61)*0.006</f>
        <v>676199.0164</v>
      </c>
      <c r="AC62" s="326">
        <f t="shared" si="100"/>
        <v>665090.1726</v>
      </c>
      <c r="AD62" s="326">
        <f t="shared" si="100"/>
        <v>574407.8431</v>
      </c>
      <c r="AE62" s="326">
        <f t="shared" si="100"/>
        <v>602401.4626</v>
      </c>
      <c r="AF62" s="326">
        <f t="shared" si="100"/>
        <v>571103.9662</v>
      </c>
      <c r="AG62" s="326">
        <f t="shared" si="100"/>
        <v>485575.5365</v>
      </c>
      <c r="AH62" s="326">
        <f t="shared" si="100"/>
        <v>666264.397</v>
      </c>
      <c r="AI62" s="326">
        <f t="shared" si="100"/>
        <v>821079.4547</v>
      </c>
      <c r="AJ62" s="326">
        <f t="shared" si="100"/>
        <v>703339.0892</v>
      </c>
      <c r="AK62" s="326">
        <f t="shared" si="100"/>
        <v>667304.9096</v>
      </c>
      <c r="AL62" s="326">
        <f t="shared" si="100"/>
        <v>699448.5326</v>
      </c>
      <c r="AM62" s="326">
        <f t="shared" si="100"/>
        <v>717658.2669</v>
      </c>
      <c r="AN62" s="325">
        <f t="shared" si="18"/>
        <v>7849872.647</v>
      </c>
    </row>
    <row r="63" ht="26.25" customHeight="1">
      <c r="A63" s="333" t="s">
        <v>747</v>
      </c>
      <c r="B63" s="334">
        <f t="shared" ref="B63:M63" si="101">SUM(B14:B62)</f>
        <v>48968855.49</v>
      </c>
      <c r="C63" s="334">
        <f t="shared" si="101"/>
        <v>51553933.4</v>
      </c>
      <c r="D63" s="334">
        <f t="shared" si="101"/>
        <v>48657078.32</v>
      </c>
      <c r="E63" s="334">
        <f t="shared" si="101"/>
        <v>56163933.65</v>
      </c>
      <c r="F63" s="334">
        <f t="shared" si="101"/>
        <v>54090682.21</v>
      </c>
      <c r="G63" s="334">
        <f t="shared" si="101"/>
        <v>51244836.97</v>
      </c>
      <c r="H63" s="334">
        <f t="shared" si="101"/>
        <v>76236366.92</v>
      </c>
      <c r="I63" s="334">
        <f t="shared" si="101"/>
        <v>82405331.7</v>
      </c>
      <c r="J63" s="334">
        <f t="shared" si="101"/>
        <v>68897567.98</v>
      </c>
      <c r="K63" s="334">
        <f t="shared" si="101"/>
        <v>73512400.04</v>
      </c>
      <c r="L63" s="334">
        <f t="shared" si="101"/>
        <v>74576305.24</v>
      </c>
      <c r="M63" s="334">
        <f t="shared" si="101"/>
        <v>82124910.07</v>
      </c>
      <c r="N63" s="335">
        <f t="shared" si="13"/>
        <v>768432202</v>
      </c>
      <c r="O63" s="334">
        <f t="shared" ref="O63:Z63" si="102">SUM(O14:O62)</f>
        <v>99140982.52</v>
      </c>
      <c r="P63" s="334">
        <f t="shared" si="102"/>
        <v>97874667.94</v>
      </c>
      <c r="Q63" s="334">
        <f t="shared" si="102"/>
        <v>88625673.6</v>
      </c>
      <c r="R63" s="334">
        <f t="shared" si="102"/>
        <v>93559730.79</v>
      </c>
      <c r="S63" s="334">
        <f t="shared" si="102"/>
        <v>76207525.53</v>
      </c>
      <c r="T63" s="334">
        <f t="shared" si="102"/>
        <v>76449614.31</v>
      </c>
      <c r="U63" s="334">
        <f t="shared" si="102"/>
        <v>112315547.9</v>
      </c>
      <c r="V63" s="334">
        <f t="shared" si="102"/>
        <v>122816210.9</v>
      </c>
      <c r="W63" s="334">
        <f t="shared" si="102"/>
        <v>98631934.04</v>
      </c>
      <c r="X63" s="334">
        <f t="shared" si="102"/>
        <v>105421499</v>
      </c>
      <c r="Y63" s="334">
        <f t="shared" si="102"/>
        <v>106894645.5</v>
      </c>
      <c r="Z63" s="334">
        <f t="shared" si="102"/>
        <v>112419594.9</v>
      </c>
      <c r="AA63" s="335">
        <f t="shared" si="15"/>
        <v>1190357627</v>
      </c>
      <c r="AB63" s="334">
        <f t="shared" ref="AB63:AM63" si="103">SUM(AB14:AB62)</f>
        <v>135427767.7</v>
      </c>
      <c r="AC63" s="334">
        <f t="shared" si="103"/>
        <v>134006219.5</v>
      </c>
      <c r="AD63" s="334">
        <f t="shared" si="103"/>
        <v>119251670.9</v>
      </c>
      <c r="AE63" s="334">
        <f t="shared" si="103"/>
        <v>124404120.3</v>
      </c>
      <c r="AF63" s="334">
        <f t="shared" si="103"/>
        <v>119624602.9</v>
      </c>
      <c r="AG63" s="334">
        <f t="shared" si="103"/>
        <v>105761726.3</v>
      </c>
      <c r="AH63" s="334">
        <f t="shared" si="103"/>
        <v>136544163.1</v>
      </c>
      <c r="AI63" s="334">
        <f t="shared" si="103"/>
        <v>162998164.4</v>
      </c>
      <c r="AJ63" s="334">
        <f t="shared" si="103"/>
        <v>143763640</v>
      </c>
      <c r="AK63" s="334">
        <f t="shared" si="103"/>
        <v>138238651.6</v>
      </c>
      <c r="AL63" s="334">
        <f t="shared" si="103"/>
        <v>144155142.9</v>
      </c>
      <c r="AM63" s="334">
        <f t="shared" si="103"/>
        <v>147745927.2</v>
      </c>
      <c r="AN63" s="325">
        <f t="shared" si="18"/>
        <v>1611921797</v>
      </c>
    </row>
    <row r="64" ht="26.25" customHeight="1">
      <c r="A64" s="322" t="s">
        <v>748</v>
      </c>
      <c r="B64" s="326">
        <f>(B12-B4)-B63</f>
        <v>-14603450.49</v>
      </c>
      <c r="C64" s="326">
        <f t="shared" ref="C64:M64" si="104">C12-C63</f>
        <v>-4129364.9</v>
      </c>
      <c r="D64" s="326">
        <f t="shared" si="104"/>
        <v>-9973747.848</v>
      </c>
      <c r="E64" s="326">
        <f t="shared" si="104"/>
        <v>-5079163.274</v>
      </c>
      <c r="F64" s="326">
        <f t="shared" si="104"/>
        <v>-11910763.71</v>
      </c>
      <c r="G64" s="326">
        <f t="shared" si="104"/>
        <v>-15853291.78</v>
      </c>
      <c r="H64" s="326">
        <f t="shared" si="104"/>
        <v>20052812.01</v>
      </c>
      <c r="I64" s="326">
        <f t="shared" si="104"/>
        <v>19825113.1</v>
      </c>
      <c r="J64" s="326">
        <f t="shared" si="104"/>
        <v>-9693538.328</v>
      </c>
      <c r="K64" s="326">
        <f t="shared" si="104"/>
        <v>-3227987.144</v>
      </c>
      <c r="L64" s="326">
        <f t="shared" si="104"/>
        <v>-5839540.883</v>
      </c>
      <c r="M64" s="326">
        <f t="shared" si="104"/>
        <v>5971307.356</v>
      </c>
      <c r="N64" s="326">
        <f t="shared" si="13"/>
        <v>-34461615.9</v>
      </c>
      <c r="O64" s="326">
        <f t="shared" ref="O64:Z64" si="105">O12-O63</f>
        <v>37195017.17</v>
      </c>
      <c r="P64" s="326">
        <f t="shared" si="105"/>
        <v>25236065.04</v>
      </c>
      <c r="Q64" s="326">
        <f t="shared" si="105"/>
        <v>12919097.52</v>
      </c>
      <c r="R64" s="326">
        <f t="shared" si="105"/>
        <v>12775196.21</v>
      </c>
      <c r="S64" s="326">
        <f t="shared" si="105"/>
        <v>-17875362.52</v>
      </c>
      <c r="T64" s="326">
        <f t="shared" si="105"/>
        <v>-20250037.93</v>
      </c>
      <c r="U64" s="326">
        <f t="shared" si="105"/>
        <v>42414625.96</v>
      </c>
      <c r="V64" s="326">
        <f t="shared" si="105"/>
        <v>46450529.34</v>
      </c>
      <c r="W64" s="326">
        <f t="shared" si="105"/>
        <v>-2263296.841</v>
      </c>
      <c r="X64" s="326">
        <f t="shared" si="105"/>
        <v>7616212.269</v>
      </c>
      <c r="Y64" s="326">
        <f t="shared" si="105"/>
        <v>3741303.803</v>
      </c>
      <c r="Z64" s="326">
        <f t="shared" si="105"/>
        <v>10258361.75</v>
      </c>
      <c r="AA64" s="326">
        <f t="shared" si="15"/>
        <v>158217711.8</v>
      </c>
      <c r="AB64" s="326">
        <f t="shared" ref="AB64:AM64" si="106">AB12-AB63</f>
        <v>60571102.2</v>
      </c>
      <c r="AC64" s="326">
        <f t="shared" si="106"/>
        <v>43127653.55</v>
      </c>
      <c r="AD64" s="326">
        <f t="shared" si="106"/>
        <v>26495733.17</v>
      </c>
      <c r="AE64" s="326">
        <f t="shared" si="106"/>
        <v>25989684.51</v>
      </c>
      <c r="AF64" s="326">
        <f t="shared" si="106"/>
        <v>-22834655.55</v>
      </c>
      <c r="AG64" s="326">
        <f t="shared" si="106"/>
        <v>-12538781.52</v>
      </c>
      <c r="AH64" s="326">
        <f t="shared" si="106"/>
        <v>74288148.13</v>
      </c>
      <c r="AI64" s="326">
        <f t="shared" si="106"/>
        <v>72915258.17</v>
      </c>
      <c r="AJ64" s="326">
        <f t="shared" si="106"/>
        <v>-37978042.49</v>
      </c>
      <c r="AK64" s="326">
        <f t="shared" si="106"/>
        <v>23886083.68</v>
      </c>
      <c r="AL64" s="326">
        <f t="shared" si="106"/>
        <v>14240332.29</v>
      </c>
      <c r="AM64" s="326">
        <f t="shared" si="106"/>
        <v>25411630.91</v>
      </c>
      <c r="AN64" s="326">
        <f t="shared" si="18"/>
        <v>293574147.1</v>
      </c>
    </row>
    <row r="65" ht="26.25" customHeight="1">
      <c r="A65" s="336" t="s">
        <v>749</v>
      </c>
      <c r="B65" s="340">
        <f t="shared" ref="B65:M65" si="107">IF(B64&gt;0,B64*0.35,0)</f>
        <v>0</v>
      </c>
      <c r="C65" s="340">
        <f t="shared" si="107"/>
        <v>0</v>
      </c>
      <c r="D65" s="340">
        <f t="shared" si="107"/>
        <v>0</v>
      </c>
      <c r="E65" s="340">
        <f t="shared" si="107"/>
        <v>0</v>
      </c>
      <c r="F65" s="340">
        <f t="shared" si="107"/>
        <v>0</v>
      </c>
      <c r="G65" s="340">
        <f t="shared" si="107"/>
        <v>0</v>
      </c>
      <c r="H65" s="340">
        <f t="shared" si="107"/>
        <v>7018484.202</v>
      </c>
      <c r="I65" s="340">
        <f t="shared" si="107"/>
        <v>6938789.584</v>
      </c>
      <c r="J65" s="340">
        <f t="shared" si="107"/>
        <v>0</v>
      </c>
      <c r="K65" s="340">
        <f t="shared" si="107"/>
        <v>0</v>
      </c>
      <c r="L65" s="340">
        <f t="shared" si="107"/>
        <v>0</v>
      </c>
      <c r="M65" s="340">
        <f t="shared" si="107"/>
        <v>2089957.575</v>
      </c>
      <c r="N65" s="334">
        <f t="shared" si="13"/>
        <v>16047231.36</v>
      </c>
      <c r="O65" s="340">
        <f t="shared" ref="O65:Z65" si="108">IF(O64&gt;0,O64*0.35,0)</f>
        <v>13018256.01</v>
      </c>
      <c r="P65" s="340">
        <f t="shared" si="108"/>
        <v>8832622.763</v>
      </c>
      <c r="Q65" s="340">
        <f t="shared" si="108"/>
        <v>4521684.133</v>
      </c>
      <c r="R65" s="340">
        <f t="shared" si="108"/>
        <v>4471318.672</v>
      </c>
      <c r="S65" s="340">
        <f t="shared" si="108"/>
        <v>0</v>
      </c>
      <c r="T65" s="340">
        <f t="shared" si="108"/>
        <v>0</v>
      </c>
      <c r="U65" s="340">
        <f t="shared" si="108"/>
        <v>14845119.09</v>
      </c>
      <c r="V65" s="340">
        <f t="shared" si="108"/>
        <v>16257685.27</v>
      </c>
      <c r="W65" s="340">
        <f t="shared" si="108"/>
        <v>0</v>
      </c>
      <c r="X65" s="340">
        <f t="shared" si="108"/>
        <v>2665674.294</v>
      </c>
      <c r="Y65" s="340">
        <f t="shared" si="108"/>
        <v>1309456.331</v>
      </c>
      <c r="Z65" s="340">
        <f t="shared" si="108"/>
        <v>3590426.614</v>
      </c>
      <c r="AA65" s="334">
        <f t="shared" si="15"/>
        <v>69512243.17</v>
      </c>
      <c r="AB65" s="340">
        <f t="shared" ref="AB65:AM65" si="109">IF(AB64&gt;0,AB64*0.35,0)</f>
        <v>21199885.77</v>
      </c>
      <c r="AC65" s="340">
        <f t="shared" si="109"/>
        <v>15094678.74</v>
      </c>
      <c r="AD65" s="340">
        <f t="shared" si="109"/>
        <v>9273506.61</v>
      </c>
      <c r="AE65" s="340">
        <f t="shared" si="109"/>
        <v>9096389.58</v>
      </c>
      <c r="AF65" s="340">
        <f t="shared" si="109"/>
        <v>0</v>
      </c>
      <c r="AG65" s="340">
        <f t="shared" si="109"/>
        <v>0</v>
      </c>
      <c r="AH65" s="340">
        <f t="shared" si="109"/>
        <v>26000851.85</v>
      </c>
      <c r="AI65" s="340">
        <f t="shared" si="109"/>
        <v>25520340.36</v>
      </c>
      <c r="AJ65" s="340">
        <f t="shared" si="109"/>
        <v>0</v>
      </c>
      <c r="AK65" s="340">
        <f t="shared" si="109"/>
        <v>8360129.287</v>
      </c>
      <c r="AL65" s="340">
        <f t="shared" si="109"/>
        <v>4984116.301</v>
      </c>
      <c r="AM65" s="340">
        <f t="shared" si="109"/>
        <v>8894070.818</v>
      </c>
      <c r="AN65" s="334">
        <f t="shared" si="18"/>
        <v>128423969.3</v>
      </c>
    </row>
    <row r="66" ht="26.25" customHeight="1">
      <c r="A66" s="333" t="s">
        <v>750</v>
      </c>
      <c r="B66" s="334">
        <f t="shared" ref="B66:M66" si="110">B64-B65</f>
        <v>-14603450.49</v>
      </c>
      <c r="C66" s="334">
        <f t="shared" si="110"/>
        <v>-4129364.9</v>
      </c>
      <c r="D66" s="334">
        <f t="shared" si="110"/>
        <v>-9973747.848</v>
      </c>
      <c r="E66" s="334">
        <f t="shared" si="110"/>
        <v>-5079163.274</v>
      </c>
      <c r="F66" s="334">
        <f t="shared" si="110"/>
        <v>-11910763.71</v>
      </c>
      <c r="G66" s="334">
        <f t="shared" si="110"/>
        <v>-15853291.78</v>
      </c>
      <c r="H66" s="334">
        <f t="shared" si="110"/>
        <v>13034327.8</v>
      </c>
      <c r="I66" s="334">
        <f t="shared" si="110"/>
        <v>12886323.51</v>
      </c>
      <c r="J66" s="334">
        <f t="shared" si="110"/>
        <v>-9693538.328</v>
      </c>
      <c r="K66" s="334">
        <f t="shared" si="110"/>
        <v>-3227987.144</v>
      </c>
      <c r="L66" s="334">
        <f t="shared" si="110"/>
        <v>-5839540.883</v>
      </c>
      <c r="M66" s="334">
        <f t="shared" si="110"/>
        <v>3881349.781</v>
      </c>
      <c r="N66" s="334">
        <f t="shared" si="13"/>
        <v>-50508847.26</v>
      </c>
      <c r="O66" s="334">
        <f t="shared" ref="O66:Z66" si="111">O64-O65</f>
        <v>24176761.16</v>
      </c>
      <c r="P66" s="334">
        <f t="shared" si="111"/>
        <v>16403442.27</v>
      </c>
      <c r="Q66" s="334">
        <f t="shared" si="111"/>
        <v>8397413.39</v>
      </c>
      <c r="R66" s="334">
        <f t="shared" si="111"/>
        <v>8303877.534</v>
      </c>
      <c r="S66" s="334">
        <f t="shared" si="111"/>
        <v>-17875362.52</v>
      </c>
      <c r="T66" s="334">
        <f t="shared" si="111"/>
        <v>-20250037.93</v>
      </c>
      <c r="U66" s="334">
        <f t="shared" si="111"/>
        <v>27569506.87</v>
      </c>
      <c r="V66" s="334">
        <f t="shared" si="111"/>
        <v>30192844.07</v>
      </c>
      <c r="W66" s="334">
        <f t="shared" si="111"/>
        <v>-2263296.841</v>
      </c>
      <c r="X66" s="334">
        <f t="shared" si="111"/>
        <v>4950537.975</v>
      </c>
      <c r="Y66" s="334">
        <f t="shared" si="111"/>
        <v>2431847.472</v>
      </c>
      <c r="Z66" s="334">
        <f t="shared" si="111"/>
        <v>6667935.14</v>
      </c>
      <c r="AA66" s="334">
        <f t="shared" si="15"/>
        <v>88705468.6</v>
      </c>
      <c r="AB66" s="334">
        <f t="shared" ref="AB66:AM66" si="112">AB64-AB65</f>
        <v>39371216.43</v>
      </c>
      <c r="AC66" s="334">
        <f t="shared" si="112"/>
        <v>28032974.81</v>
      </c>
      <c r="AD66" s="334">
        <f t="shared" si="112"/>
        <v>17222226.56</v>
      </c>
      <c r="AE66" s="334">
        <f t="shared" si="112"/>
        <v>16893294.93</v>
      </c>
      <c r="AF66" s="334">
        <f t="shared" si="112"/>
        <v>-22834655.55</v>
      </c>
      <c r="AG66" s="334">
        <f t="shared" si="112"/>
        <v>-12538781.52</v>
      </c>
      <c r="AH66" s="334">
        <f t="shared" si="112"/>
        <v>48287296.29</v>
      </c>
      <c r="AI66" s="334">
        <f t="shared" si="112"/>
        <v>47394917.81</v>
      </c>
      <c r="AJ66" s="334">
        <f t="shared" si="112"/>
        <v>-37978042.49</v>
      </c>
      <c r="AK66" s="334">
        <f t="shared" si="112"/>
        <v>15525954.39</v>
      </c>
      <c r="AL66" s="334">
        <f t="shared" si="112"/>
        <v>9256215.988</v>
      </c>
      <c r="AM66" s="334">
        <f t="shared" si="112"/>
        <v>16517560.09</v>
      </c>
      <c r="AN66" s="334">
        <f t="shared" si="18"/>
        <v>165150177.7</v>
      </c>
    </row>
    <row r="67" ht="26.25" customHeight="1">
      <c r="A67" s="342" t="s">
        <v>751</v>
      </c>
      <c r="B67" s="343">
        <v>0.0</v>
      </c>
      <c r="C67" s="343">
        <v>0.0</v>
      </c>
      <c r="D67" s="343">
        <v>0.0</v>
      </c>
      <c r="E67" s="343">
        <v>0.0</v>
      </c>
      <c r="F67" s="343">
        <v>0.0</v>
      </c>
      <c r="G67" s="343">
        <v>0.0</v>
      </c>
      <c r="H67" s="344">
        <v>2000000.0</v>
      </c>
      <c r="I67" s="344">
        <v>2000000.0</v>
      </c>
      <c r="J67" s="343">
        <v>0.0</v>
      </c>
      <c r="K67" s="343">
        <v>0.0</v>
      </c>
      <c r="L67" s="343">
        <v>0.0</v>
      </c>
      <c r="M67" s="344">
        <v>3500000.0</v>
      </c>
      <c r="N67" s="341">
        <f t="shared" si="13"/>
        <v>7500000</v>
      </c>
      <c r="O67" s="344">
        <v>5000000.0</v>
      </c>
      <c r="P67" s="344">
        <v>5000000.0</v>
      </c>
      <c r="Q67" s="344">
        <v>5000000.0</v>
      </c>
      <c r="R67" s="344">
        <v>4500000.0</v>
      </c>
      <c r="S67" s="343">
        <v>0.0</v>
      </c>
      <c r="T67" s="343">
        <v>0.0</v>
      </c>
      <c r="U67" s="343">
        <v>2.5E7</v>
      </c>
      <c r="V67" s="343">
        <v>2.5E7</v>
      </c>
      <c r="W67" s="343">
        <v>0.0</v>
      </c>
      <c r="X67" s="343">
        <v>4500000.0</v>
      </c>
      <c r="Y67" s="343">
        <v>2400000.0</v>
      </c>
      <c r="Z67" s="343">
        <v>6000000.0</v>
      </c>
      <c r="AA67" s="341">
        <f t="shared" si="15"/>
        <v>82400000</v>
      </c>
      <c r="AB67" s="344">
        <v>2.5E7</v>
      </c>
      <c r="AC67" s="344">
        <v>2.5E7</v>
      </c>
      <c r="AD67" s="344">
        <v>1.4E7</v>
      </c>
      <c r="AE67" s="344">
        <v>8000000.0</v>
      </c>
      <c r="AF67" s="343">
        <v>0.0</v>
      </c>
      <c r="AG67" s="343">
        <v>0.0</v>
      </c>
      <c r="AH67" s="344">
        <v>2.7E7</v>
      </c>
      <c r="AI67" s="344">
        <v>2.7E7</v>
      </c>
      <c r="AJ67" s="343">
        <v>0.0</v>
      </c>
      <c r="AK67" s="344">
        <v>1.5E7</v>
      </c>
      <c r="AL67" s="344">
        <v>9000000.0</v>
      </c>
      <c r="AM67" s="344">
        <v>1.5E7</v>
      </c>
      <c r="AN67" s="341">
        <f t="shared" si="18"/>
        <v>165000000</v>
      </c>
    </row>
    <row r="68" ht="26.25" customHeight="1">
      <c r="A68" s="333" t="s">
        <v>752</v>
      </c>
      <c r="B68" s="334">
        <f t="shared" ref="B68:M68" si="113">B66-B67</f>
        <v>-14603450.49</v>
      </c>
      <c r="C68" s="334">
        <f t="shared" si="113"/>
        <v>-4129364.9</v>
      </c>
      <c r="D68" s="334">
        <f t="shared" si="113"/>
        <v>-9973747.848</v>
      </c>
      <c r="E68" s="334">
        <f t="shared" si="113"/>
        <v>-5079163.274</v>
      </c>
      <c r="F68" s="334">
        <f t="shared" si="113"/>
        <v>-11910763.71</v>
      </c>
      <c r="G68" s="334">
        <f t="shared" si="113"/>
        <v>-15853291.78</v>
      </c>
      <c r="H68" s="334">
        <f t="shared" si="113"/>
        <v>11034327.8</v>
      </c>
      <c r="I68" s="334">
        <f t="shared" si="113"/>
        <v>10886323.51</v>
      </c>
      <c r="J68" s="334">
        <f t="shared" si="113"/>
        <v>-9693538.328</v>
      </c>
      <c r="K68" s="334">
        <f t="shared" si="113"/>
        <v>-3227987.144</v>
      </c>
      <c r="L68" s="334">
        <f t="shared" si="113"/>
        <v>-5839540.883</v>
      </c>
      <c r="M68" s="334">
        <f t="shared" si="113"/>
        <v>381349.7813</v>
      </c>
      <c r="N68" s="334"/>
      <c r="O68" s="334">
        <f t="shared" ref="O68:Z68" si="114">O66-O67</f>
        <v>19176761.16</v>
      </c>
      <c r="P68" s="334">
        <f t="shared" si="114"/>
        <v>11403442.27</v>
      </c>
      <c r="Q68" s="334">
        <f t="shared" si="114"/>
        <v>3397413.39</v>
      </c>
      <c r="R68" s="334">
        <f t="shared" si="114"/>
        <v>3803877.534</v>
      </c>
      <c r="S68" s="334">
        <f t="shared" si="114"/>
        <v>-17875362.52</v>
      </c>
      <c r="T68" s="334">
        <f t="shared" si="114"/>
        <v>-20250037.93</v>
      </c>
      <c r="U68" s="334">
        <f t="shared" si="114"/>
        <v>2569506.873</v>
      </c>
      <c r="V68" s="334">
        <f t="shared" si="114"/>
        <v>5192844.069</v>
      </c>
      <c r="W68" s="334">
        <f t="shared" si="114"/>
        <v>-2263296.841</v>
      </c>
      <c r="X68" s="334">
        <f t="shared" si="114"/>
        <v>450537.9749</v>
      </c>
      <c r="Y68" s="334">
        <f t="shared" si="114"/>
        <v>31847.47192</v>
      </c>
      <c r="Z68" s="334">
        <f t="shared" si="114"/>
        <v>667935.1397</v>
      </c>
      <c r="AA68" s="334">
        <f t="shared" si="15"/>
        <v>6305468.596</v>
      </c>
      <c r="AB68" s="334">
        <f t="shared" ref="AB68:AM68" si="115">AB66-AB67</f>
        <v>14371216.43</v>
      </c>
      <c r="AC68" s="334">
        <f t="shared" si="115"/>
        <v>3032974.809</v>
      </c>
      <c r="AD68" s="334">
        <f t="shared" si="115"/>
        <v>3222226.562</v>
      </c>
      <c r="AE68" s="334">
        <f t="shared" si="115"/>
        <v>8893294.934</v>
      </c>
      <c r="AF68" s="334">
        <f t="shared" si="115"/>
        <v>-22834655.55</v>
      </c>
      <c r="AG68" s="334">
        <f t="shared" si="115"/>
        <v>-12538781.52</v>
      </c>
      <c r="AH68" s="334">
        <f t="shared" si="115"/>
        <v>21287296.29</v>
      </c>
      <c r="AI68" s="334">
        <f t="shared" si="115"/>
        <v>20394917.81</v>
      </c>
      <c r="AJ68" s="334">
        <f t="shared" si="115"/>
        <v>-37978042.49</v>
      </c>
      <c r="AK68" s="334">
        <f t="shared" si="115"/>
        <v>525954.3907</v>
      </c>
      <c r="AL68" s="334">
        <f t="shared" si="115"/>
        <v>256215.9877</v>
      </c>
      <c r="AM68" s="334">
        <f t="shared" si="115"/>
        <v>1517560.091</v>
      </c>
      <c r="AN68" s="334">
        <f t="shared" si="18"/>
        <v>150177.745</v>
      </c>
    </row>
    <row r="69" ht="26.25" customHeight="1">
      <c r="A69" s="333" t="s">
        <v>753</v>
      </c>
      <c r="B69" s="334">
        <f t="shared" ref="B69:AM69" si="116">B4+B68</f>
        <v>-14603450.49</v>
      </c>
      <c r="C69" s="334">
        <f t="shared" si="116"/>
        <v>-4129364.9</v>
      </c>
      <c r="D69" s="334">
        <f t="shared" si="116"/>
        <v>-9973747.848</v>
      </c>
      <c r="E69" s="334">
        <f t="shared" si="116"/>
        <v>-5079163.274</v>
      </c>
      <c r="F69" s="334">
        <f t="shared" si="116"/>
        <v>-11910763.71</v>
      </c>
      <c r="G69" s="334">
        <f t="shared" si="116"/>
        <v>-15853291.78</v>
      </c>
      <c r="H69" s="334">
        <f t="shared" si="116"/>
        <v>11034327.8</v>
      </c>
      <c r="I69" s="334">
        <f t="shared" si="116"/>
        <v>21920651.32</v>
      </c>
      <c r="J69" s="334">
        <f t="shared" si="116"/>
        <v>12227112.99</v>
      </c>
      <c r="K69" s="334">
        <f t="shared" si="116"/>
        <v>8999125.844</v>
      </c>
      <c r="L69" s="334">
        <f t="shared" si="116"/>
        <v>3159584.962</v>
      </c>
      <c r="M69" s="334">
        <f t="shared" si="116"/>
        <v>3540934.743</v>
      </c>
      <c r="N69" s="334">
        <f t="shared" si="116"/>
        <v>0</v>
      </c>
      <c r="O69" s="334">
        <f t="shared" si="116"/>
        <v>22717695.9</v>
      </c>
      <c r="P69" s="334">
        <f t="shared" si="116"/>
        <v>34121138.17</v>
      </c>
      <c r="Q69" s="334">
        <f t="shared" si="116"/>
        <v>37518551.56</v>
      </c>
      <c r="R69" s="334">
        <f t="shared" si="116"/>
        <v>41322429.1</v>
      </c>
      <c r="S69" s="334">
        <f t="shared" si="116"/>
        <v>23447066.58</v>
      </c>
      <c r="T69" s="334">
        <f t="shared" si="116"/>
        <v>3197028.652</v>
      </c>
      <c r="U69" s="334">
        <f t="shared" si="116"/>
        <v>5766535.525</v>
      </c>
      <c r="V69" s="334">
        <f t="shared" si="116"/>
        <v>10959379.59</v>
      </c>
      <c r="W69" s="334">
        <f t="shared" si="116"/>
        <v>8696082.752</v>
      </c>
      <c r="X69" s="334">
        <f t="shared" si="116"/>
        <v>9146620.727</v>
      </c>
      <c r="Y69" s="334">
        <f t="shared" si="116"/>
        <v>9178468.199</v>
      </c>
      <c r="Z69" s="334">
        <f t="shared" si="116"/>
        <v>9846403.339</v>
      </c>
      <c r="AA69" s="334">
        <f t="shared" si="116"/>
        <v>6305468.596</v>
      </c>
      <c r="AB69" s="334">
        <f t="shared" si="116"/>
        <v>24217619.77</v>
      </c>
      <c r="AC69" s="334">
        <f t="shared" si="116"/>
        <v>27250594.58</v>
      </c>
      <c r="AD69" s="334">
        <f t="shared" si="116"/>
        <v>30472821.14</v>
      </c>
      <c r="AE69" s="334">
        <f t="shared" si="116"/>
        <v>39366116.08</v>
      </c>
      <c r="AF69" s="334">
        <f t="shared" si="116"/>
        <v>16531460.53</v>
      </c>
      <c r="AG69" s="334">
        <f t="shared" si="116"/>
        <v>3992679.004</v>
      </c>
      <c r="AH69" s="334">
        <f t="shared" si="116"/>
        <v>25279975.29</v>
      </c>
      <c r="AI69" s="334">
        <f t="shared" si="116"/>
        <v>45674893.1</v>
      </c>
      <c r="AJ69" s="334">
        <f t="shared" si="116"/>
        <v>7696850.614</v>
      </c>
      <c r="AK69" s="334">
        <f t="shared" si="116"/>
        <v>8222805.005</v>
      </c>
      <c r="AL69" s="334">
        <f t="shared" si="116"/>
        <v>8479020.993</v>
      </c>
      <c r="AM69" s="334">
        <f t="shared" si="116"/>
        <v>9996581.084</v>
      </c>
      <c r="AN69" s="334"/>
    </row>
    <row r="70" ht="26.25" customHeight="1">
      <c r="A70" s="1"/>
      <c r="B70" s="345"/>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row>
    <row r="71" ht="101.25" customHeight="1">
      <c r="A71" s="346" t="s">
        <v>754</v>
      </c>
      <c r="B71" s="347">
        <f>SUM(B69:G69)*(-1)</f>
        <v>61549782</v>
      </c>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row>
    <row r="72" ht="26.25" customHeight="1">
      <c r="A72" s="1"/>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row>
    <row r="73" ht="26.25" customHeight="1">
      <c r="A73" s="1"/>
      <c r="B73" s="218"/>
      <c r="C73" s="218"/>
      <c r="D73" s="218"/>
      <c r="E73" s="218"/>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row>
    <row r="74" ht="26.25" customHeight="1">
      <c r="A74" s="1"/>
      <c r="B74" s="218"/>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row>
    <row r="75" ht="26.25" customHeight="1">
      <c r="A75" s="1"/>
      <c r="B75" s="218"/>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row>
    <row r="76" ht="26.25" customHeight="1">
      <c r="A76" s="1"/>
      <c r="B76" s="218"/>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row>
    <row r="77" ht="26.25" customHeight="1">
      <c r="A77" s="1"/>
      <c r="B77" s="218"/>
      <c r="C77" s="218"/>
      <c r="D77" s="218"/>
      <c r="E77" s="218"/>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row>
    <row r="78" ht="26.25" customHeight="1">
      <c r="A78" s="1"/>
      <c r="B78" s="218"/>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row>
    <row r="79" ht="26.25" customHeight="1">
      <c r="A79" s="1"/>
      <c r="B79" s="218"/>
      <c r="C79" s="218"/>
      <c r="D79" s="218"/>
      <c r="E79" s="218"/>
      <c r="F79" s="218"/>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row>
    <row r="80" ht="26.25" customHeight="1">
      <c r="A80" s="1"/>
      <c r="B80" s="218"/>
      <c r="C80" s="218"/>
      <c r="D80" s="218"/>
      <c r="E80" s="218"/>
      <c r="F80" s="218"/>
      <c r="G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row>
    <row r="81" ht="26.25" customHeight="1">
      <c r="A81" s="1"/>
      <c r="B81" s="218"/>
      <c r="C81" s="218"/>
      <c r="D81" s="218"/>
      <c r="E81" s="218"/>
      <c r="F81" s="218"/>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row>
    <row r="82" ht="26.25" customHeight="1">
      <c r="A82" s="1"/>
      <c r="B82" s="218"/>
      <c r="C82" s="218"/>
      <c r="D82" s="218"/>
      <c r="E82" s="218"/>
      <c r="F82" s="218"/>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row>
    <row r="83" ht="26.25" customHeight="1">
      <c r="A83" s="1"/>
      <c r="B83" s="218"/>
      <c r="C83" s="218"/>
      <c r="D83" s="218"/>
      <c r="E83" s="218"/>
      <c r="F83" s="218"/>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row>
    <row r="84" ht="26.25" customHeight="1">
      <c r="A84" s="1"/>
      <c r="B84" s="218"/>
      <c r="C84" s="218"/>
      <c r="D84" s="218"/>
      <c r="E84" s="218"/>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row>
    <row r="85" ht="26.25" customHeight="1">
      <c r="A85" s="1"/>
      <c r="B85" s="218"/>
      <c r="C85" s="218"/>
      <c r="D85" s="218"/>
      <c r="E85" s="218"/>
      <c r="F85" s="218"/>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row>
    <row r="86" ht="26.25" customHeight="1">
      <c r="A86" s="1"/>
      <c r="B86" s="218"/>
      <c r="C86" s="218"/>
      <c r="D86" s="218"/>
      <c r="E86" s="218"/>
      <c r="F86" s="218"/>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row>
    <row r="87" ht="26.25" customHeight="1">
      <c r="A87" s="1"/>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row>
    <row r="88" ht="26.25" customHeight="1">
      <c r="A88" s="1"/>
      <c r="B88" s="218"/>
      <c r="C88" s="218"/>
      <c r="D88" s="218"/>
      <c r="E88" s="218"/>
      <c r="F88" s="218"/>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row>
    <row r="89" ht="26.25" customHeight="1">
      <c r="A89" s="1"/>
      <c r="B89" s="218"/>
      <c r="C89" s="218"/>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row>
    <row r="90" ht="26.25" customHeight="1">
      <c r="A90" s="1"/>
      <c r="B90" s="218"/>
      <c r="C90" s="218"/>
      <c r="D90" s="218"/>
      <c r="E90" s="218"/>
      <c r="F90" s="218"/>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row>
    <row r="91" ht="26.25" customHeight="1">
      <c r="A91" s="1"/>
      <c r="B91" s="218"/>
      <c r="C91" s="218"/>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row>
    <row r="92" ht="26.25" customHeight="1">
      <c r="A92" s="1"/>
      <c r="B92" s="218"/>
      <c r="C92" s="218"/>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row>
    <row r="93" ht="26.25" customHeight="1">
      <c r="A93" s="1"/>
      <c r="B93" s="218"/>
      <c r="C93" s="218"/>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row>
    <row r="94" ht="26.25" customHeight="1">
      <c r="A94" s="1"/>
      <c r="B94" s="218"/>
      <c r="C94" s="218"/>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row>
    <row r="95" ht="26.25" customHeight="1">
      <c r="A95" s="1"/>
      <c r="B95" s="218"/>
      <c r="C95" s="218"/>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H95" s="218"/>
      <c r="AI95" s="218"/>
      <c r="AJ95" s="218"/>
      <c r="AK95" s="218"/>
      <c r="AL95" s="218"/>
      <c r="AM95" s="218"/>
      <c r="AN95" s="218"/>
    </row>
    <row r="96" ht="26.25" customHeight="1">
      <c r="A96" s="1"/>
      <c r="B96" s="218"/>
      <c r="C96" s="218"/>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row>
    <row r="97" ht="26.25" customHeight="1">
      <c r="A97" s="1"/>
      <c r="B97" s="218"/>
      <c r="C97" s="218"/>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row>
    <row r="98" ht="26.25" customHeight="1">
      <c r="A98" s="1"/>
      <c r="B98" s="218"/>
      <c r="C98" s="218"/>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row>
    <row r="99" ht="26.25" customHeight="1">
      <c r="A99" s="1"/>
      <c r="B99" s="218"/>
      <c r="C99" s="218"/>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H99" s="218"/>
      <c r="AI99" s="218"/>
      <c r="AJ99" s="218"/>
      <c r="AK99" s="218"/>
      <c r="AL99" s="218"/>
      <c r="AM99" s="218"/>
      <c r="AN99" s="218"/>
    </row>
    <row r="100" ht="26.25" customHeight="1">
      <c r="A100" s="1"/>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row>
    <row r="101" ht="26.25" customHeight="1">
      <c r="A101" s="1"/>
      <c r="B101" s="218"/>
      <c r="C101" s="218"/>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H101" s="218"/>
      <c r="AI101" s="218"/>
      <c r="AJ101" s="218"/>
      <c r="AK101" s="218"/>
      <c r="AL101" s="218"/>
      <c r="AM101" s="218"/>
      <c r="AN101" s="218"/>
    </row>
    <row r="102" ht="26.25" customHeight="1">
      <c r="A102" s="1"/>
      <c r="B102" s="218"/>
      <c r="C102" s="218"/>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H102" s="218"/>
      <c r="AI102" s="218"/>
      <c r="AJ102" s="218"/>
      <c r="AK102" s="218"/>
      <c r="AL102" s="218"/>
      <c r="AM102" s="218"/>
      <c r="AN102" s="218"/>
    </row>
    <row r="103" ht="26.25" customHeight="1">
      <c r="A103" s="1"/>
      <c r="B103" s="218"/>
      <c r="C103" s="218"/>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H103" s="218"/>
      <c r="AI103" s="218"/>
      <c r="AJ103" s="218"/>
      <c r="AK103" s="218"/>
      <c r="AL103" s="218"/>
      <c r="AM103" s="218"/>
      <c r="AN103" s="218"/>
    </row>
    <row r="104" ht="26.25" customHeight="1">
      <c r="A104" s="1"/>
      <c r="B104" s="218"/>
      <c r="C104" s="218"/>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row>
    <row r="105" ht="26.25" customHeight="1">
      <c r="A105" s="1"/>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row>
    <row r="106" ht="26.25" customHeight="1">
      <c r="A106" s="1"/>
      <c r="B106" s="218"/>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row>
    <row r="107" ht="26.25" customHeight="1">
      <c r="A107" s="1"/>
      <c r="B107" s="218"/>
      <c r="C107" s="218"/>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row>
    <row r="108" ht="26.25" customHeight="1">
      <c r="A108" s="1"/>
      <c r="B108" s="218"/>
      <c r="C108" s="218"/>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row>
    <row r="109" ht="26.25" customHeight="1">
      <c r="A109" s="1"/>
      <c r="B109" s="218"/>
      <c r="C109" s="218"/>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row>
    <row r="110" ht="26.25" customHeight="1">
      <c r="A110" s="1"/>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row>
    <row r="111" ht="26.25" customHeight="1">
      <c r="A111" s="1"/>
      <c r="B111" s="218"/>
      <c r="C111" s="218"/>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c r="AK111" s="218"/>
      <c r="AL111" s="218"/>
      <c r="AM111" s="218"/>
      <c r="AN111" s="218"/>
    </row>
    <row r="112" ht="26.25" customHeight="1">
      <c r="A112" s="1"/>
      <c r="B112" s="218"/>
      <c r="C112" s="218"/>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8"/>
      <c r="AK112" s="218"/>
      <c r="AL112" s="218"/>
      <c r="AM112" s="218"/>
      <c r="AN112" s="218"/>
    </row>
    <row r="113" ht="26.25" customHeight="1">
      <c r="A113" s="1"/>
      <c r="B113" s="218"/>
      <c r="C113" s="218"/>
      <c r="D113" s="218"/>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c r="AA113" s="218"/>
      <c r="AB113" s="218"/>
      <c r="AC113" s="218"/>
      <c r="AD113" s="218"/>
      <c r="AE113" s="218"/>
      <c r="AF113" s="218"/>
      <c r="AG113" s="218"/>
      <c r="AH113" s="218"/>
      <c r="AI113" s="218"/>
      <c r="AJ113" s="218"/>
      <c r="AK113" s="218"/>
      <c r="AL113" s="218"/>
      <c r="AM113" s="218"/>
      <c r="AN113" s="218"/>
    </row>
    <row r="114" ht="26.25" customHeight="1">
      <c r="A114" s="1"/>
      <c r="B114" s="218"/>
      <c r="C114" s="218"/>
      <c r="D114" s="218"/>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8"/>
      <c r="AK114" s="218"/>
      <c r="AL114" s="218"/>
      <c r="AM114" s="218"/>
      <c r="AN114" s="218"/>
    </row>
    <row r="115" ht="26.25" customHeight="1">
      <c r="A115" s="1"/>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c r="AA115" s="218"/>
      <c r="AB115" s="218"/>
      <c r="AC115" s="218"/>
      <c r="AD115" s="218"/>
      <c r="AE115" s="218"/>
      <c r="AF115" s="218"/>
      <c r="AG115" s="218"/>
      <c r="AH115" s="218"/>
      <c r="AI115" s="218"/>
      <c r="AJ115" s="218"/>
      <c r="AK115" s="218"/>
      <c r="AL115" s="218"/>
      <c r="AM115" s="218"/>
      <c r="AN115" s="218"/>
    </row>
    <row r="116" ht="26.25" customHeight="1">
      <c r="A116" s="1"/>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row>
    <row r="117" ht="26.25" customHeight="1">
      <c r="A117" s="1"/>
      <c r="B117" s="218"/>
      <c r="C117" s="218"/>
      <c r="D117" s="218"/>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8"/>
      <c r="AK117" s="218"/>
      <c r="AL117" s="218"/>
      <c r="AM117" s="218"/>
      <c r="AN117" s="218"/>
    </row>
    <row r="118" ht="26.25" customHeight="1">
      <c r="A118" s="1"/>
      <c r="B118" s="218"/>
      <c r="C118" s="218"/>
      <c r="D118" s="218"/>
      <c r="E118" s="218"/>
      <c r="F118" s="218"/>
      <c r="G118" s="218"/>
      <c r="H118" s="218"/>
      <c r="I118" s="218"/>
      <c r="J118" s="218"/>
      <c r="K118" s="218"/>
      <c r="L118" s="218"/>
      <c r="M118" s="218"/>
      <c r="N118" s="218"/>
      <c r="O118" s="218"/>
      <c r="P118" s="218"/>
      <c r="Q118" s="218"/>
      <c r="R118" s="218"/>
      <c r="S118" s="218"/>
      <c r="T118" s="218"/>
      <c r="U118" s="218"/>
      <c r="V118" s="218"/>
      <c r="W118" s="218"/>
      <c r="X118" s="218"/>
      <c r="Y118" s="218"/>
      <c r="Z118" s="218"/>
      <c r="AA118" s="218"/>
      <c r="AB118" s="218"/>
      <c r="AC118" s="218"/>
      <c r="AD118" s="218"/>
      <c r="AE118" s="218"/>
      <c r="AF118" s="218"/>
      <c r="AG118" s="218"/>
      <c r="AH118" s="218"/>
      <c r="AI118" s="218"/>
      <c r="AJ118" s="218"/>
      <c r="AK118" s="218"/>
      <c r="AL118" s="218"/>
      <c r="AM118" s="218"/>
      <c r="AN118" s="218"/>
    </row>
    <row r="119" ht="26.25" customHeight="1">
      <c r="A119" s="1"/>
      <c r="B119" s="218"/>
      <c r="C119" s="218"/>
      <c r="D119" s="218"/>
      <c r="E119" s="218"/>
      <c r="F119" s="218"/>
      <c r="G119" s="218"/>
      <c r="H119" s="218"/>
      <c r="I119" s="218"/>
      <c r="J119" s="218"/>
      <c r="K119" s="218"/>
      <c r="L119" s="218"/>
      <c r="M119" s="218"/>
      <c r="N119" s="218"/>
      <c r="O119" s="218"/>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c r="AK119" s="218"/>
      <c r="AL119" s="218"/>
      <c r="AM119" s="218"/>
      <c r="AN119" s="218"/>
    </row>
    <row r="120" ht="26.25" customHeight="1">
      <c r="A120" s="1"/>
      <c r="B120" s="218"/>
      <c r="C120" s="218"/>
      <c r="D120" s="218"/>
      <c r="E120" s="218"/>
      <c r="F120" s="218"/>
      <c r="G120" s="218"/>
      <c r="H120" s="218"/>
      <c r="I120" s="218"/>
      <c r="J120" s="218"/>
      <c r="K120" s="218"/>
      <c r="L120" s="218"/>
      <c r="M120" s="218"/>
      <c r="N120" s="218"/>
      <c r="O120" s="218"/>
      <c r="P120" s="218"/>
      <c r="Q120" s="218"/>
      <c r="R120" s="218"/>
      <c r="S120" s="218"/>
      <c r="T120" s="218"/>
      <c r="U120" s="218"/>
      <c r="V120" s="218"/>
      <c r="W120" s="218"/>
      <c r="X120" s="218"/>
      <c r="Y120" s="218"/>
      <c r="Z120" s="218"/>
      <c r="AA120" s="218"/>
      <c r="AB120" s="218"/>
      <c r="AC120" s="218"/>
      <c r="AD120" s="218"/>
      <c r="AE120" s="218"/>
      <c r="AF120" s="218"/>
      <c r="AG120" s="218"/>
      <c r="AH120" s="218"/>
      <c r="AI120" s="218"/>
      <c r="AJ120" s="218"/>
      <c r="AK120" s="218"/>
      <c r="AL120" s="218"/>
      <c r="AM120" s="218"/>
      <c r="AN120" s="218"/>
    </row>
    <row r="121" ht="26.25" customHeight="1">
      <c r="A121" s="1"/>
      <c r="B121" s="218"/>
      <c r="C121" s="218"/>
      <c r="D121" s="218"/>
      <c r="E121" s="218"/>
      <c r="F121" s="218"/>
      <c r="G121" s="218"/>
      <c r="H121" s="218"/>
      <c r="I121" s="218"/>
      <c r="J121" s="218"/>
      <c r="K121" s="218"/>
      <c r="L121" s="218"/>
      <c r="M121" s="218"/>
      <c r="N121" s="218"/>
      <c r="O121" s="218"/>
      <c r="P121" s="218"/>
      <c r="Q121" s="218"/>
      <c r="R121" s="218"/>
      <c r="S121" s="218"/>
      <c r="T121" s="218"/>
      <c r="U121" s="218"/>
      <c r="V121" s="218"/>
      <c r="W121" s="218"/>
      <c r="X121" s="218"/>
      <c r="Y121" s="218"/>
      <c r="Z121" s="218"/>
      <c r="AA121" s="218"/>
      <c r="AB121" s="218"/>
      <c r="AC121" s="218"/>
      <c r="AD121" s="218"/>
      <c r="AE121" s="218"/>
      <c r="AF121" s="218"/>
      <c r="AG121" s="218"/>
      <c r="AH121" s="218"/>
      <c r="AI121" s="218"/>
      <c r="AJ121" s="218"/>
      <c r="AK121" s="218"/>
      <c r="AL121" s="218"/>
      <c r="AM121" s="218"/>
      <c r="AN121" s="218"/>
    </row>
    <row r="122" ht="26.25" customHeight="1">
      <c r="A122" s="1"/>
      <c r="B122" s="218"/>
      <c r="C122" s="218"/>
      <c r="D122" s="218"/>
      <c r="E122" s="218"/>
      <c r="F122" s="218"/>
      <c r="G122" s="218"/>
      <c r="H122" s="218"/>
      <c r="I122" s="218"/>
      <c r="J122" s="218"/>
      <c r="K122" s="218"/>
      <c r="L122" s="218"/>
      <c r="M122" s="218"/>
      <c r="N122" s="218"/>
      <c r="O122" s="218"/>
      <c r="P122" s="218"/>
      <c r="Q122" s="218"/>
      <c r="R122" s="218"/>
      <c r="S122" s="218"/>
      <c r="T122" s="218"/>
      <c r="U122" s="218"/>
      <c r="V122" s="218"/>
      <c r="W122" s="218"/>
      <c r="X122" s="218"/>
      <c r="Y122" s="218"/>
      <c r="Z122" s="218"/>
      <c r="AA122" s="218"/>
      <c r="AB122" s="218"/>
      <c r="AC122" s="218"/>
      <c r="AD122" s="218"/>
      <c r="AE122" s="218"/>
      <c r="AF122" s="218"/>
      <c r="AG122" s="218"/>
      <c r="AH122" s="218"/>
      <c r="AI122" s="218"/>
      <c r="AJ122" s="218"/>
      <c r="AK122" s="218"/>
      <c r="AL122" s="218"/>
      <c r="AM122" s="218"/>
      <c r="AN122" s="218"/>
    </row>
    <row r="123" ht="26.25" customHeight="1">
      <c r="A123" s="1"/>
      <c r="B123" s="218"/>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8"/>
      <c r="AK123" s="218"/>
      <c r="AL123" s="218"/>
      <c r="AM123" s="218"/>
      <c r="AN123" s="218"/>
    </row>
    <row r="124" ht="26.25" customHeight="1">
      <c r="A124" s="1"/>
      <c r="B124" s="218"/>
      <c r="C124" s="218"/>
      <c r="D124" s="218"/>
      <c r="E124" s="218"/>
      <c r="F124" s="218"/>
      <c r="G124" s="218"/>
      <c r="H124" s="218"/>
      <c r="I124" s="218"/>
      <c r="J124" s="218"/>
      <c r="K124" s="218"/>
      <c r="L124" s="218"/>
      <c r="M124" s="218"/>
      <c r="N124" s="218"/>
      <c r="O124" s="218"/>
      <c r="P124" s="218"/>
      <c r="Q124" s="218"/>
      <c r="R124" s="218"/>
      <c r="S124" s="218"/>
      <c r="T124" s="218"/>
      <c r="U124" s="218"/>
      <c r="V124" s="218"/>
      <c r="W124" s="218"/>
      <c r="X124" s="218"/>
      <c r="Y124" s="218"/>
      <c r="Z124" s="218"/>
      <c r="AA124" s="218"/>
      <c r="AB124" s="218"/>
      <c r="AC124" s="218"/>
      <c r="AD124" s="218"/>
      <c r="AE124" s="218"/>
      <c r="AF124" s="218"/>
      <c r="AG124" s="218"/>
      <c r="AH124" s="218"/>
      <c r="AI124" s="218"/>
      <c r="AJ124" s="218"/>
      <c r="AK124" s="218"/>
      <c r="AL124" s="218"/>
      <c r="AM124" s="218"/>
      <c r="AN124" s="218"/>
    </row>
    <row r="125" ht="26.25" customHeight="1">
      <c r="A125" s="1"/>
      <c r="B125" s="218"/>
      <c r="C125" s="218"/>
      <c r="D125" s="218"/>
      <c r="E125" s="218"/>
      <c r="F125" s="218"/>
      <c r="G125" s="218"/>
      <c r="H125" s="218"/>
      <c r="I125" s="218"/>
      <c r="J125" s="218"/>
      <c r="K125" s="218"/>
      <c r="L125" s="218"/>
      <c r="M125" s="218"/>
      <c r="N125" s="218"/>
      <c r="O125" s="218"/>
      <c r="P125" s="218"/>
      <c r="Q125" s="218"/>
      <c r="R125" s="218"/>
      <c r="S125" s="218"/>
      <c r="T125" s="218"/>
      <c r="U125" s="218"/>
      <c r="V125" s="218"/>
      <c r="W125" s="218"/>
      <c r="X125" s="218"/>
      <c r="Y125" s="218"/>
      <c r="Z125" s="218"/>
      <c r="AA125" s="218"/>
      <c r="AB125" s="218"/>
      <c r="AC125" s="218"/>
      <c r="AD125" s="218"/>
      <c r="AE125" s="218"/>
      <c r="AF125" s="218"/>
      <c r="AG125" s="218"/>
      <c r="AH125" s="218"/>
      <c r="AI125" s="218"/>
      <c r="AJ125" s="218"/>
      <c r="AK125" s="218"/>
      <c r="AL125" s="218"/>
      <c r="AM125" s="218"/>
      <c r="AN125" s="218"/>
    </row>
    <row r="126" ht="26.25" customHeight="1">
      <c r="A126" s="1"/>
      <c r="B126" s="218"/>
      <c r="C126" s="218"/>
      <c r="D126" s="218"/>
      <c r="E126" s="218"/>
      <c r="F126" s="218"/>
      <c r="G126" s="218"/>
      <c r="H126" s="218"/>
      <c r="I126" s="218"/>
      <c r="J126" s="218"/>
      <c r="K126" s="218"/>
      <c r="L126" s="218"/>
      <c r="M126" s="218"/>
      <c r="N126" s="218"/>
      <c r="O126" s="218"/>
      <c r="P126" s="218"/>
      <c r="Q126" s="218"/>
      <c r="R126" s="218"/>
      <c r="S126" s="218"/>
      <c r="T126" s="218"/>
      <c r="U126" s="218"/>
      <c r="V126" s="218"/>
      <c r="W126" s="218"/>
      <c r="X126" s="218"/>
      <c r="Y126" s="218"/>
      <c r="Z126" s="218"/>
      <c r="AA126" s="218"/>
      <c r="AB126" s="218"/>
      <c r="AC126" s="218"/>
      <c r="AD126" s="218"/>
      <c r="AE126" s="218"/>
      <c r="AF126" s="218"/>
      <c r="AG126" s="218"/>
      <c r="AH126" s="218"/>
      <c r="AI126" s="218"/>
      <c r="AJ126" s="218"/>
      <c r="AK126" s="218"/>
      <c r="AL126" s="218"/>
      <c r="AM126" s="218"/>
      <c r="AN126" s="218"/>
    </row>
    <row r="127" ht="26.25" customHeight="1">
      <c r="A127" s="1"/>
      <c r="B127" s="218"/>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c r="AK127" s="218"/>
      <c r="AL127" s="218"/>
      <c r="AM127" s="218"/>
      <c r="AN127" s="218"/>
    </row>
    <row r="128" ht="26.25" customHeight="1">
      <c r="A128" s="1"/>
      <c r="B128" s="218"/>
      <c r="C128" s="218"/>
      <c r="D128" s="218"/>
      <c r="E128" s="218"/>
      <c r="F128" s="218"/>
      <c r="G128" s="218"/>
      <c r="H128" s="218"/>
      <c r="I128" s="218"/>
      <c r="J128" s="218"/>
      <c r="K128" s="218"/>
      <c r="L128" s="218"/>
      <c r="M128" s="218"/>
      <c r="N128" s="218"/>
      <c r="O128" s="218"/>
      <c r="P128" s="218"/>
      <c r="Q128" s="218"/>
      <c r="R128" s="218"/>
      <c r="S128" s="218"/>
      <c r="T128" s="218"/>
      <c r="U128" s="218"/>
      <c r="V128" s="218"/>
      <c r="W128" s="218"/>
      <c r="X128" s="218"/>
      <c r="Y128" s="218"/>
      <c r="Z128" s="218"/>
      <c r="AA128" s="218"/>
      <c r="AB128" s="218"/>
      <c r="AC128" s="218"/>
      <c r="AD128" s="218"/>
      <c r="AE128" s="218"/>
      <c r="AF128" s="218"/>
      <c r="AG128" s="218"/>
      <c r="AH128" s="218"/>
      <c r="AI128" s="218"/>
      <c r="AJ128" s="218"/>
      <c r="AK128" s="218"/>
      <c r="AL128" s="218"/>
      <c r="AM128" s="218"/>
      <c r="AN128" s="218"/>
    </row>
    <row r="129" ht="26.25" customHeight="1">
      <c r="A129" s="1"/>
      <c r="B129" s="218"/>
      <c r="C129" s="218"/>
      <c r="D129" s="218"/>
      <c r="E129" s="218"/>
      <c r="F129" s="218"/>
      <c r="G129" s="218"/>
      <c r="H129" s="218"/>
      <c r="I129" s="218"/>
      <c r="J129" s="218"/>
      <c r="K129" s="218"/>
      <c r="L129" s="218"/>
      <c r="M129" s="218"/>
      <c r="N129" s="218"/>
      <c r="O129" s="218"/>
      <c r="P129" s="218"/>
      <c r="Q129" s="218"/>
      <c r="R129" s="218"/>
      <c r="S129" s="218"/>
      <c r="T129" s="218"/>
      <c r="U129" s="218"/>
      <c r="V129" s="218"/>
      <c r="W129" s="218"/>
      <c r="X129" s="218"/>
      <c r="Y129" s="218"/>
      <c r="Z129" s="218"/>
      <c r="AA129" s="218"/>
      <c r="AB129" s="218"/>
      <c r="AC129" s="218"/>
      <c r="AD129" s="218"/>
      <c r="AE129" s="218"/>
      <c r="AF129" s="218"/>
      <c r="AG129" s="218"/>
      <c r="AH129" s="218"/>
      <c r="AI129" s="218"/>
      <c r="AJ129" s="218"/>
      <c r="AK129" s="218"/>
      <c r="AL129" s="218"/>
      <c r="AM129" s="218"/>
      <c r="AN129" s="218"/>
    </row>
    <row r="130" ht="26.25" customHeight="1">
      <c r="A130" s="1"/>
      <c r="B130" s="218"/>
      <c r="C130" s="218"/>
      <c r="D130" s="218"/>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c r="AK130" s="218"/>
      <c r="AL130" s="218"/>
      <c r="AM130" s="218"/>
      <c r="AN130" s="218"/>
    </row>
    <row r="131" ht="26.25" customHeight="1">
      <c r="A131" s="1"/>
      <c r="B131" s="218"/>
      <c r="C131" s="218"/>
      <c r="D131" s="218"/>
      <c r="E131" s="218"/>
      <c r="F131" s="218"/>
      <c r="G131" s="218"/>
      <c r="H131" s="218"/>
      <c r="I131" s="218"/>
      <c r="J131" s="218"/>
      <c r="K131" s="218"/>
      <c r="L131" s="218"/>
      <c r="M131" s="218"/>
      <c r="N131" s="218"/>
      <c r="O131" s="218"/>
      <c r="P131" s="218"/>
      <c r="Q131" s="218"/>
      <c r="R131" s="218"/>
      <c r="S131" s="218"/>
      <c r="T131" s="218"/>
      <c r="U131" s="218"/>
      <c r="V131" s="218"/>
      <c r="W131" s="218"/>
      <c r="X131" s="218"/>
      <c r="Y131" s="218"/>
      <c r="Z131" s="218"/>
      <c r="AA131" s="218"/>
      <c r="AB131" s="218"/>
      <c r="AC131" s="218"/>
      <c r="AD131" s="218"/>
      <c r="AE131" s="218"/>
      <c r="AF131" s="218"/>
      <c r="AG131" s="218"/>
      <c r="AH131" s="218"/>
      <c r="AI131" s="218"/>
      <c r="AJ131" s="218"/>
      <c r="AK131" s="218"/>
      <c r="AL131" s="218"/>
      <c r="AM131" s="218"/>
      <c r="AN131" s="218"/>
    </row>
    <row r="132" ht="26.25" customHeight="1">
      <c r="A132" s="1"/>
      <c r="B132" s="218"/>
      <c r="C132" s="218"/>
      <c r="D132" s="218"/>
      <c r="E132" s="218"/>
      <c r="F132" s="218"/>
      <c r="G132" s="218"/>
      <c r="H132" s="218"/>
      <c r="I132" s="218"/>
      <c r="J132" s="218"/>
      <c r="K132" s="218"/>
      <c r="L132" s="218"/>
      <c r="M132" s="218"/>
      <c r="N132" s="218"/>
      <c r="O132" s="218"/>
      <c r="P132" s="218"/>
      <c r="Q132" s="218"/>
      <c r="R132" s="218"/>
      <c r="S132" s="218"/>
      <c r="T132" s="218"/>
      <c r="U132" s="218"/>
      <c r="V132" s="218"/>
      <c r="W132" s="218"/>
      <c r="X132" s="218"/>
      <c r="Y132" s="218"/>
      <c r="Z132" s="218"/>
      <c r="AA132" s="218"/>
      <c r="AB132" s="218"/>
      <c r="AC132" s="218"/>
      <c r="AD132" s="218"/>
      <c r="AE132" s="218"/>
      <c r="AF132" s="218"/>
      <c r="AG132" s="218"/>
      <c r="AH132" s="218"/>
      <c r="AI132" s="218"/>
      <c r="AJ132" s="218"/>
      <c r="AK132" s="218"/>
      <c r="AL132" s="218"/>
      <c r="AM132" s="218"/>
      <c r="AN132" s="218"/>
    </row>
    <row r="133" ht="26.25" customHeight="1">
      <c r="A133" s="1"/>
      <c r="B133" s="218"/>
      <c r="C133" s="218"/>
      <c r="D133" s="218"/>
      <c r="E133" s="218"/>
      <c r="F133" s="218"/>
      <c r="G133" s="218"/>
      <c r="H133" s="218"/>
      <c r="I133" s="218"/>
      <c r="J133" s="218"/>
      <c r="K133" s="218"/>
      <c r="L133" s="218"/>
      <c r="M133" s="218"/>
      <c r="N133" s="218"/>
      <c r="O133" s="218"/>
      <c r="P133" s="218"/>
      <c r="Q133" s="218"/>
      <c r="R133" s="218"/>
      <c r="S133" s="218"/>
      <c r="T133" s="218"/>
      <c r="U133" s="218"/>
      <c r="V133" s="218"/>
      <c r="W133" s="218"/>
      <c r="X133" s="218"/>
      <c r="Y133" s="218"/>
      <c r="Z133" s="218"/>
      <c r="AA133" s="218"/>
      <c r="AB133" s="218"/>
      <c r="AC133" s="218"/>
      <c r="AD133" s="218"/>
      <c r="AE133" s="218"/>
      <c r="AF133" s="218"/>
      <c r="AG133" s="218"/>
      <c r="AH133" s="218"/>
      <c r="AI133" s="218"/>
      <c r="AJ133" s="218"/>
      <c r="AK133" s="218"/>
      <c r="AL133" s="218"/>
      <c r="AM133" s="218"/>
      <c r="AN133" s="218"/>
    </row>
    <row r="134" ht="26.25" customHeight="1">
      <c r="A134" s="1"/>
      <c r="B134" s="218"/>
      <c r="C134" s="218"/>
      <c r="D134" s="218"/>
      <c r="E134" s="218"/>
      <c r="F134" s="218"/>
      <c r="G134" s="218"/>
      <c r="H134" s="218"/>
      <c r="I134" s="218"/>
      <c r="J134" s="218"/>
      <c r="K134" s="218"/>
      <c r="L134" s="218"/>
      <c r="M134" s="218"/>
      <c r="N134" s="218"/>
      <c r="O134" s="218"/>
      <c r="P134" s="218"/>
      <c r="Q134" s="218"/>
      <c r="R134" s="218"/>
      <c r="S134" s="218"/>
      <c r="T134" s="218"/>
      <c r="U134" s="218"/>
      <c r="V134" s="218"/>
      <c r="W134" s="218"/>
      <c r="X134" s="218"/>
      <c r="Y134" s="218"/>
      <c r="Z134" s="218"/>
      <c r="AA134" s="218"/>
      <c r="AB134" s="218"/>
      <c r="AC134" s="218"/>
      <c r="AD134" s="218"/>
      <c r="AE134" s="218"/>
      <c r="AF134" s="218"/>
      <c r="AG134" s="218"/>
      <c r="AH134" s="218"/>
      <c r="AI134" s="218"/>
      <c r="AJ134" s="218"/>
      <c r="AK134" s="218"/>
      <c r="AL134" s="218"/>
      <c r="AM134" s="218"/>
      <c r="AN134" s="218"/>
    </row>
    <row r="135" ht="26.25" customHeight="1">
      <c r="A135" s="1"/>
      <c r="B135" s="218"/>
      <c r="C135" s="218"/>
      <c r="D135" s="218"/>
      <c r="E135" s="218"/>
      <c r="F135" s="218"/>
      <c r="G135" s="218"/>
      <c r="H135" s="218"/>
      <c r="I135" s="218"/>
      <c r="J135" s="218"/>
      <c r="K135" s="218"/>
      <c r="L135" s="218"/>
      <c r="M135" s="218"/>
      <c r="N135" s="218"/>
      <c r="O135" s="218"/>
      <c r="P135" s="218"/>
      <c r="Q135" s="218"/>
      <c r="R135" s="218"/>
      <c r="S135" s="218"/>
      <c r="T135" s="218"/>
      <c r="U135" s="218"/>
      <c r="V135" s="218"/>
      <c r="W135" s="218"/>
      <c r="X135" s="218"/>
      <c r="Y135" s="218"/>
      <c r="Z135" s="218"/>
      <c r="AA135" s="218"/>
      <c r="AB135" s="218"/>
      <c r="AC135" s="218"/>
      <c r="AD135" s="218"/>
      <c r="AE135" s="218"/>
      <c r="AF135" s="218"/>
      <c r="AG135" s="218"/>
      <c r="AH135" s="218"/>
      <c r="AI135" s="218"/>
      <c r="AJ135" s="218"/>
      <c r="AK135" s="218"/>
      <c r="AL135" s="218"/>
      <c r="AM135" s="218"/>
      <c r="AN135" s="218"/>
    </row>
    <row r="136" ht="26.25" customHeight="1">
      <c r="A136" s="1"/>
      <c r="B136" s="218"/>
      <c r="C136" s="218"/>
      <c r="D136" s="218"/>
      <c r="E136" s="218"/>
      <c r="F136" s="218"/>
      <c r="G136" s="218"/>
      <c r="H136" s="218"/>
      <c r="I136" s="218"/>
      <c r="J136" s="218"/>
      <c r="K136" s="218"/>
      <c r="L136" s="218"/>
      <c r="M136" s="218"/>
      <c r="N136" s="218"/>
      <c r="O136" s="218"/>
      <c r="P136" s="218"/>
      <c r="Q136" s="218"/>
      <c r="R136" s="218"/>
      <c r="S136" s="218"/>
      <c r="T136" s="218"/>
      <c r="U136" s="218"/>
      <c r="V136" s="218"/>
      <c r="W136" s="218"/>
      <c r="X136" s="218"/>
      <c r="Y136" s="218"/>
      <c r="Z136" s="218"/>
      <c r="AA136" s="218"/>
      <c r="AB136" s="218"/>
      <c r="AC136" s="218"/>
      <c r="AD136" s="218"/>
      <c r="AE136" s="218"/>
      <c r="AF136" s="218"/>
      <c r="AG136" s="218"/>
      <c r="AH136" s="218"/>
      <c r="AI136" s="218"/>
      <c r="AJ136" s="218"/>
      <c r="AK136" s="218"/>
      <c r="AL136" s="218"/>
      <c r="AM136" s="218"/>
      <c r="AN136" s="218"/>
    </row>
    <row r="137" ht="26.25" customHeight="1">
      <c r="A137" s="1"/>
      <c r="B137" s="218"/>
      <c r="C137" s="218"/>
      <c r="D137" s="218"/>
      <c r="E137" s="218"/>
      <c r="F137" s="218"/>
      <c r="G137" s="218"/>
      <c r="H137" s="218"/>
      <c r="I137" s="218"/>
      <c r="J137" s="218"/>
      <c r="K137" s="218"/>
      <c r="L137" s="218"/>
      <c r="M137" s="218"/>
      <c r="N137" s="218"/>
      <c r="O137" s="218"/>
      <c r="P137" s="218"/>
      <c r="Q137" s="218"/>
      <c r="R137" s="218"/>
      <c r="S137" s="218"/>
      <c r="T137" s="218"/>
      <c r="U137" s="218"/>
      <c r="V137" s="218"/>
      <c r="W137" s="218"/>
      <c r="X137" s="218"/>
      <c r="Y137" s="218"/>
      <c r="Z137" s="218"/>
      <c r="AA137" s="218"/>
      <c r="AB137" s="218"/>
      <c r="AC137" s="218"/>
      <c r="AD137" s="218"/>
      <c r="AE137" s="218"/>
      <c r="AF137" s="218"/>
      <c r="AG137" s="218"/>
      <c r="AH137" s="218"/>
      <c r="AI137" s="218"/>
      <c r="AJ137" s="218"/>
      <c r="AK137" s="218"/>
      <c r="AL137" s="218"/>
      <c r="AM137" s="218"/>
      <c r="AN137" s="218"/>
    </row>
    <row r="138" ht="26.25" customHeight="1">
      <c r="A138" s="1"/>
      <c r="B138" s="218"/>
      <c r="C138" s="218"/>
      <c r="D138" s="218"/>
      <c r="E138" s="218"/>
      <c r="F138" s="218"/>
      <c r="G138" s="218"/>
      <c r="H138" s="218"/>
      <c r="I138" s="218"/>
      <c r="J138" s="218"/>
      <c r="K138" s="218"/>
      <c r="L138" s="218"/>
      <c r="M138" s="218"/>
      <c r="N138" s="218"/>
      <c r="O138" s="218"/>
      <c r="P138" s="218"/>
      <c r="Q138" s="218"/>
      <c r="R138" s="218"/>
      <c r="S138" s="218"/>
      <c r="T138" s="218"/>
      <c r="U138" s="218"/>
      <c r="V138" s="218"/>
      <c r="W138" s="218"/>
      <c r="X138" s="218"/>
      <c r="Y138" s="218"/>
      <c r="Z138" s="218"/>
      <c r="AA138" s="218"/>
      <c r="AB138" s="218"/>
      <c r="AC138" s="218"/>
      <c r="AD138" s="218"/>
      <c r="AE138" s="218"/>
      <c r="AF138" s="218"/>
      <c r="AG138" s="218"/>
      <c r="AH138" s="218"/>
      <c r="AI138" s="218"/>
      <c r="AJ138" s="218"/>
      <c r="AK138" s="218"/>
      <c r="AL138" s="218"/>
      <c r="AM138" s="218"/>
      <c r="AN138" s="218"/>
    </row>
    <row r="139" ht="26.25" customHeight="1">
      <c r="A139" s="1"/>
      <c r="B139" s="218"/>
      <c r="C139" s="218"/>
      <c r="D139" s="218"/>
      <c r="E139" s="218"/>
      <c r="F139" s="218"/>
      <c r="G139" s="218"/>
      <c r="H139" s="218"/>
      <c r="I139" s="218"/>
      <c r="J139" s="218"/>
      <c r="K139" s="218"/>
      <c r="L139" s="218"/>
      <c r="M139" s="218"/>
      <c r="N139" s="218"/>
      <c r="O139" s="218"/>
      <c r="P139" s="218"/>
      <c r="Q139" s="218"/>
      <c r="R139" s="218"/>
      <c r="S139" s="218"/>
      <c r="T139" s="218"/>
      <c r="U139" s="218"/>
      <c r="V139" s="218"/>
      <c r="W139" s="218"/>
      <c r="X139" s="218"/>
      <c r="Y139" s="218"/>
      <c r="Z139" s="218"/>
      <c r="AA139" s="218"/>
      <c r="AB139" s="218"/>
      <c r="AC139" s="218"/>
      <c r="AD139" s="218"/>
      <c r="AE139" s="218"/>
      <c r="AF139" s="218"/>
      <c r="AG139" s="218"/>
      <c r="AH139" s="218"/>
      <c r="AI139" s="218"/>
      <c r="AJ139" s="218"/>
      <c r="AK139" s="218"/>
      <c r="AL139" s="218"/>
      <c r="AM139" s="218"/>
      <c r="AN139" s="218"/>
    </row>
    <row r="140" ht="26.25" customHeight="1">
      <c r="A140" s="1"/>
      <c r="B140" s="218"/>
      <c r="C140" s="218"/>
      <c r="D140" s="218"/>
      <c r="E140" s="218"/>
      <c r="F140" s="218"/>
      <c r="G140" s="218"/>
      <c r="H140" s="218"/>
      <c r="I140" s="218"/>
      <c r="J140" s="218"/>
      <c r="K140" s="218"/>
      <c r="L140" s="218"/>
      <c r="M140" s="218"/>
      <c r="N140" s="218"/>
      <c r="O140" s="218"/>
      <c r="P140" s="218"/>
      <c r="Q140" s="218"/>
      <c r="R140" s="218"/>
      <c r="S140" s="218"/>
      <c r="T140" s="218"/>
      <c r="U140" s="218"/>
      <c r="V140" s="218"/>
      <c r="W140" s="218"/>
      <c r="X140" s="218"/>
      <c r="Y140" s="218"/>
      <c r="Z140" s="218"/>
      <c r="AA140" s="218"/>
      <c r="AB140" s="218"/>
      <c r="AC140" s="218"/>
      <c r="AD140" s="218"/>
      <c r="AE140" s="218"/>
      <c r="AF140" s="218"/>
      <c r="AG140" s="218"/>
      <c r="AH140" s="218"/>
      <c r="AI140" s="218"/>
      <c r="AJ140" s="218"/>
      <c r="AK140" s="218"/>
      <c r="AL140" s="218"/>
      <c r="AM140" s="218"/>
      <c r="AN140" s="218"/>
    </row>
    <row r="141" ht="26.25" customHeight="1">
      <c r="A141" s="1"/>
      <c r="B141" s="218"/>
      <c r="C141" s="218"/>
      <c r="D141" s="218"/>
      <c r="E141" s="218"/>
      <c r="F141" s="218"/>
      <c r="G141" s="218"/>
      <c r="H141" s="218"/>
      <c r="I141" s="218"/>
      <c r="J141" s="218"/>
      <c r="K141" s="218"/>
      <c r="L141" s="218"/>
      <c r="M141" s="218"/>
      <c r="N141" s="218"/>
      <c r="O141" s="218"/>
      <c r="P141" s="218"/>
      <c r="Q141" s="218"/>
      <c r="R141" s="218"/>
      <c r="S141" s="218"/>
      <c r="T141" s="218"/>
      <c r="U141" s="218"/>
      <c r="V141" s="218"/>
      <c r="W141" s="218"/>
      <c r="X141" s="218"/>
      <c r="Y141" s="218"/>
      <c r="Z141" s="218"/>
      <c r="AA141" s="218"/>
      <c r="AB141" s="218"/>
      <c r="AC141" s="218"/>
      <c r="AD141" s="218"/>
      <c r="AE141" s="218"/>
      <c r="AF141" s="218"/>
      <c r="AG141" s="218"/>
      <c r="AH141" s="218"/>
      <c r="AI141" s="218"/>
      <c r="AJ141" s="218"/>
      <c r="AK141" s="218"/>
      <c r="AL141" s="218"/>
      <c r="AM141" s="218"/>
      <c r="AN141" s="218"/>
    </row>
    <row r="142" ht="26.25" customHeight="1">
      <c r="A142" s="1"/>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row>
    <row r="143" ht="26.25" customHeight="1">
      <c r="A143" s="1"/>
      <c r="B143" s="218"/>
      <c r="C143" s="218"/>
      <c r="D143" s="218"/>
      <c r="E143" s="218"/>
      <c r="F143" s="218"/>
      <c r="G143" s="218"/>
      <c r="H143" s="218"/>
      <c r="I143" s="218"/>
      <c r="J143" s="218"/>
      <c r="K143" s="218"/>
      <c r="L143" s="218"/>
      <c r="M143" s="218"/>
      <c r="N143" s="218"/>
      <c r="O143" s="218"/>
      <c r="P143" s="218"/>
      <c r="Q143" s="218"/>
      <c r="R143" s="218"/>
      <c r="S143" s="218"/>
      <c r="T143" s="218"/>
      <c r="U143" s="218"/>
      <c r="V143" s="218"/>
      <c r="W143" s="218"/>
      <c r="X143" s="218"/>
      <c r="Y143" s="218"/>
      <c r="Z143" s="218"/>
      <c r="AA143" s="218"/>
      <c r="AB143" s="218"/>
      <c r="AC143" s="218"/>
      <c r="AD143" s="218"/>
      <c r="AE143" s="218"/>
      <c r="AF143" s="218"/>
      <c r="AG143" s="218"/>
      <c r="AH143" s="218"/>
      <c r="AI143" s="218"/>
      <c r="AJ143" s="218"/>
      <c r="AK143" s="218"/>
      <c r="AL143" s="218"/>
      <c r="AM143" s="218"/>
      <c r="AN143" s="218"/>
    </row>
    <row r="144" ht="26.25" customHeight="1">
      <c r="A144" s="1"/>
      <c r="B144" s="218"/>
      <c r="C144" s="218"/>
      <c r="D144" s="218"/>
      <c r="E144" s="218"/>
      <c r="F144" s="218"/>
      <c r="G144" s="218"/>
      <c r="H144" s="218"/>
      <c r="I144" s="218"/>
      <c r="J144" s="218"/>
      <c r="K144" s="218"/>
      <c r="L144" s="218"/>
      <c r="M144" s="218"/>
      <c r="N144" s="218"/>
      <c r="O144" s="218"/>
      <c r="P144" s="218"/>
      <c r="Q144" s="218"/>
      <c r="R144" s="218"/>
      <c r="S144" s="218"/>
      <c r="T144" s="218"/>
      <c r="U144" s="218"/>
      <c r="V144" s="218"/>
      <c r="W144" s="218"/>
      <c r="X144" s="218"/>
      <c r="Y144" s="218"/>
      <c r="Z144" s="218"/>
      <c r="AA144" s="218"/>
      <c r="AB144" s="218"/>
      <c r="AC144" s="218"/>
      <c r="AD144" s="218"/>
      <c r="AE144" s="218"/>
      <c r="AF144" s="218"/>
      <c r="AG144" s="218"/>
      <c r="AH144" s="218"/>
      <c r="AI144" s="218"/>
      <c r="AJ144" s="218"/>
      <c r="AK144" s="218"/>
      <c r="AL144" s="218"/>
      <c r="AM144" s="218"/>
      <c r="AN144" s="218"/>
    </row>
    <row r="145" ht="26.25" customHeight="1">
      <c r="A145" s="1"/>
      <c r="B145" s="218"/>
      <c r="C145" s="218"/>
      <c r="D145" s="218"/>
      <c r="E145" s="218"/>
      <c r="F145" s="218"/>
      <c r="G145" s="218"/>
      <c r="H145" s="218"/>
      <c r="I145" s="218"/>
      <c r="J145" s="218"/>
      <c r="K145" s="218"/>
      <c r="L145" s="218"/>
      <c r="M145" s="218"/>
      <c r="N145" s="218"/>
      <c r="O145" s="218"/>
      <c r="P145" s="218"/>
      <c r="Q145" s="218"/>
      <c r="R145" s="218"/>
      <c r="S145" s="218"/>
      <c r="T145" s="218"/>
      <c r="U145" s="218"/>
      <c r="V145" s="218"/>
      <c r="W145" s="218"/>
      <c r="X145" s="218"/>
      <c r="Y145" s="218"/>
      <c r="Z145" s="218"/>
      <c r="AA145" s="218"/>
      <c r="AB145" s="218"/>
      <c r="AC145" s="218"/>
      <c r="AD145" s="218"/>
      <c r="AE145" s="218"/>
      <c r="AF145" s="218"/>
      <c r="AG145" s="218"/>
      <c r="AH145" s="218"/>
      <c r="AI145" s="218"/>
      <c r="AJ145" s="218"/>
      <c r="AK145" s="218"/>
      <c r="AL145" s="218"/>
      <c r="AM145" s="218"/>
      <c r="AN145" s="218"/>
    </row>
    <row r="146" ht="26.25" customHeight="1">
      <c r="A146" s="1"/>
      <c r="B146" s="218"/>
      <c r="C146" s="218"/>
      <c r="D146" s="218"/>
      <c r="E146" s="218"/>
      <c r="F146" s="218"/>
      <c r="G146" s="218"/>
      <c r="H146" s="218"/>
      <c r="I146" s="218"/>
      <c r="J146" s="218"/>
      <c r="K146" s="218"/>
      <c r="L146" s="218"/>
      <c r="M146" s="218"/>
      <c r="N146" s="218"/>
      <c r="O146" s="218"/>
      <c r="P146" s="218"/>
      <c r="Q146" s="218"/>
      <c r="R146" s="218"/>
      <c r="S146" s="218"/>
      <c r="T146" s="218"/>
      <c r="U146" s="218"/>
      <c r="V146" s="218"/>
      <c r="W146" s="218"/>
      <c r="X146" s="218"/>
      <c r="Y146" s="218"/>
      <c r="Z146" s="218"/>
      <c r="AA146" s="218"/>
      <c r="AB146" s="218"/>
      <c r="AC146" s="218"/>
      <c r="AD146" s="218"/>
      <c r="AE146" s="218"/>
      <c r="AF146" s="218"/>
      <c r="AG146" s="218"/>
      <c r="AH146" s="218"/>
      <c r="AI146" s="218"/>
      <c r="AJ146" s="218"/>
      <c r="AK146" s="218"/>
      <c r="AL146" s="218"/>
      <c r="AM146" s="218"/>
      <c r="AN146" s="218"/>
    </row>
    <row r="147" ht="26.25" customHeight="1">
      <c r="A147" s="1"/>
      <c r="B147" s="218"/>
      <c r="C147" s="218"/>
      <c r="D147" s="218"/>
      <c r="E147" s="218"/>
      <c r="F147" s="218"/>
      <c r="G147" s="218"/>
      <c r="H147" s="218"/>
      <c r="I147" s="218"/>
      <c r="J147" s="218"/>
      <c r="K147" s="218"/>
      <c r="L147" s="218"/>
      <c r="M147" s="218"/>
      <c r="N147" s="218"/>
      <c r="O147" s="218"/>
      <c r="P147" s="218"/>
      <c r="Q147" s="218"/>
      <c r="R147" s="218"/>
      <c r="S147" s="218"/>
      <c r="T147" s="218"/>
      <c r="U147" s="218"/>
      <c r="V147" s="218"/>
      <c r="W147" s="218"/>
      <c r="X147" s="218"/>
      <c r="Y147" s="218"/>
      <c r="Z147" s="218"/>
      <c r="AA147" s="218"/>
      <c r="AB147" s="218"/>
      <c r="AC147" s="218"/>
      <c r="AD147" s="218"/>
      <c r="AE147" s="218"/>
      <c r="AF147" s="218"/>
      <c r="AG147" s="218"/>
      <c r="AH147" s="218"/>
      <c r="AI147" s="218"/>
      <c r="AJ147" s="218"/>
      <c r="AK147" s="218"/>
      <c r="AL147" s="218"/>
      <c r="AM147" s="218"/>
      <c r="AN147" s="218"/>
    </row>
    <row r="148" ht="26.25" customHeight="1">
      <c r="A148" s="1"/>
      <c r="B148" s="218"/>
      <c r="C148" s="218"/>
      <c r="D148" s="218"/>
      <c r="E148" s="218"/>
      <c r="F148" s="218"/>
      <c r="G148" s="218"/>
      <c r="H148" s="218"/>
      <c r="I148" s="218"/>
      <c r="J148" s="218"/>
      <c r="K148" s="218"/>
      <c r="L148" s="218"/>
      <c r="M148" s="218"/>
      <c r="N148" s="218"/>
      <c r="O148" s="218"/>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c r="AK148" s="218"/>
      <c r="AL148" s="218"/>
      <c r="AM148" s="218"/>
      <c r="AN148" s="218"/>
    </row>
    <row r="149" ht="26.25" customHeight="1">
      <c r="A149" s="1"/>
      <c r="B149" s="218"/>
      <c r="C149" s="218"/>
      <c r="D149" s="218"/>
      <c r="E149" s="218"/>
      <c r="F149" s="218"/>
      <c r="G149" s="218"/>
      <c r="H149" s="218"/>
      <c r="I149" s="218"/>
      <c r="J149" s="218"/>
      <c r="K149" s="218"/>
      <c r="L149" s="218"/>
      <c r="M149" s="218"/>
      <c r="N149" s="218"/>
      <c r="O149" s="218"/>
      <c r="P149" s="218"/>
      <c r="Q149" s="218"/>
      <c r="R149" s="218"/>
      <c r="S149" s="218"/>
      <c r="T149" s="218"/>
      <c r="U149" s="218"/>
      <c r="V149" s="218"/>
      <c r="W149" s="218"/>
      <c r="X149" s="218"/>
      <c r="Y149" s="218"/>
      <c r="Z149" s="218"/>
      <c r="AA149" s="218"/>
      <c r="AB149" s="218"/>
      <c r="AC149" s="218"/>
      <c r="AD149" s="218"/>
      <c r="AE149" s="218"/>
      <c r="AF149" s="218"/>
      <c r="AG149" s="218"/>
      <c r="AH149" s="218"/>
      <c r="AI149" s="218"/>
      <c r="AJ149" s="218"/>
      <c r="AK149" s="218"/>
      <c r="AL149" s="218"/>
      <c r="AM149" s="218"/>
      <c r="AN149" s="218"/>
    </row>
    <row r="150" ht="26.25" customHeight="1">
      <c r="A150" s="1"/>
      <c r="B150" s="218"/>
      <c r="C150" s="218"/>
      <c r="D150" s="218"/>
      <c r="E150" s="218"/>
      <c r="F150" s="218"/>
      <c r="G150" s="218"/>
      <c r="H150" s="218"/>
      <c r="I150" s="218"/>
      <c r="J150" s="218"/>
      <c r="K150" s="218"/>
      <c r="L150" s="218"/>
      <c r="M150" s="218"/>
      <c r="N150" s="218"/>
      <c r="O150" s="218"/>
      <c r="P150" s="218"/>
      <c r="Q150" s="218"/>
      <c r="R150" s="218"/>
      <c r="S150" s="218"/>
      <c r="T150" s="218"/>
      <c r="U150" s="218"/>
      <c r="V150" s="218"/>
      <c r="W150" s="218"/>
      <c r="X150" s="218"/>
      <c r="Y150" s="218"/>
      <c r="Z150" s="218"/>
      <c r="AA150" s="218"/>
      <c r="AB150" s="218"/>
      <c r="AC150" s="218"/>
      <c r="AD150" s="218"/>
      <c r="AE150" s="218"/>
      <c r="AF150" s="218"/>
      <c r="AG150" s="218"/>
      <c r="AH150" s="218"/>
      <c r="AI150" s="218"/>
      <c r="AJ150" s="218"/>
      <c r="AK150" s="218"/>
      <c r="AL150" s="218"/>
      <c r="AM150" s="218"/>
      <c r="AN150" s="218"/>
    </row>
    <row r="151" ht="26.25" customHeight="1">
      <c r="A151" s="1"/>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c r="AK151" s="218"/>
      <c r="AL151" s="218"/>
      <c r="AM151" s="218"/>
      <c r="AN151" s="218"/>
    </row>
    <row r="152" ht="26.25" customHeight="1">
      <c r="A152" s="1"/>
      <c r="B152" s="218"/>
      <c r="C152" s="218"/>
      <c r="D152" s="218"/>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c r="AA152" s="218"/>
      <c r="AB152" s="218"/>
      <c r="AC152" s="218"/>
      <c r="AD152" s="218"/>
      <c r="AE152" s="218"/>
      <c r="AF152" s="218"/>
      <c r="AG152" s="218"/>
      <c r="AH152" s="218"/>
      <c r="AI152" s="218"/>
      <c r="AJ152" s="218"/>
      <c r="AK152" s="218"/>
      <c r="AL152" s="218"/>
      <c r="AM152" s="218"/>
      <c r="AN152" s="218"/>
    </row>
    <row r="153" ht="26.25" customHeight="1">
      <c r="A153" s="1"/>
      <c r="B153" s="218"/>
      <c r="C153" s="218"/>
      <c r="D153" s="218"/>
      <c r="E153" s="218"/>
      <c r="F153" s="218"/>
      <c r="G153" s="218"/>
      <c r="H153" s="218"/>
      <c r="I153" s="218"/>
      <c r="J153" s="218"/>
      <c r="K153" s="218"/>
      <c r="L153" s="218"/>
      <c r="M153" s="218"/>
      <c r="N153" s="218"/>
      <c r="O153" s="218"/>
      <c r="P153" s="218"/>
      <c r="Q153" s="218"/>
      <c r="R153" s="218"/>
      <c r="S153" s="218"/>
      <c r="T153" s="218"/>
      <c r="U153" s="218"/>
      <c r="V153" s="218"/>
      <c r="W153" s="218"/>
      <c r="X153" s="218"/>
      <c r="Y153" s="218"/>
      <c r="Z153" s="218"/>
      <c r="AA153" s="218"/>
      <c r="AB153" s="218"/>
      <c r="AC153" s="218"/>
      <c r="AD153" s="218"/>
      <c r="AE153" s="218"/>
      <c r="AF153" s="218"/>
      <c r="AG153" s="218"/>
      <c r="AH153" s="218"/>
      <c r="AI153" s="218"/>
      <c r="AJ153" s="218"/>
      <c r="AK153" s="218"/>
      <c r="AL153" s="218"/>
      <c r="AM153" s="218"/>
      <c r="AN153" s="218"/>
    </row>
    <row r="154" ht="26.25" customHeight="1">
      <c r="A154" s="1"/>
      <c r="B154" s="218"/>
      <c r="C154" s="218"/>
      <c r="D154" s="218"/>
      <c r="E154" s="218"/>
      <c r="F154" s="218"/>
      <c r="G154" s="218"/>
      <c r="H154" s="218"/>
      <c r="I154" s="218"/>
      <c r="J154" s="218"/>
      <c r="K154" s="218"/>
      <c r="L154" s="218"/>
      <c r="M154" s="218"/>
      <c r="N154" s="218"/>
      <c r="O154" s="218"/>
      <c r="P154" s="218"/>
      <c r="Q154" s="218"/>
      <c r="R154" s="218"/>
      <c r="S154" s="218"/>
      <c r="T154" s="218"/>
      <c r="U154" s="218"/>
      <c r="V154" s="218"/>
      <c r="W154" s="218"/>
      <c r="X154" s="218"/>
      <c r="Y154" s="218"/>
      <c r="Z154" s="218"/>
      <c r="AA154" s="218"/>
      <c r="AB154" s="218"/>
      <c r="AC154" s="218"/>
      <c r="AD154" s="218"/>
      <c r="AE154" s="218"/>
      <c r="AF154" s="218"/>
      <c r="AG154" s="218"/>
      <c r="AH154" s="218"/>
      <c r="AI154" s="218"/>
      <c r="AJ154" s="218"/>
      <c r="AK154" s="218"/>
      <c r="AL154" s="218"/>
      <c r="AM154" s="218"/>
      <c r="AN154" s="218"/>
    </row>
    <row r="155" ht="26.25" customHeight="1">
      <c r="A155" s="1"/>
      <c r="B155" s="218"/>
      <c r="C155" s="218"/>
      <c r="D155" s="218"/>
      <c r="E155" s="218"/>
      <c r="F155" s="218"/>
      <c r="G155" s="218"/>
      <c r="H155" s="218"/>
      <c r="I155" s="218"/>
      <c r="J155" s="218"/>
      <c r="K155" s="218"/>
      <c r="L155" s="218"/>
      <c r="M155" s="218"/>
      <c r="N155" s="218"/>
      <c r="O155" s="218"/>
      <c r="P155" s="218"/>
      <c r="Q155" s="218"/>
      <c r="R155" s="218"/>
      <c r="S155" s="218"/>
      <c r="T155" s="218"/>
      <c r="U155" s="218"/>
      <c r="V155" s="218"/>
      <c r="W155" s="218"/>
      <c r="X155" s="218"/>
      <c r="Y155" s="218"/>
      <c r="Z155" s="218"/>
      <c r="AA155" s="218"/>
      <c r="AB155" s="218"/>
      <c r="AC155" s="218"/>
      <c r="AD155" s="218"/>
      <c r="AE155" s="218"/>
      <c r="AF155" s="218"/>
      <c r="AG155" s="218"/>
      <c r="AH155" s="218"/>
      <c r="AI155" s="218"/>
      <c r="AJ155" s="218"/>
      <c r="AK155" s="218"/>
      <c r="AL155" s="218"/>
      <c r="AM155" s="218"/>
      <c r="AN155" s="218"/>
    </row>
    <row r="156" ht="26.25" customHeight="1">
      <c r="A156" s="1"/>
      <c r="B156" s="218"/>
      <c r="C156" s="218"/>
      <c r="D156" s="218"/>
      <c r="E156" s="218"/>
      <c r="F156" s="218"/>
      <c r="G156" s="218"/>
      <c r="H156" s="218"/>
      <c r="I156" s="218"/>
      <c r="J156" s="218"/>
      <c r="K156" s="218"/>
      <c r="L156" s="218"/>
      <c r="M156" s="218"/>
      <c r="N156" s="218"/>
      <c r="O156" s="218"/>
      <c r="P156" s="218"/>
      <c r="Q156" s="218"/>
      <c r="R156" s="218"/>
      <c r="S156" s="218"/>
      <c r="T156" s="218"/>
      <c r="U156" s="218"/>
      <c r="V156" s="218"/>
      <c r="W156" s="218"/>
      <c r="X156" s="218"/>
      <c r="Y156" s="218"/>
      <c r="Z156" s="218"/>
      <c r="AA156" s="218"/>
      <c r="AB156" s="218"/>
      <c r="AC156" s="218"/>
      <c r="AD156" s="218"/>
      <c r="AE156" s="218"/>
      <c r="AF156" s="218"/>
      <c r="AG156" s="218"/>
      <c r="AH156" s="218"/>
      <c r="AI156" s="218"/>
      <c r="AJ156" s="218"/>
      <c r="AK156" s="218"/>
      <c r="AL156" s="218"/>
      <c r="AM156" s="218"/>
      <c r="AN156" s="218"/>
    </row>
    <row r="157" ht="26.25" customHeight="1">
      <c r="A157" s="1"/>
      <c r="B157" s="218"/>
      <c r="C157" s="218"/>
      <c r="D157" s="218"/>
      <c r="E157" s="218"/>
      <c r="F157" s="218"/>
      <c r="G157" s="218"/>
      <c r="H157" s="218"/>
      <c r="I157" s="218"/>
      <c r="J157" s="218"/>
      <c r="K157" s="218"/>
      <c r="L157" s="218"/>
      <c r="M157" s="218"/>
      <c r="N157" s="218"/>
      <c r="O157" s="218"/>
      <c r="P157" s="218"/>
      <c r="Q157" s="218"/>
      <c r="R157" s="218"/>
      <c r="S157" s="218"/>
      <c r="T157" s="218"/>
      <c r="U157" s="218"/>
      <c r="V157" s="218"/>
      <c r="W157" s="218"/>
      <c r="X157" s="218"/>
      <c r="Y157" s="218"/>
      <c r="Z157" s="218"/>
      <c r="AA157" s="218"/>
      <c r="AB157" s="218"/>
      <c r="AC157" s="218"/>
      <c r="AD157" s="218"/>
      <c r="AE157" s="218"/>
      <c r="AF157" s="218"/>
      <c r="AG157" s="218"/>
      <c r="AH157" s="218"/>
      <c r="AI157" s="218"/>
      <c r="AJ157" s="218"/>
      <c r="AK157" s="218"/>
      <c r="AL157" s="218"/>
      <c r="AM157" s="218"/>
      <c r="AN157" s="218"/>
    </row>
    <row r="158" ht="26.25" customHeight="1">
      <c r="A158" s="1"/>
      <c r="B158" s="218"/>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c r="AK158" s="218"/>
      <c r="AL158" s="218"/>
      <c r="AM158" s="218"/>
      <c r="AN158" s="218"/>
    </row>
    <row r="159" ht="26.25" customHeight="1">
      <c r="A159" s="1"/>
      <c r="B159" s="218"/>
      <c r="C159" s="218"/>
      <c r="D159" s="218"/>
      <c r="E159" s="218"/>
      <c r="F159" s="218"/>
      <c r="G159" s="218"/>
      <c r="H159" s="218"/>
      <c r="I159" s="218"/>
      <c r="J159" s="218"/>
      <c r="K159" s="218"/>
      <c r="L159" s="218"/>
      <c r="M159" s="218"/>
      <c r="N159" s="218"/>
      <c r="O159" s="218"/>
      <c r="P159" s="218"/>
      <c r="Q159" s="218"/>
      <c r="R159" s="218"/>
      <c r="S159" s="218"/>
      <c r="T159" s="218"/>
      <c r="U159" s="218"/>
      <c r="V159" s="218"/>
      <c r="W159" s="218"/>
      <c r="X159" s="218"/>
      <c r="Y159" s="218"/>
      <c r="Z159" s="218"/>
      <c r="AA159" s="218"/>
      <c r="AB159" s="218"/>
      <c r="AC159" s="218"/>
      <c r="AD159" s="218"/>
      <c r="AE159" s="218"/>
      <c r="AF159" s="218"/>
      <c r="AG159" s="218"/>
      <c r="AH159" s="218"/>
      <c r="AI159" s="218"/>
      <c r="AJ159" s="218"/>
      <c r="AK159" s="218"/>
      <c r="AL159" s="218"/>
      <c r="AM159" s="218"/>
      <c r="AN159" s="218"/>
    </row>
    <row r="160" ht="26.25" customHeight="1">
      <c r="A160" s="1"/>
      <c r="B160" s="218"/>
      <c r="C160" s="218"/>
      <c r="D160" s="218"/>
      <c r="E160" s="218"/>
      <c r="F160" s="218"/>
      <c r="G160" s="218"/>
      <c r="H160" s="218"/>
      <c r="I160" s="218"/>
      <c r="J160" s="218"/>
      <c r="K160" s="218"/>
      <c r="L160" s="218"/>
      <c r="M160" s="218"/>
      <c r="N160" s="218"/>
      <c r="O160" s="218"/>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row>
    <row r="161" ht="26.25" customHeight="1">
      <c r="A161" s="1"/>
      <c r="B161" s="218"/>
      <c r="C161" s="218"/>
      <c r="D161" s="218"/>
      <c r="E161" s="218"/>
      <c r="F161" s="218"/>
      <c r="G161" s="218"/>
      <c r="H161" s="218"/>
      <c r="I161" s="218"/>
      <c r="J161" s="218"/>
      <c r="K161" s="218"/>
      <c r="L161" s="218"/>
      <c r="M161" s="218"/>
      <c r="N161" s="218"/>
      <c r="O161" s="218"/>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row>
    <row r="162" ht="26.25" customHeight="1">
      <c r="A162" s="1"/>
      <c r="B162" s="218"/>
      <c r="C162" s="218"/>
      <c r="D162" s="218"/>
      <c r="E162" s="218"/>
      <c r="F162" s="218"/>
      <c r="G162" s="218"/>
      <c r="H162" s="218"/>
      <c r="I162" s="218"/>
      <c r="J162" s="218"/>
      <c r="K162" s="218"/>
      <c r="L162" s="218"/>
      <c r="M162" s="218"/>
      <c r="N162" s="218"/>
      <c r="O162" s="218"/>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row>
    <row r="163" ht="26.25" customHeight="1">
      <c r="A163" s="1"/>
      <c r="B163" s="218"/>
      <c r="C163" s="218"/>
      <c r="D163" s="218"/>
      <c r="E163" s="218"/>
      <c r="F163" s="218"/>
      <c r="G163" s="218"/>
      <c r="H163" s="218"/>
      <c r="I163" s="218"/>
      <c r="J163" s="218"/>
      <c r="K163" s="218"/>
      <c r="L163" s="218"/>
      <c r="M163" s="218"/>
      <c r="N163" s="218"/>
      <c r="O163" s="218"/>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row>
    <row r="164" ht="26.25" customHeight="1">
      <c r="A164" s="1"/>
      <c r="B164" s="218"/>
      <c r="C164" s="218"/>
      <c r="D164" s="218"/>
      <c r="E164" s="218"/>
      <c r="F164" s="218"/>
      <c r="G164" s="218"/>
      <c r="H164" s="218"/>
      <c r="I164" s="218"/>
      <c r="J164" s="218"/>
      <c r="K164" s="218"/>
      <c r="L164" s="218"/>
      <c r="M164" s="218"/>
      <c r="N164" s="218"/>
      <c r="O164" s="218"/>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row>
    <row r="165" ht="26.25" customHeight="1">
      <c r="A165" s="1"/>
      <c r="B165" s="218"/>
      <c r="C165" s="218"/>
      <c r="D165" s="218"/>
      <c r="E165" s="218"/>
      <c r="F165" s="218"/>
      <c r="G165" s="218"/>
      <c r="H165" s="218"/>
      <c r="I165" s="218"/>
      <c r="J165" s="218"/>
      <c r="K165" s="218"/>
      <c r="L165" s="218"/>
      <c r="M165" s="218"/>
      <c r="N165" s="218"/>
      <c r="O165" s="218"/>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row>
    <row r="166" ht="26.25" customHeight="1">
      <c r="A166" s="1"/>
      <c r="B166" s="218"/>
      <c r="C166" s="218"/>
      <c r="D166" s="218"/>
      <c r="E166" s="218"/>
      <c r="F166" s="218"/>
      <c r="G166" s="218"/>
      <c r="H166" s="218"/>
      <c r="I166" s="218"/>
      <c r="J166" s="218"/>
      <c r="K166" s="218"/>
      <c r="L166" s="218"/>
      <c r="M166" s="218"/>
      <c r="N166" s="218"/>
      <c r="O166" s="218"/>
      <c r="P166" s="218"/>
      <c r="Q166" s="218"/>
      <c r="R166" s="218"/>
      <c r="S166" s="218"/>
      <c r="T166" s="218"/>
      <c r="U166" s="218"/>
      <c r="V166" s="218"/>
      <c r="W166" s="218"/>
      <c r="X166" s="218"/>
      <c r="Y166" s="218"/>
      <c r="Z166" s="218"/>
      <c r="AA166" s="218"/>
      <c r="AB166" s="218"/>
      <c r="AC166" s="218"/>
      <c r="AD166" s="218"/>
      <c r="AE166" s="218"/>
      <c r="AF166" s="218"/>
      <c r="AG166" s="218"/>
      <c r="AH166" s="218"/>
      <c r="AI166" s="218"/>
      <c r="AJ166" s="218"/>
      <c r="AK166" s="218"/>
      <c r="AL166" s="218"/>
      <c r="AM166" s="218"/>
      <c r="AN166" s="218"/>
    </row>
    <row r="167" ht="26.25" customHeight="1">
      <c r="A167" s="1"/>
      <c r="B167" s="218"/>
      <c r="C167" s="218"/>
      <c r="D167" s="218"/>
      <c r="E167" s="218"/>
      <c r="F167" s="218"/>
      <c r="G167" s="218"/>
      <c r="H167" s="218"/>
      <c r="I167" s="218"/>
      <c r="J167" s="218"/>
      <c r="K167" s="218"/>
      <c r="L167" s="218"/>
      <c r="M167" s="218"/>
      <c r="N167" s="218"/>
      <c r="O167" s="218"/>
      <c r="P167" s="218"/>
      <c r="Q167" s="218"/>
      <c r="R167" s="218"/>
      <c r="S167" s="218"/>
      <c r="T167" s="218"/>
      <c r="U167" s="218"/>
      <c r="V167" s="218"/>
      <c r="W167" s="218"/>
      <c r="X167" s="218"/>
      <c r="Y167" s="218"/>
      <c r="Z167" s="218"/>
      <c r="AA167" s="218"/>
      <c r="AB167" s="218"/>
      <c r="AC167" s="218"/>
      <c r="AD167" s="218"/>
      <c r="AE167" s="218"/>
      <c r="AF167" s="218"/>
      <c r="AG167" s="218"/>
      <c r="AH167" s="218"/>
      <c r="AI167" s="218"/>
      <c r="AJ167" s="218"/>
      <c r="AK167" s="218"/>
      <c r="AL167" s="218"/>
      <c r="AM167" s="218"/>
      <c r="AN167" s="218"/>
    </row>
    <row r="168" ht="26.25" customHeight="1">
      <c r="A168" s="1"/>
      <c r="B168" s="218"/>
      <c r="C168" s="218"/>
      <c r="D168" s="218"/>
      <c r="E168" s="218"/>
      <c r="F168" s="218"/>
      <c r="G168" s="218"/>
      <c r="H168" s="218"/>
      <c r="I168" s="218"/>
      <c r="J168" s="218"/>
      <c r="K168" s="218"/>
      <c r="L168" s="218"/>
      <c r="M168" s="218"/>
      <c r="N168" s="218"/>
      <c r="O168" s="218"/>
      <c r="P168" s="218"/>
      <c r="Q168" s="218"/>
      <c r="R168" s="218"/>
      <c r="S168" s="218"/>
      <c r="T168" s="218"/>
      <c r="U168" s="218"/>
      <c r="V168" s="218"/>
      <c r="W168" s="218"/>
      <c r="X168" s="218"/>
      <c r="Y168" s="218"/>
      <c r="Z168" s="218"/>
      <c r="AA168" s="218"/>
      <c r="AB168" s="218"/>
      <c r="AC168" s="218"/>
      <c r="AD168" s="218"/>
      <c r="AE168" s="218"/>
      <c r="AF168" s="218"/>
      <c r="AG168" s="218"/>
      <c r="AH168" s="218"/>
      <c r="AI168" s="218"/>
      <c r="AJ168" s="218"/>
      <c r="AK168" s="218"/>
      <c r="AL168" s="218"/>
      <c r="AM168" s="218"/>
      <c r="AN168" s="218"/>
    </row>
    <row r="169" ht="26.25" customHeight="1">
      <c r="A169" s="1"/>
      <c r="B169" s="218"/>
      <c r="C169" s="218"/>
      <c r="D169" s="218"/>
      <c r="E169" s="218"/>
      <c r="F169" s="218"/>
      <c r="G169" s="218"/>
      <c r="H169" s="218"/>
      <c r="I169" s="218"/>
      <c r="J169" s="218"/>
      <c r="K169" s="218"/>
      <c r="L169" s="218"/>
      <c r="M169" s="218"/>
      <c r="N169" s="218"/>
      <c r="O169" s="218"/>
      <c r="P169" s="218"/>
      <c r="Q169" s="218"/>
      <c r="R169" s="218"/>
      <c r="S169" s="218"/>
      <c r="T169" s="218"/>
      <c r="U169" s="218"/>
      <c r="V169" s="218"/>
      <c r="W169" s="218"/>
      <c r="X169" s="218"/>
      <c r="Y169" s="218"/>
      <c r="Z169" s="218"/>
      <c r="AA169" s="218"/>
      <c r="AB169" s="218"/>
      <c r="AC169" s="218"/>
      <c r="AD169" s="218"/>
      <c r="AE169" s="218"/>
      <c r="AF169" s="218"/>
      <c r="AG169" s="218"/>
      <c r="AH169" s="218"/>
      <c r="AI169" s="218"/>
      <c r="AJ169" s="218"/>
      <c r="AK169" s="218"/>
      <c r="AL169" s="218"/>
      <c r="AM169" s="218"/>
      <c r="AN169" s="218"/>
    </row>
    <row r="170" ht="26.25" customHeight="1">
      <c r="A170" s="1"/>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c r="AL170" s="218"/>
      <c r="AM170" s="218"/>
      <c r="AN170" s="218"/>
    </row>
    <row r="171" ht="26.25" customHeight="1">
      <c r="A171" s="1"/>
      <c r="B171" s="218"/>
      <c r="C171" s="218"/>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row>
    <row r="172" ht="26.25" customHeight="1">
      <c r="A172" s="1"/>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row>
    <row r="173" ht="26.25" customHeight="1">
      <c r="A173" s="1"/>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row>
    <row r="174" ht="26.25" customHeight="1">
      <c r="A174" s="1"/>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row>
    <row r="175" ht="26.25" customHeight="1">
      <c r="A175" s="1"/>
      <c r="B175" s="218"/>
      <c r="C175" s="218"/>
      <c r="D175" s="218"/>
      <c r="E175" s="218"/>
      <c r="F175" s="218"/>
      <c r="G175" s="218"/>
      <c r="H175" s="218"/>
      <c r="I175" s="218"/>
      <c r="J175" s="218"/>
      <c r="K175" s="218"/>
      <c r="L175" s="218"/>
      <c r="M175" s="218"/>
      <c r="N175" s="218"/>
      <c r="O175" s="218"/>
      <c r="P175" s="218"/>
      <c r="Q175" s="218"/>
      <c r="R175" s="218"/>
      <c r="S175" s="218"/>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row>
    <row r="176" ht="26.25" customHeight="1">
      <c r="A176" s="1"/>
      <c r="B176" s="218"/>
      <c r="C176" s="218"/>
      <c r="D176" s="218"/>
      <c r="E176" s="218"/>
      <c r="F176" s="218"/>
      <c r="G176" s="218"/>
      <c r="H176" s="218"/>
      <c r="I176" s="218"/>
      <c r="J176" s="218"/>
      <c r="K176" s="218"/>
      <c r="L176" s="218"/>
      <c r="M176" s="218"/>
      <c r="N176" s="218"/>
      <c r="O176" s="218"/>
      <c r="P176" s="218"/>
      <c r="Q176" s="218"/>
      <c r="R176" s="218"/>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row>
    <row r="177" ht="26.25" customHeight="1">
      <c r="A177" s="1"/>
      <c r="B177" s="218"/>
      <c r="C177" s="218"/>
      <c r="D177" s="218"/>
      <c r="E177" s="218"/>
      <c r="F177" s="218"/>
      <c r="G177" s="218"/>
      <c r="H177" s="218"/>
      <c r="I177" s="218"/>
      <c r="J177" s="218"/>
      <c r="K177" s="218"/>
      <c r="L177" s="218"/>
      <c r="M177" s="218"/>
      <c r="N177" s="218"/>
      <c r="O177" s="218"/>
      <c r="P177" s="218"/>
      <c r="Q177" s="218"/>
      <c r="R177" s="218"/>
      <c r="S177" s="218"/>
      <c r="T177" s="218"/>
      <c r="U177" s="218"/>
      <c r="V177" s="218"/>
      <c r="W177" s="218"/>
      <c r="X177" s="218"/>
      <c r="Y177" s="218"/>
      <c r="Z177" s="218"/>
      <c r="AA177" s="218"/>
      <c r="AB177" s="218"/>
      <c r="AC177" s="218"/>
      <c r="AD177" s="218"/>
      <c r="AE177" s="218"/>
      <c r="AF177" s="218"/>
      <c r="AG177" s="218"/>
      <c r="AH177" s="218"/>
      <c r="AI177" s="218"/>
      <c r="AJ177" s="218"/>
      <c r="AK177" s="218"/>
      <c r="AL177" s="218"/>
      <c r="AM177" s="218"/>
      <c r="AN177" s="218"/>
    </row>
    <row r="178" ht="26.25" customHeight="1">
      <c r="A178" s="1"/>
      <c r="B178" s="218"/>
      <c r="C178" s="218"/>
      <c r="D178" s="218"/>
      <c r="E178" s="218"/>
      <c r="F178" s="218"/>
      <c r="G178" s="218"/>
      <c r="H178" s="218"/>
      <c r="I178" s="218"/>
      <c r="J178" s="218"/>
      <c r="K178" s="218"/>
      <c r="L178" s="218"/>
      <c r="M178" s="218"/>
      <c r="N178" s="218"/>
      <c r="O178" s="218"/>
      <c r="P178" s="218"/>
      <c r="Q178" s="218"/>
      <c r="R178" s="218"/>
      <c r="S178" s="218"/>
      <c r="T178" s="218"/>
      <c r="U178" s="218"/>
      <c r="V178" s="218"/>
      <c r="W178" s="218"/>
      <c r="X178" s="218"/>
      <c r="Y178" s="218"/>
      <c r="Z178" s="218"/>
      <c r="AA178" s="218"/>
      <c r="AB178" s="218"/>
      <c r="AC178" s="218"/>
      <c r="AD178" s="218"/>
      <c r="AE178" s="218"/>
      <c r="AF178" s="218"/>
      <c r="AG178" s="218"/>
      <c r="AH178" s="218"/>
      <c r="AI178" s="218"/>
      <c r="AJ178" s="218"/>
      <c r="AK178" s="218"/>
      <c r="AL178" s="218"/>
      <c r="AM178" s="218"/>
      <c r="AN178" s="218"/>
    </row>
    <row r="179" ht="26.25" customHeight="1">
      <c r="A179" s="1"/>
      <c r="B179" s="218"/>
      <c r="C179" s="218"/>
      <c r="D179" s="218"/>
      <c r="E179" s="218"/>
      <c r="F179" s="218"/>
      <c r="G179" s="218"/>
      <c r="H179" s="218"/>
      <c r="I179" s="218"/>
      <c r="J179" s="218"/>
      <c r="K179" s="218"/>
      <c r="L179" s="218"/>
      <c r="M179" s="218"/>
      <c r="N179" s="218"/>
      <c r="O179" s="218"/>
      <c r="P179" s="218"/>
      <c r="Q179" s="218"/>
      <c r="R179" s="218"/>
      <c r="S179" s="218"/>
      <c r="T179" s="218"/>
      <c r="U179" s="218"/>
      <c r="V179" s="218"/>
      <c r="W179" s="218"/>
      <c r="X179" s="218"/>
      <c r="Y179" s="218"/>
      <c r="Z179" s="218"/>
      <c r="AA179" s="218"/>
      <c r="AB179" s="218"/>
      <c r="AC179" s="218"/>
      <c r="AD179" s="218"/>
      <c r="AE179" s="218"/>
      <c r="AF179" s="218"/>
      <c r="AG179" s="218"/>
      <c r="AH179" s="218"/>
      <c r="AI179" s="218"/>
      <c r="AJ179" s="218"/>
      <c r="AK179" s="218"/>
      <c r="AL179" s="218"/>
      <c r="AM179" s="218"/>
      <c r="AN179" s="218"/>
    </row>
    <row r="180" ht="26.25" customHeight="1">
      <c r="A180" s="1"/>
      <c r="B180" s="218"/>
      <c r="C180" s="218"/>
      <c r="D180" s="218"/>
      <c r="E180" s="218"/>
      <c r="F180" s="218"/>
      <c r="G180" s="218"/>
      <c r="H180" s="218"/>
      <c r="I180" s="218"/>
      <c r="J180" s="218"/>
      <c r="K180" s="218"/>
      <c r="L180" s="218"/>
      <c r="M180" s="218"/>
      <c r="N180" s="218"/>
      <c r="O180" s="218"/>
      <c r="P180" s="218"/>
      <c r="Q180" s="218"/>
      <c r="R180" s="218"/>
      <c r="S180" s="218"/>
      <c r="T180" s="218"/>
      <c r="U180" s="218"/>
      <c r="V180" s="218"/>
      <c r="W180" s="218"/>
      <c r="X180" s="218"/>
      <c r="Y180" s="218"/>
      <c r="Z180" s="218"/>
      <c r="AA180" s="218"/>
      <c r="AB180" s="218"/>
      <c r="AC180" s="218"/>
      <c r="AD180" s="218"/>
      <c r="AE180" s="218"/>
      <c r="AF180" s="218"/>
      <c r="AG180" s="218"/>
      <c r="AH180" s="218"/>
      <c r="AI180" s="218"/>
      <c r="AJ180" s="218"/>
      <c r="AK180" s="218"/>
      <c r="AL180" s="218"/>
      <c r="AM180" s="218"/>
      <c r="AN180" s="218"/>
    </row>
    <row r="181" ht="26.25" customHeight="1">
      <c r="A181" s="1"/>
      <c r="B181" s="218"/>
      <c r="C181" s="218"/>
      <c r="D181" s="218"/>
      <c r="E181" s="218"/>
      <c r="F181" s="218"/>
      <c r="G181" s="218"/>
      <c r="H181" s="218"/>
      <c r="I181" s="218"/>
      <c r="J181" s="218"/>
      <c r="K181" s="218"/>
      <c r="L181" s="218"/>
      <c r="M181" s="218"/>
      <c r="N181" s="218"/>
      <c r="O181" s="218"/>
      <c r="P181" s="218"/>
      <c r="Q181" s="218"/>
      <c r="R181" s="218"/>
      <c r="S181" s="218"/>
      <c r="T181" s="218"/>
      <c r="U181" s="218"/>
      <c r="V181" s="218"/>
      <c r="W181" s="218"/>
      <c r="X181" s="218"/>
      <c r="Y181" s="218"/>
      <c r="Z181" s="218"/>
      <c r="AA181" s="218"/>
      <c r="AB181" s="218"/>
      <c r="AC181" s="218"/>
      <c r="AD181" s="218"/>
      <c r="AE181" s="218"/>
      <c r="AF181" s="218"/>
      <c r="AG181" s="218"/>
      <c r="AH181" s="218"/>
      <c r="AI181" s="218"/>
      <c r="AJ181" s="218"/>
      <c r="AK181" s="218"/>
      <c r="AL181" s="218"/>
      <c r="AM181" s="218"/>
      <c r="AN181" s="218"/>
    </row>
    <row r="182" ht="26.25" customHeight="1">
      <c r="A182" s="1"/>
      <c r="B182" s="218"/>
      <c r="C182" s="218"/>
      <c r="D182" s="218"/>
      <c r="E182" s="218"/>
      <c r="F182" s="218"/>
      <c r="G182" s="218"/>
      <c r="H182" s="218"/>
      <c r="I182" s="218"/>
      <c r="J182" s="218"/>
      <c r="K182" s="218"/>
      <c r="L182" s="218"/>
      <c r="M182" s="218"/>
      <c r="N182" s="218"/>
      <c r="O182" s="218"/>
      <c r="P182" s="218"/>
      <c r="Q182" s="218"/>
      <c r="R182" s="218"/>
      <c r="S182" s="218"/>
      <c r="T182" s="218"/>
      <c r="U182" s="218"/>
      <c r="V182" s="218"/>
      <c r="W182" s="218"/>
      <c r="X182" s="218"/>
      <c r="Y182" s="218"/>
      <c r="Z182" s="218"/>
      <c r="AA182" s="218"/>
      <c r="AB182" s="218"/>
      <c r="AC182" s="218"/>
      <c r="AD182" s="218"/>
      <c r="AE182" s="218"/>
      <c r="AF182" s="218"/>
      <c r="AG182" s="218"/>
      <c r="AH182" s="218"/>
      <c r="AI182" s="218"/>
      <c r="AJ182" s="218"/>
      <c r="AK182" s="218"/>
      <c r="AL182" s="218"/>
      <c r="AM182" s="218"/>
      <c r="AN182" s="218"/>
    </row>
    <row r="183" ht="26.25" customHeight="1">
      <c r="A183" s="1"/>
      <c r="B183" s="218"/>
      <c r="C183" s="218"/>
      <c r="D183" s="218"/>
      <c r="E183" s="218"/>
      <c r="F183" s="218"/>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218"/>
      <c r="AM183" s="218"/>
      <c r="AN183" s="218"/>
    </row>
    <row r="184" ht="26.25" customHeight="1">
      <c r="A184" s="1"/>
      <c r="B184" s="218"/>
      <c r="C184" s="218"/>
      <c r="D184" s="218"/>
      <c r="E184" s="218"/>
      <c r="F184" s="218"/>
      <c r="G184" s="218"/>
      <c r="H184" s="218"/>
      <c r="I184" s="218"/>
      <c r="J184" s="218"/>
      <c r="K184" s="218"/>
      <c r="L184" s="218"/>
      <c r="M184" s="218"/>
      <c r="N184" s="218"/>
      <c r="O184" s="218"/>
      <c r="P184" s="218"/>
      <c r="Q184" s="218"/>
      <c r="R184" s="218"/>
      <c r="S184" s="218"/>
      <c r="T184" s="218"/>
      <c r="U184" s="218"/>
      <c r="V184" s="218"/>
      <c r="W184" s="218"/>
      <c r="X184" s="218"/>
      <c r="Y184" s="218"/>
      <c r="Z184" s="218"/>
      <c r="AA184" s="218"/>
      <c r="AB184" s="218"/>
      <c r="AC184" s="218"/>
      <c r="AD184" s="218"/>
      <c r="AE184" s="218"/>
      <c r="AF184" s="218"/>
      <c r="AG184" s="218"/>
      <c r="AH184" s="218"/>
      <c r="AI184" s="218"/>
      <c r="AJ184" s="218"/>
      <c r="AK184" s="218"/>
      <c r="AL184" s="218"/>
      <c r="AM184" s="218"/>
      <c r="AN184" s="218"/>
    </row>
    <row r="185" ht="26.25" customHeight="1">
      <c r="A185" s="1"/>
      <c r="B185" s="218"/>
      <c r="C185" s="218"/>
      <c r="D185" s="218"/>
      <c r="E185" s="218"/>
      <c r="F185" s="218"/>
      <c r="G185" s="218"/>
      <c r="H185" s="218"/>
      <c r="I185" s="218"/>
      <c r="J185" s="218"/>
      <c r="K185" s="218"/>
      <c r="L185" s="218"/>
      <c r="M185" s="218"/>
      <c r="N185" s="218"/>
      <c r="O185" s="218"/>
      <c r="P185" s="218"/>
      <c r="Q185" s="218"/>
      <c r="R185" s="218"/>
      <c r="S185" s="218"/>
      <c r="T185" s="218"/>
      <c r="U185" s="218"/>
      <c r="V185" s="218"/>
      <c r="W185" s="218"/>
      <c r="X185" s="218"/>
      <c r="Y185" s="218"/>
      <c r="Z185" s="218"/>
      <c r="AA185" s="218"/>
      <c r="AB185" s="218"/>
      <c r="AC185" s="218"/>
      <c r="AD185" s="218"/>
      <c r="AE185" s="218"/>
      <c r="AF185" s="218"/>
      <c r="AG185" s="218"/>
      <c r="AH185" s="218"/>
      <c r="AI185" s="218"/>
      <c r="AJ185" s="218"/>
      <c r="AK185" s="218"/>
      <c r="AL185" s="218"/>
      <c r="AM185" s="218"/>
      <c r="AN185" s="218"/>
    </row>
    <row r="186" ht="26.25" customHeight="1">
      <c r="A186" s="1"/>
      <c r="B186" s="218"/>
      <c r="C186" s="218"/>
      <c r="D186" s="218"/>
      <c r="E186" s="218"/>
      <c r="F186" s="218"/>
      <c r="G186" s="218"/>
      <c r="H186" s="218"/>
      <c r="I186" s="218"/>
      <c r="J186" s="218"/>
      <c r="K186" s="218"/>
      <c r="L186" s="218"/>
      <c r="M186" s="218"/>
      <c r="N186" s="218"/>
      <c r="O186" s="218"/>
      <c r="P186" s="218"/>
      <c r="Q186" s="218"/>
      <c r="R186" s="218"/>
      <c r="S186" s="218"/>
      <c r="T186" s="218"/>
      <c r="U186" s="218"/>
      <c r="V186" s="218"/>
      <c r="W186" s="218"/>
      <c r="X186" s="218"/>
      <c r="Y186" s="218"/>
      <c r="Z186" s="218"/>
      <c r="AA186" s="218"/>
      <c r="AB186" s="218"/>
      <c r="AC186" s="218"/>
      <c r="AD186" s="218"/>
      <c r="AE186" s="218"/>
      <c r="AF186" s="218"/>
      <c r="AG186" s="218"/>
      <c r="AH186" s="218"/>
      <c r="AI186" s="218"/>
      <c r="AJ186" s="218"/>
      <c r="AK186" s="218"/>
      <c r="AL186" s="218"/>
      <c r="AM186" s="218"/>
      <c r="AN186" s="218"/>
    </row>
    <row r="187" ht="26.25" customHeight="1">
      <c r="A187" s="1"/>
      <c r="B187" s="218"/>
      <c r="C187" s="218"/>
      <c r="D187" s="218"/>
      <c r="E187" s="218"/>
      <c r="F187" s="218"/>
      <c r="G187" s="218"/>
      <c r="H187" s="218"/>
      <c r="I187" s="218"/>
      <c r="J187" s="218"/>
      <c r="K187" s="218"/>
      <c r="L187" s="218"/>
      <c r="M187" s="218"/>
      <c r="N187" s="218"/>
      <c r="O187" s="218"/>
      <c r="P187" s="218"/>
      <c r="Q187" s="218"/>
      <c r="R187" s="218"/>
      <c r="S187" s="218"/>
      <c r="T187" s="218"/>
      <c r="U187" s="218"/>
      <c r="V187" s="218"/>
      <c r="W187" s="218"/>
      <c r="X187" s="218"/>
      <c r="Y187" s="218"/>
      <c r="Z187" s="218"/>
      <c r="AA187" s="218"/>
      <c r="AB187" s="218"/>
      <c r="AC187" s="218"/>
      <c r="AD187" s="218"/>
      <c r="AE187" s="218"/>
      <c r="AF187" s="218"/>
      <c r="AG187" s="218"/>
      <c r="AH187" s="218"/>
      <c r="AI187" s="218"/>
      <c r="AJ187" s="218"/>
      <c r="AK187" s="218"/>
      <c r="AL187" s="218"/>
      <c r="AM187" s="218"/>
      <c r="AN187" s="218"/>
    </row>
    <row r="188" ht="26.25" customHeight="1">
      <c r="A188" s="1"/>
      <c r="B188" s="218"/>
      <c r="C188" s="218"/>
      <c r="D188" s="218"/>
      <c r="E188" s="218"/>
      <c r="F188" s="218"/>
      <c r="G188" s="218"/>
      <c r="H188" s="218"/>
      <c r="I188" s="218"/>
      <c r="J188" s="218"/>
      <c r="K188" s="218"/>
      <c r="L188" s="218"/>
      <c r="M188" s="218"/>
      <c r="N188" s="218"/>
      <c r="O188" s="218"/>
      <c r="P188" s="218"/>
      <c r="Q188" s="218"/>
      <c r="R188" s="218"/>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row>
    <row r="189" ht="26.25" customHeight="1">
      <c r="A189" s="1"/>
      <c r="B189" s="218"/>
      <c r="C189" s="218"/>
      <c r="D189" s="218"/>
      <c r="E189" s="218"/>
      <c r="F189" s="218"/>
      <c r="G189" s="218"/>
      <c r="H189" s="218"/>
      <c r="I189" s="218"/>
      <c r="J189" s="218"/>
      <c r="K189" s="218"/>
      <c r="L189" s="218"/>
      <c r="M189" s="218"/>
      <c r="N189" s="218"/>
      <c r="O189" s="218"/>
      <c r="P189" s="218"/>
      <c r="Q189" s="218"/>
      <c r="R189" s="218"/>
      <c r="S189" s="218"/>
      <c r="T189" s="218"/>
      <c r="U189" s="218"/>
      <c r="V189" s="218"/>
      <c r="W189" s="218"/>
      <c r="X189" s="218"/>
      <c r="Y189" s="218"/>
      <c r="Z189" s="218"/>
      <c r="AA189" s="218"/>
      <c r="AB189" s="218"/>
      <c r="AC189" s="218"/>
      <c r="AD189" s="218"/>
      <c r="AE189" s="218"/>
      <c r="AF189" s="218"/>
      <c r="AG189" s="218"/>
      <c r="AH189" s="218"/>
      <c r="AI189" s="218"/>
      <c r="AJ189" s="218"/>
      <c r="AK189" s="218"/>
      <c r="AL189" s="218"/>
      <c r="AM189" s="218"/>
      <c r="AN189" s="218"/>
    </row>
    <row r="190" ht="26.25" customHeight="1">
      <c r="A190" s="1"/>
      <c r="B190" s="218"/>
      <c r="C190" s="218"/>
      <c r="D190" s="218"/>
      <c r="E190" s="218"/>
      <c r="F190" s="218"/>
      <c r="G190" s="218"/>
      <c r="H190" s="218"/>
      <c r="I190" s="218"/>
      <c r="J190" s="218"/>
      <c r="K190" s="218"/>
      <c r="L190" s="218"/>
      <c r="M190" s="218"/>
      <c r="N190" s="218"/>
      <c r="O190" s="218"/>
      <c r="P190" s="218"/>
      <c r="Q190" s="218"/>
      <c r="R190" s="218"/>
      <c r="S190" s="218"/>
      <c r="T190" s="218"/>
      <c r="U190" s="218"/>
      <c r="V190" s="218"/>
      <c r="W190" s="218"/>
      <c r="X190" s="218"/>
      <c r="Y190" s="218"/>
      <c r="Z190" s="218"/>
      <c r="AA190" s="218"/>
      <c r="AB190" s="218"/>
      <c r="AC190" s="218"/>
      <c r="AD190" s="218"/>
      <c r="AE190" s="218"/>
      <c r="AF190" s="218"/>
      <c r="AG190" s="218"/>
      <c r="AH190" s="218"/>
      <c r="AI190" s="218"/>
      <c r="AJ190" s="218"/>
      <c r="AK190" s="218"/>
      <c r="AL190" s="218"/>
      <c r="AM190" s="218"/>
      <c r="AN190" s="218"/>
    </row>
    <row r="191" ht="26.25" customHeight="1">
      <c r="A191" s="1"/>
      <c r="B191" s="218"/>
      <c r="C191" s="218"/>
      <c r="D191" s="218"/>
      <c r="E191" s="218"/>
      <c r="F191" s="218"/>
      <c r="G191" s="218"/>
      <c r="H191" s="218"/>
      <c r="I191" s="218"/>
      <c r="J191" s="218"/>
      <c r="K191" s="218"/>
      <c r="L191" s="218"/>
      <c r="M191" s="218"/>
      <c r="N191" s="218"/>
      <c r="O191" s="218"/>
      <c r="P191" s="218"/>
      <c r="Q191" s="218"/>
      <c r="R191" s="218"/>
      <c r="S191" s="218"/>
      <c r="T191" s="218"/>
      <c r="U191" s="218"/>
      <c r="V191" s="218"/>
      <c r="W191" s="218"/>
      <c r="X191" s="218"/>
      <c r="Y191" s="218"/>
      <c r="Z191" s="218"/>
      <c r="AA191" s="218"/>
      <c r="AB191" s="218"/>
      <c r="AC191" s="218"/>
      <c r="AD191" s="218"/>
      <c r="AE191" s="218"/>
      <c r="AF191" s="218"/>
      <c r="AG191" s="218"/>
      <c r="AH191" s="218"/>
      <c r="AI191" s="218"/>
      <c r="AJ191" s="218"/>
      <c r="AK191" s="218"/>
      <c r="AL191" s="218"/>
      <c r="AM191" s="218"/>
      <c r="AN191" s="218"/>
    </row>
    <row r="192" ht="26.25" customHeight="1">
      <c r="A192" s="1"/>
      <c r="B192" s="218"/>
      <c r="C192" s="218"/>
      <c r="D192" s="218"/>
      <c r="E192" s="218"/>
      <c r="F192" s="218"/>
      <c r="G192" s="218"/>
      <c r="H192" s="218"/>
      <c r="I192" s="218"/>
      <c r="J192" s="218"/>
      <c r="K192" s="218"/>
      <c r="L192" s="218"/>
      <c r="M192" s="218"/>
      <c r="N192" s="218"/>
      <c r="O192" s="218"/>
      <c r="P192" s="218"/>
      <c r="Q192" s="218"/>
      <c r="R192" s="218"/>
      <c r="S192" s="218"/>
      <c r="T192" s="218"/>
      <c r="U192" s="218"/>
      <c r="V192" s="218"/>
      <c r="W192" s="218"/>
      <c r="X192" s="218"/>
      <c r="Y192" s="218"/>
      <c r="Z192" s="218"/>
      <c r="AA192" s="218"/>
      <c r="AB192" s="218"/>
      <c r="AC192" s="218"/>
      <c r="AD192" s="218"/>
      <c r="AE192" s="218"/>
      <c r="AF192" s="218"/>
      <c r="AG192" s="218"/>
      <c r="AH192" s="218"/>
      <c r="AI192" s="218"/>
      <c r="AJ192" s="218"/>
      <c r="AK192" s="218"/>
      <c r="AL192" s="218"/>
      <c r="AM192" s="218"/>
      <c r="AN192" s="218"/>
    </row>
    <row r="193" ht="26.25" customHeight="1">
      <c r="A193" s="1"/>
      <c r="B193" s="218"/>
      <c r="C193" s="218"/>
      <c r="D193" s="218"/>
      <c r="E193" s="218"/>
      <c r="F193" s="218"/>
      <c r="G193" s="218"/>
      <c r="H193" s="218"/>
      <c r="I193" s="218"/>
      <c r="J193" s="218"/>
      <c r="K193" s="218"/>
      <c r="L193" s="218"/>
      <c r="M193" s="218"/>
      <c r="N193" s="218"/>
      <c r="O193" s="218"/>
      <c r="P193" s="218"/>
      <c r="Q193" s="218"/>
      <c r="R193" s="218"/>
      <c r="S193" s="218"/>
      <c r="T193" s="218"/>
      <c r="U193" s="218"/>
      <c r="V193" s="218"/>
      <c r="W193" s="218"/>
      <c r="X193" s="218"/>
      <c r="Y193" s="218"/>
      <c r="Z193" s="218"/>
      <c r="AA193" s="218"/>
      <c r="AB193" s="218"/>
      <c r="AC193" s="218"/>
      <c r="AD193" s="218"/>
      <c r="AE193" s="218"/>
      <c r="AF193" s="218"/>
      <c r="AG193" s="218"/>
      <c r="AH193" s="218"/>
      <c r="AI193" s="218"/>
      <c r="AJ193" s="218"/>
      <c r="AK193" s="218"/>
      <c r="AL193" s="218"/>
      <c r="AM193" s="218"/>
      <c r="AN193" s="218"/>
    </row>
    <row r="194" ht="26.25" customHeight="1">
      <c r="A194" s="1"/>
      <c r="B194" s="218"/>
      <c r="C194" s="218"/>
      <c r="D194" s="218"/>
      <c r="E194" s="218"/>
      <c r="F194" s="218"/>
      <c r="G194" s="218"/>
      <c r="H194" s="218"/>
      <c r="I194" s="218"/>
      <c r="J194" s="218"/>
      <c r="K194" s="218"/>
      <c r="L194" s="218"/>
      <c r="M194" s="218"/>
      <c r="N194" s="218"/>
      <c r="O194" s="218"/>
      <c r="P194" s="218"/>
      <c r="Q194" s="218"/>
      <c r="R194" s="218"/>
      <c r="S194" s="218"/>
      <c r="T194" s="218"/>
      <c r="U194" s="218"/>
      <c r="V194" s="218"/>
      <c r="W194" s="218"/>
      <c r="X194" s="218"/>
      <c r="Y194" s="218"/>
      <c r="Z194" s="218"/>
      <c r="AA194" s="218"/>
      <c r="AB194" s="218"/>
      <c r="AC194" s="218"/>
      <c r="AD194" s="218"/>
      <c r="AE194" s="218"/>
      <c r="AF194" s="218"/>
      <c r="AG194" s="218"/>
      <c r="AH194" s="218"/>
      <c r="AI194" s="218"/>
      <c r="AJ194" s="218"/>
      <c r="AK194" s="218"/>
      <c r="AL194" s="218"/>
      <c r="AM194" s="218"/>
      <c r="AN194" s="218"/>
    </row>
    <row r="195" ht="26.25" customHeight="1">
      <c r="A195" s="1"/>
      <c r="B195" s="218"/>
      <c r="C195" s="218"/>
      <c r="D195" s="218"/>
      <c r="E195" s="218"/>
      <c r="F195" s="218"/>
      <c r="G195" s="218"/>
      <c r="H195" s="218"/>
      <c r="I195" s="218"/>
      <c r="J195" s="218"/>
      <c r="K195" s="218"/>
      <c r="L195" s="218"/>
      <c r="M195" s="218"/>
      <c r="N195" s="218"/>
      <c r="O195" s="218"/>
      <c r="P195" s="218"/>
      <c r="Q195" s="218"/>
      <c r="R195" s="218"/>
      <c r="S195" s="218"/>
      <c r="T195" s="218"/>
      <c r="U195" s="218"/>
      <c r="V195" s="218"/>
      <c r="W195" s="218"/>
      <c r="X195" s="218"/>
      <c r="Y195" s="218"/>
      <c r="Z195" s="218"/>
      <c r="AA195" s="218"/>
      <c r="AB195" s="218"/>
      <c r="AC195" s="218"/>
      <c r="AD195" s="218"/>
      <c r="AE195" s="218"/>
      <c r="AF195" s="218"/>
      <c r="AG195" s="218"/>
      <c r="AH195" s="218"/>
      <c r="AI195" s="218"/>
      <c r="AJ195" s="218"/>
      <c r="AK195" s="218"/>
      <c r="AL195" s="218"/>
      <c r="AM195" s="218"/>
      <c r="AN195" s="218"/>
    </row>
    <row r="196" ht="26.25" customHeight="1">
      <c r="A196" s="1"/>
      <c r="B196" s="218"/>
      <c r="C196" s="218"/>
      <c r="D196" s="218"/>
      <c r="E196" s="218"/>
      <c r="F196" s="218"/>
      <c r="G196" s="218"/>
      <c r="H196" s="218"/>
      <c r="I196" s="218"/>
      <c r="J196" s="218"/>
      <c r="K196" s="218"/>
      <c r="L196" s="218"/>
      <c r="M196" s="218"/>
      <c r="N196" s="218"/>
      <c r="O196" s="218"/>
      <c r="P196" s="218"/>
      <c r="Q196" s="218"/>
      <c r="R196" s="218"/>
      <c r="S196" s="218"/>
      <c r="T196" s="218"/>
      <c r="U196" s="218"/>
      <c r="V196" s="218"/>
      <c r="W196" s="218"/>
      <c r="X196" s="218"/>
      <c r="Y196" s="218"/>
      <c r="Z196" s="218"/>
      <c r="AA196" s="218"/>
      <c r="AB196" s="218"/>
      <c r="AC196" s="218"/>
      <c r="AD196" s="218"/>
      <c r="AE196" s="218"/>
      <c r="AF196" s="218"/>
      <c r="AG196" s="218"/>
      <c r="AH196" s="218"/>
      <c r="AI196" s="218"/>
      <c r="AJ196" s="218"/>
      <c r="AK196" s="218"/>
      <c r="AL196" s="218"/>
      <c r="AM196" s="218"/>
      <c r="AN196" s="218"/>
    </row>
    <row r="197" ht="26.25" customHeight="1">
      <c r="A197" s="1"/>
      <c r="B197" s="218"/>
      <c r="C197" s="218"/>
      <c r="D197" s="218"/>
      <c r="E197" s="218"/>
      <c r="F197" s="218"/>
      <c r="G197" s="218"/>
      <c r="H197" s="218"/>
      <c r="I197" s="218"/>
      <c r="J197" s="218"/>
      <c r="K197" s="218"/>
      <c r="L197" s="218"/>
      <c r="M197" s="218"/>
      <c r="N197" s="218"/>
      <c r="O197" s="218"/>
      <c r="P197" s="218"/>
      <c r="Q197" s="218"/>
      <c r="R197" s="218"/>
      <c r="S197" s="218"/>
      <c r="T197" s="218"/>
      <c r="U197" s="218"/>
      <c r="V197" s="218"/>
      <c r="W197" s="218"/>
      <c r="X197" s="218"/>
      <c r="Y197" s="218"/>
      <c r="Z197" s="218"/>
      <c r="AA197" s="218"/>
      <c r="AB197" s="218"/>
      <c r="AC197" s="218"/>
      <c r="AD197" s="218"/>
      <c r="AE197" s="218"/>
      <c r="AF197" s="218"/>
      <c r="AG197" s="218"/>
      <c r="AH197" s="218"/>
      <c r="AI197" s="218"/>
      <c r="AJ197" s="218"/>
      <c r="AK197" s="218"/>
      <c r="AL197" s="218"/>
      <c r="AM197" s="218"/>
      <c r="AN197" s="218"/>
    </row>
    <row r="198" ht="26.25" customHeight="1">
      <c r="A198" s="1"/>
      <c r="B198" s="218"/>
      <c r="C198" s="218"/>
      <c r="D198" s="218"/>
      <c r="E198" s="218"/>
      <c r="F198" s="218"/>
      <c r="G198" s="218"/>
      <c r="H198" s="218"/>
      <c r="I198" s="218"/>
      <c r="J198" s="218"/>
      <c r="K198" s="218"/>
      <c r="L198" s="218"/>
      <c r="M198" s="218"/>
      <c r="N198" s="218"/>
      <c r="O198" s="218"/>
      <c r="P198" s="218"/>
      <c r="Q198" s="218"/>
      <c r="R198" s="218"/>
      <c r="S198" s="218"/>
      <c r="T198" s="218"/>
      <c r="U198" s="218"/>
      <c r="V198" s="218"/>
      <c r="W198" s="218"/>
      <c r="X198" s="218"/>
      <c r="Y198" s="218"/>
      <c r="Z198" s="218"/>
      <c r="AA198" s="218"/>
      <c r="AB198" s="218"/>
      <c r="AC198" s="218"/>
      <c r="AD198" s="218"/>
      <c r="AE198" s="218"/>
      <c r="AF198" s="218"/>
      <c r="AG198" s="218"/>
      <c r="AH198" s="218"/>
      <c r="AI198" s="218"/>
      <c r="AJ198" s="218"/>
      <c r="AK198" s="218"/>
      <c r="AL198" s="218"/>
      <c r="AM198" s="218"/>
      <c r="AN198" s="218"/>
    </row>
    <row r="199" ht="26.25" customHeight="1">
      <c r="A199" s="1"/>
      <c r="B199" s="218"/>
      <c r="C199" s="218"/>
      <c r="D199" s="218"/>
      <c r="E199" s="218"/>
      <c r="F199" s="218"/>
      <c r="G199" s="218"/>
      <c r="H199" s="218"/>
      <c r="I199" s="218"/>
      <c r="J199" s="218"/>
      <c r="K199" s="218"/>
      <c r="L199" s="218"/>
      <c r="M199" s="218"/>
      <c r="N199" s="218"/>
      <c r="O199" s="218"/>
      <c r="P199" s="218"/>
      <c r="Q199" s="218"/>
      <c r="R199" s="218"/>
      <c r="S199" s="218"/>
      <c r="T199" s="218"/>
      <c r="U199" s="218"/>
      <c r="V199" s="218"/>
      <c r="W199" s="218"/>
      <c r="X199" s="218"/>
      <c r="Y199" s="218"/>
      <c r="Z199" s="218"/>
      <c r="AA199" s="218"/>
      <c r="AB199" s="218"/>
      <c r="AC199" s="218"/>
      <c r="AD199" s="218"/>
      <c r="AE199" s="218"/>
      <c r="AF199" s="218"/>
      <c r="AG199" s="218"/>
      <c r="AH199" s="218"/>
      <c r="AI199" s="218"/>
      <c r="AJ199" s="218"/>
      <c r="AK199" s="218"/>
      <c r="AL199" s="218"/>
      <c r="AM199" s="218"/>
      <c r="AN199" s="218"/>
    </row>
    <row r="200" ht="26.25" customHeight="1">
      <c r="A200" s="1"/>
      <c r="B200" s="218"/>
      <c r="C200" s="218"/>
      <c r="D200" s="218"/>
      <c r="E200" s="218"/>
      <c r="F200" s="218"/>
      <c r="G200" s="218"/>
      <c r="H200" s="218"/>
      <c r="I200" s="218"/>
      <c r="J200" s="218"/>
      <c r="K200" s="218"/>
      <c r="L200" s="218"/>
      <c r="M200" s="218"/>
      <c r="N200" s="218"/>
      <c r="O200" s="218"/>
      <c r="P200" s="218"/>
      <c r="Q200" s="218"/>
      <c r="R200" s="218"/>
      <c r="S200" s="218"/>
      <c r="T200" s="218"/>
      <c r="U200" s="218"/>
      <c r="V200" s="218"/>
      <c r="W200" s="218"/>
      <c r="X200" s="218"/>
      <c r="Y200" s="218"/>
      <c r="Z200" s="218"/>
      <c r="AA200" s="218"/>
      <c r="AB200" s="218"/>
      <c r="AC200" s="218"/>
      <c r="AD200" s="218"/>
      <c r="AE200" s="218"/>
      <c r="AF200" s="218"/>
      <c r="AG200" s="218"/>
      <c r="AH200" s="218"/>
      <c r="AI200" s="218"/>
      <c r="AJ200" s="218"/>
      <c r="AK200" s="218"/>
      <c r="AL200" s="218"/>
      <c r="AM200" s="218"/>
      <c r="AN200" s="218"/>
    </row>
    <row r="201" ht="26.25" customHeight="1">
      <c r="A201" s="1"/>
      <c r="B201" s="218"/>
      <c r="C201" s="218"/>
      <c r="D201" s="218"/>
      <c r="E201" s="218"/>
      <c r="F201" s="218"/>
      <c r="G201" s="218"/>
      <c r="H201" s="218"/>
      <c r="I201" s="218"/>
      <c r="J201" s="218"/>
      <c r="K201" s="218"/>
      <c r="L201" s="218"/>
      <c r="M201" s="218"/>
      <c r="N201" s="218"/>
      <c r="O201" s="218"/>
      <c r="P201" s="218"/>
      <c r="Q201" s="218"/>
      <c r="R201" s="218"/>
      <c r="S201" s="218"/>
      <c r="T201" s="218"/>
      <c r="U201" s="218"/>
      <c r="V201" s="218"/>
      <c r="W201" s="218"/>
      <c r="X201" s="218"/>
      <c r="Y201" s="218"/>
      <c r="Z201" s="218"/>
      <c r="AA201" s="218"/>
      <c r="AB201" s="218"/>
      <c r="AC201" s="218"/>
      <c r="AD201" s="218"/>
      <c r="AE201" s="218"/>
      <c r="AF201" s="218"/>
      <c r="AG201" s="218"/>
      <c r="AH201" s="218"/>
      <c r="AI201" s="218"/>
      <c r="AJ201" s="218"/>
      <c r="AK201" s="218"/>
      <c r="AL201" s="218"/>
      <c r="AM201" s="218"/>
      <c r="AN201" s="218"/>
    </row>
    <row r="202" ht="26.25" customHeight="1">
      <c r="A202" s="1"/>
      <c r="B202" s="218"/>
      <c r="C202" s="218"/>
      <c r="D202" s="218"/>
      <c r="E202" s="218"/>
      <c r="F202" s="218"/>
      <c r="G202" s="218"/>
      <c r="H202" s="218"/>
      <c r="I202" s="218"/>
      <c r="J202" s="218"/>
      <c r="K202" s="218"/>
      <c r="L202" s="218"/>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8"/>
      <c r="AM202" s="218"/>
      <c r="AN202" s="218"/>
    </row>
    <row r="203" ht="26.25" customHeight="1">
      <c r="A203" s="1"/>
      <c r="B203" s="218"/>
      <c r="C203" s="218"/>
      <c r="D203" s="218"/>
      <c r="E203" s="218"/>
      <c r="F203" s="218"/>
      <c r="G203" s="218"/>
      <c r="H203" s="218"/>
      <c r="I203" s="218"/>
      <c r="J203" s="218"/>
      <c r="K203" s="218"/>
      <c r="L203" s="218"/>
      <c r="M203" s="218"/>
      <c r="N203" s="218"/>
      <c r="O203" s="218"/>
      <c r="P203" s="218"/>
      <c r="Q203" s="218"/>
      <c r="R203" s="218"/>
      <c r="S203" s="218"/>
      <c r="T203" s="218"/>
      <c r="U203" s="218"/>
      <c r="V203" s="218"/>
      <c r="W203" s="218"/>
      <c r="X203" s="218"/>
      <c r="Y203" s="218"/>
      <c r="Z203" s="218"/>
      <c r="AA203" s="218"/>
      <c r="AB203" s="218"/>
      <c r="AC203" s="218"/>
      <c r="AD203" s="218"/>
      <c r="AE203" s="218"/>
      <c r="AF203" s="218"/>
      <c r="AG203" s="218"/>
      <c r="AH203" s="218"/>
      <c r="AI203" s="218"/>
      <c r="AJ203" s="218"/>
      <c r="AK203" s="218"/>
      <c r="AL203" s="218"/>
      <c r="AM203" s="218"/>
      <c r="AN203" s="218"/>
    </row>
    <row r="204" ht="26.25" customHeight="1">
      <c r="A204" s="1"/>
      <c r="B204" s="218"/>
      <c r="C204" s="218"/>
      <c r="D204" s="218"/>
      <c r="E204" s="218"/>
      <c r="F204" s="218"/>
      <c r="G204" s="218"/>
      <c r="H204" s="218"/>
      <c r="I204" s="218"/>
      <c r="J204" s="218"/>
      <c r="K204" s="218"/>
      <c r="L204" s="218"/>
      <c r="M204" s="218"/>
      <c r="N204" s="218"/>
      <c r="O204" s="218"/>
      <c r="P204" s="218"/>
      <c r="Q204" s="218"/>
      <c r="R204" s="218"/>
      <c r="S204" s="218"/>
      <c r="T204" s="218"/>
      <c r="U204" s="218"/>
      <c r="V204" s="218"/>
      <c r="W204" s="218"/>
      <c r="X204" s="218"/>
      <c r="Y204" s="218"/>
      <c r="Z204" s="218"/>
      <c r="AA204" s="218"/>
      <c r="AB204" s="218"/>
      <c r="AC204" s="218"/>
      <c r="AD204" s="218"/>
      <c r="AE204" s="218"/>
      <c r="AF204" s="218"/>
      <c r="AG204" s="218"/>
      <c r="AH204" s="218"/>
      <c r="AI204" s="218"/>
      <c r="AJ204" s="218"/>
      <c r="AK204" s="218"/>
      <c r="AL204" s="218"/>
      <c r="AM204" s="218"/>
      <c r="AN204" s="218"/>
    </row>
    <row r="205" ht="26.25" customHeight="1">
      <c r="A205" s="1"/>
      <c r="B205" s="218"/>
      <c r="C205" s="218"/>
      <c r="D205" s="218"/>
      <c r="E205" s="218"/>
      <c r="F205" s="218"/>
      <c r="G205" s="218"/>
      <c r="H205" s="218"/>
      <c r="I205" s="218"/>
      <c r="J205" s="218"/>
      <c r="K205" s="218"/>
      <c r="L205" s="218"/>
      <c r="M205" s="218"/>
      <c r="N205" s="218"/>
      <c r="O205" s="218"/>
      <c r="P205" s="218"/>
      <c r="Q205" s="218"/>
      <c r="R205" s="218"/>
      <c r="S205" s="218"/>
      <c r="T205" s="218"/>
      <c r="U205" s="218"/>
      <c r="V205" s="218"/>
      <c r="W205" s="218"/>
      <c r="X205" s="218"/>
      <c r="Y205" s="218"/>
      <c r="Z205" s="218"/>
      <c r="AA205" s="218"/>
      <c r="AB205" s="218"/>
      <c r="AC205" s="218"/>
      <c r="AD205" s="218"/>
      <c r="AE205" s="218"/>
      <c r="AF205" s="218"/>
      <c r="AG205" s="218"/>
      <c r="AH205" s="218"/>
      <c r="AI205" s="218"/>
      <c r="AJ205" s="218"/>
      <c r="AK205" s="218"/>
      <c r="AL205" s="218"/>
      <c r="AM205" s="218"/>
      <c r="AN205" s="218"/>
    </row>
    <row r="206" ht="26.25" customHeight="1">
      <c r="A206" s="1"/>
      <c r="B206" s="218"/>
      <c r="C206" s="218"/>
      <c r="D206" s="218"/>
      <c r="E206" s="218"/>
      <c r="F206" s="218"/>
      <c r="G206" s="218"/>
      <c r="H206" s="218"/>
      <c r="I206" s="218"/>
      <c r="J206" s="218"/>
      <c r="K206" s="218"/>
      <c r="L206" s="218"/>
      <c r="M206" s="218"/>
      <c r="N206" s="218"/>
      <c r="O206" s="218"/>
      <c r="P206" s="218"/>
      <c r="Q206" s="218"/>
      <c r="R206" s="218"/>
      <c r="S206" s="218"/>
      <c r="T206" s="218"/>
      <c r="U206" s="218"/>
      <c r="V206" s="218"/>
      <c r="W206" s="218"/>
      <c r="X206" s="218"/>
      <c r="Y206" s="218"/>
      <c r="Z206" s="218"/>
      <c r="AA206" s="218"/>
      <c r="AB206" s="218"/>
      <c r="AC206" s="218"/>
      <c r="AD206" s="218"/>
      <c r="AE206" s="218"/>
      <c r="AF206" s="218"/>
      <c r="AG206" s="218"/>
      <c r="AH206" s="218"/>
      <c r="AI206" s="218"/>
      <c r="AJ206" s="218"/>
      <c r="AK206" s="218"/>
      <c r="AL206" s="218"/>
      <c r="AM206" s="218"/>
      <c r="AN206" s="218"/>
    </row>
    <row r="207" ht="26.25" customHeight="1">
      <c r="A207" s="1"/>
      <c r="B207" s="218"/>
      <c r="C207" s="218"/>
      <c r="D207" s="218"/>
      <c r="E207" s="218"/>
      <c r="F207" s="218"/>
      <c r="G207" s="218"/>
      <c r="H207" s="218"/>
      <c r="I207" s="218"/>
      <c r="J207" s="218"/>
      <c r="K207" s="218"/>
      <c r="L207" s="218"/>
      <c r="M207" s="218"/>
      <c r="N207" s="218"/>
      <c r="O207" s="218"/>
      <c r="P207" s="218"/>
      <c r="Q207" s="218"/>
      <c r="R207" s="218"/>
      <c r="S207" s="218"/>
      <c r="T207" s="218"/>
      <c r="U207" s="218"/>
      <c r="V207" s="218"/>
      <c r="W207" s="218"/>
      <c r="X207" s="218"/>
      <c r="Y207" s="218"/>
      <c r="Z207" s="218"/>
      <c r="AA207" s="218"/>
      <c r="AB207" s="218"/>
      <c r="AC207" s="218"/>
      <c r="AD207" s="218"/>
      <c r="AE207" s="218"/>
      <c r="AF207" s="218"/>
      <c r="AG207" s="218"/>
      <c r="AH207" s="218"/>
      <c r="AI207" s="218"/>
      <c r="AJ207" s="218"/>
      <c r="AK207" s="218"/>
      <c r="AL207" s="218"/>
      <c r="AM207" s="218"/>
      <c r="AN207" s="218"/>
    </row>
    <row r="208" ht="26.25" customHeight="1">
      <c r="A208" s="1"/>
      <c r="B208" s="218"/>
      <c r="C208" s="218"/>
      <c r="D208" s="218"/>
      <c r="E208" s="218"/>
      <c r="F208" s="218"/>
      <c r="G208" s="218"/>
      <c r="H208" s="218"/>
      <c r="I208" s="218"/>
      <c r="J208" s="218"/>
      <c r="K208" s="218"/>
      <c r="L208" s="218"/>
      <c r="M208" s="218"/>
      <c r="N208" s="218"/>
      <c r="O208" s="218"/>
      <c r="P208" s="218"/>
      <c r="Q208" s="218"/>
      <c r="R208" s="218"/>
      <c r="S208" s="218"/>
      <c r="T208" s="218"/>
      <c r="U208" s="218"/>
      <c r="V208" s="218"/>
      <c r="W208" s="218"/>
      <c r="X208" s="218"/>
      <c r="Y208" s="218"/>
      <c r="Z208" s="218"/>
      <c r="AA208" s="218"/>
      <c r="AB208" s="218"/>
      <c r="AC208" s="218"/>
      <c r="AD208" s="218"/>
      <c r="AE208" s="218"/>
      <c r="AF208" s="218"/>
      <c r="AG208" s="218"/>
      <c r="AH208" s="218"/>
      <c r="AI208" s="218"/>
      <c r="AJ208" s="218"/>
      <c r="AK208" s="218"/>
      <c r="AL208" s="218"/>
      <c r="AM208" s="218"/>
      <c r="AN208" s="218"/>
    </row>
    <row r="209" ht="26.25" customHeight="1">
      <c r="A209" s="1"/>
      <c r="B209" s="218"/>
      <c r="C209" s="218"/>
      <c r="D209" s="218"/>
      <c r="E209" s="218"/>
      <c r="F209" s="218"/>
      <c r="G209" s="218"/>
      <c r="H209" s="218"/>
      <c r="I209" s="218"/>
      <c r="J209" s="218"/>
      <c r="K209" s="218"/>
      <c r="L209" s="218"/>
      <c r="M209" s="218"/>
      <c r="N209" s="218"/>
      <c r="O209" s="218"/>
      <c r="P209" s="218"/>
      <c r="Q209" s="218"/>
      <c r="R209" s="218"/>
      <c r="S209" s="218"/>
      <c r="T209" s="218"/>
      <c r="U209" s="218"/>
      <c r="V209" s="218"/>
      <c r="W209" s="218"/>
      <c r="X209" s="218"/>
      <c r="Y209" s="218"/>
      <c r="Z209" s="218"/>
      <c r="AA209" s="218"/>
      <c r="AB209" s="218"/>
      <c r="AC209" s="218"/>
      <c r="AD209" s="218"/>
      <c r="AE209" s="218"/>
      <c r="AF209" s="218"/>
      <c r="AG209" s="218"/>
      <c r="AH209" s="218"/>
      <c r="AI209" s="218"/>
      <c r="AJ209" s="218"/>
      <c r="AK209" s="218"/>
      <c r="AL209" s="218"/>
      <c r="AM209" s="218"/>
      <c r="AN209" s="218"/>
    </row>
    <row r="210" ht="26.25" customHeight="1">
      <c r="A210" s="1"/>
      <c r="B210" s="218"/>
      <c r="C210" s="218"/>
      <c r="D210" s="218"/>
      <c r="E210" s="218"/>
      <c r="F210" s="218"/>
      <c r="G210" s="218"/>
      <c r="H210" s="218"/>
      <c r="I210" s="218"/>
      <c r="J210" s="218"/>
      <c r="K210" s="218"/>
      <c r="L210" s="218"/>
      <c r="M210" s="218"/>
      <c r="N210" s="218"/>
      <c r="O210" s="218"/>
      <c r="P210" s="218"/>
      <c r="Q210" s="218"/>
      <c r="R210" s="218"/>
      <c r="S210" s="218"/>
      <c r="T210" s="218"/>
      <c r="U210" s="218"/>
      <c r="V210" s="218"/>
      <c r="W210" s="218"/>
      <c r="X210" s="218"/>
      <c r="Y210" s="218"/>
      <c r="Z210" s="218"/>
      <c r="AA210" s="218"/>
      <c r="AB210" s="218"/>
      <c r="AC210" s="218"/>
      <c r="AD210" s="218"/>
      <c r="AE210" s="218"/>
      <c r="AF210" s="218"/>
      <c r="AG210" s="218"/>
      <c r="AH210" s="218"/>
      <c r="AI210" s="218"/>
      <c r="AJ210" s="218"/>
      <c r="AK210" s="218"/>
      <c r="AL210" s="218"/>
      <c r="AM210" s="218"/>
      <c r="AN210" s="218"/>
    </row>
    <row r="211" ht="26.25" customHeight="1">
      <c r="A211" s="1"/>
      <c r="B211" s="218"/>
      <c r="C211" s="218"/>
      <c r="D211" s="218"/>
      <c r="E211" s="218"/>
      <c r="F211" s="218"/>
      <c r="G211" s="218"/>
      <c r="H211" s="218"/>
      <c r="I211" s="218"/>
      <c r="J211" s="218"/>
      <c r="K211" s="218"/>
      <c r="L211" s="218"/>
      <c r="M211" s="218"/>
      <c r="N211" s="218"/>
      <c r="O211" s="218"/>
      <c r="P211" s="218"/>
      <c r="Q211" s="218"/>
      <c r="R211" s="218"/>
      <c r="S211" s="218"/>
      <c r="T211" s="218"/>
      <c r="U211" s="218"/>
      <c r="V211" s="218"/>
      <c r="W211" s="218"/>
      <c r="X211" s="218"/>
      <c r="Y211" s="218"/>
      <c r="Z211" s="218"/>
      <c r="AA211" s="218"/>
      <c r="AB211" s="218"/>
      <c r="AC211" s="218"/>
      <c r="AD211" s="218"/>
      <c r="AE211" s="218"/>
      <c r="AF211" s="218"/>
      <c r="AG211" s="218"/>
      <c r="AH211" s="218"/>
      <c r="AI211" s="218"/>
      <c r="AJ211" s="218"/>
      <c r="AK211" s="218"/>
      <c r="AL211" s="218"/>
      <c r="AM211" s="218"/>
      <c r="AN211" s="218"/>
    </row>
    <row r="212" ht="26.25" customHeight="1">
      <c r="A212" s="1"/>
      <c r="B212" s="218"/>
      <c r="C212" s="218"/>
      <c r="D212" s="218"/>
      <c r="E212" s="218"/>
      <c r="F212" s="218"/>
      <c r="G212" s="218"/>
      <c r="H212" s="218"/>
      <c r="I212" s="218"/>
      <c r="J212" s="218"/>
      <c r="K212" s="218"/>
      <c r="L212" s="218"/>
      <c r="M212" s="218"/>
      <c r="N212" s="218"/>
      <c r="O212" s="218"/>
      <c r="P212" s="218"/>
      <c r="Q212" s="218"/>
      <c r="R212" s="218"/>
      <c r="S212" s="218"/>
      <c r="T212" s="218"/>
      <c r="U212" s="218"/>
      <c r="V212" s="218"/>
      <c r="W212" s="218"/>
      <c r="X212" s="218"/>
      <c r="Y212" s="218"/>
      <c r="Z212" s="218"/>
      <c r="AA212" s="218"/>
      <c r="AB212" s="218"/>
      <c r="AC212" s="218"/>
      <c r="AD212" s="218"/>
      <c r="AE212" s="218"/>
      <c r="AF212" s="218"/>
      <c r="AG212" s="218"/>
      <c r="AH212" s="218"/>
      <c r="AI212" s="218"/>
      <c r="AJ212" s="218"/>
      <c r="AK212" s="218"/>
      <c r="AL212" s="218"/>
      <c r="AM212" s="218"/>
      <c r="AN212" s="218"/>
    </row>
    <row r="213" ht="26.25" customHeight="1">
      <c r="A213" s="1"/>
      <c r="B213" s="218"/>
      <c r="C213" s="218"/>
      <c r="D213" s="218"/>
      <c r="E213" s="218"/>
      <c r="F213" s="218"/>
      <c r="G213" s="218"/>
      <c r="H213" s="218"/>
      <c r="I213" s="218"/>
      <c r="J213" s="218"/>
      <c r="K213" s="218"/>
      <c r="L213" s="218"/>
      <c r="M213" s="218"/>
      <c r="N213" s="218"/>
      <c r="O213" s="218"/>
      <c r="P213" s="218"/>
      <c r="Q213" s="218"/>
      <c r="R213" s="218"/>
      <c r="S213" s="218"/>
      <c r="T213" s="218"/>
      <c r="U213" s="218"/>
      <c r="V213" s="218"/>
      <c r="W213" s="218"/>
      <c r="X213" s="218"/>
      <c r="Y213" s="218"/>
      <c r="Z213" s="218"/>
      <c r="AA213" s="218"/>
      <c r="AB213" s="218"/>
      <c r="AC213" s="218"/>
      <c r="AD213" s="218"/>
      <c r="AE213" s="218"/>
      <c r="AF213" s="218"/>
      <c r="AG213" s="218"/>
      <c r="AH213" s="218"/>
      <c r="AI213" s="218"/>
      <c r="AJ213" s="218"/>
      <c r="AK213" s="218"/>
      <c r="AL213" s="218"/>
      <c r="AM213" s="218"/>
      <c r="AN213" s="218"/>
    </row>
    <row r="214" ht="26.25" customHeight="1">
      <c r="A214" s="1"/>
      <c r="B214" s="218"/>
      <c r="C214" s="218"/>
      <c r="D214" s="218"/>
      <c r="E214" s="218"/>
      <c r="F214" s="218"/>
      <c r="G214" s="218"/>
      <c r="H214" s="218"/>
      <c r="I214" s="218"/>
      <c r="J214" s="218"/>
      <c r="K214" s="218"/>
      <c r="L214" s="218"/>
      <c r="M214" s="218"/>
      <c r="N214" s="218"/>
      <c r="O214" s="218"/>
      <c r="P214" s="218"/>
      <c r="Q214" s="218"/>
      <c r="R214" s="218"/>
      <c r="S214" s="218"/>
      <c r="T214" s="218"/>
      <c r="U214" s="218"/>
      <c r="V214" s="218"/>
      <c r="W214" s="218"/>
      <c r="X214" s="218"/>
      <c r="Y214" s="218"/>
      <c r="Z214" s="218"/>
      <c r="AA214" s="218"/>
      <c r="AB214" s="218"/>
      <c r="AC214" s="218"/>
      <c r="AD214" s="218"/>
      <c r="AE214" s="218"/>
      <c r="AF214" s="218"/>
      <c r="AG214" s="218"/>
      <c r="AH214" s="218"/>
      <c r="AI214" s="218"/>
      <c r="AJ214" s="218"/>
      <c r="AK214" s="218"/>
      <c r="AL214" s="218"/>
      <c r="AM214" s="218"/>
      <c r="AN214" s="218"/>
    </row>
    <row r="215" ht="26.25" customHeight="1">
      <c r="A215" s="1"/>
      <c r="B215" s="218"/>
      <c r="C215" s="218"/>
      <c r="D215" s="218"/>
      <c r="E215" s="218"/>
      <c r="F215" s="218"/>
      <c r="G215" s="218"/>
      <c r="H215" s="218"/>
      <c r="I215" s="218"/>
      <c r="J215" s="218"/>
      <c r="K215" s="218"/>
      <c r="L215" s="218"/>
      <c r="M215" s="218"/>
      <c r="N215" s="218"/>
      <c r="O215" s="218"/>
      <c r="P215" s="218"/>
      <c r="Q215" s="218"/>
      <c r="R215" s="218"/>
      <c r="S215" s="218"/>
      <c r="T215" s="218"/>
      <c r="U215" s="218"/>
      <c r="V215" s="218"/>
      <c r="W215" s="218"/>
      <c r="X215" s="218"/>
      <c r="Y215" s="218"/>
      <c r="Z215" s="218"/>
      <c r="AA215" s="218"/>
      <c r="AB215" s="218"/>
      <c r="AC215" s="218"/>
      <c r="AD215" s="218"/>
      <c r="AE215" s="218"/>
      <c r="AF215" s="218"/>
      <c r="AG215" s="218"/>
      <c r="AH215" s="218"/>
      <c r="AI215" s="218"/>
      <c r="AJ215" s="218"/>
      <c r="AK215" s="218"/>
      <c r="AL215" s="218"/>
      <c r="AM215" s="218"/>
      <c r="AN215" s="218"/>
    </row>
    <row r="216" ht="26.25" customHeight="1">
      <c r="A216" s="1"/>
      <c r="B216" s="218"/>
      <c r="C216" s="218"/>
      <c r="D216" s="218"/>
      <c r="E216" s="218"/>
      <c r="F216" s="218"/>
      <c r="G216" s="218"/>
      <c r="H216" s="218"/>
      <c r="I216" s="218"/>
      <c r="J216" s="218"/>
      <c r="K216" s="218"/>
      <c r="L216" s="218"/>
      <c r="M216" s="218"/>
      <c r="N216" s="218"/>
      <c r="O216" s="218"/>
      <c r="P216" s="218"/>
      <c r="Q216" s="218"/>
      <c r="R216" s="218"/>
      <c r="S216" s="218"/>
      <c r="T216" s="218"/>
      <c r="U216" s="218"/>
      <c r="V216" s="218"/>
      <c r="W216" s="218"/>
      <c r="X216" s="218"/>
      <c r="Y216" s="218"/>
      <c r="Z216" s="218"/>
      <c r="AA216" s="218"/>
      <c r="AB216" s="218"/>
      <c r="AC216" s="218"/>
      <c r="AD216" s="218"/>
      <c r="AE216" s="218"/>
      <c r="AF216" s="218"/>
      <c r="AG216" s="218"/>
      <c r="AH216" s="218"/>
      <c r="AI216" s="218"/>
      <c r="AJ216" s="218"/>
      <c r="AK216" s="218"/>
      <c r="AL216" s="218"/>
      <c r="AM216" s="218"/>
      <c r="AN216" s="218"/>
    </row>
    <row r="217" ht="26.25" customHeight="1">
      <c r="A217" s="1"/>
      <c r="B217" s="218"/>
      <c r="C217" s="218"/>
      <c r="D217" s="218"/>
      <c r="E217" s="218"/>
      <c r="F217" s="218"/>
      <c r="G217" s="218"/>
      <c r="H217" s="218"/>
      <c r="I217" s="218"/>
      <c r="J217" s="218"/>
      <c r="K217" s="218"/>
      <c r="L217" s="218"/>
      <c r="M217" s="218"/>
      <c r="N217" s="218"/>
      <c r="O217" s="218"/>
      <c r="P217" s="218"/>
      <c r="Q217" s="218"/>
      <c r="R217" s="218"/>
      <c r="S217" s="218"/>
      <c r="T217" s="218"/>
      <c r="U217" s="218"/>
      <c r="V217" s="218"/>
      <c r="W217" s="218"/>
      <c r="X217" s="218"/>
      <c r="Y217" s="218"/>
      <c r="Z217" s="218"/>
      <c r="AA217" s="218"/>
      <c r="AB217" s="218"/>
      <c r="AC217" s="218"/>
      <c r="AD217" s="218"/>
      <c r="AE217" s="218"/>
      <c r="AF217" s="218"/>
      <c r="AG217" s="218"/>
      <c r="AH217" s="218"/>
      <c r="AI217" s="218"/>
      <c r="AJ217" s="218"/>
      <c r="AK217" s="218"/>
      <c r="AL217" s="218"/>
      <c r="AM217" s="218"/>
      <c r="AN217" s="218"/>
    </row>
    <row r="218" ht="26.25" customHeight="1">
      <c r="A218" s="1"/>
      <c r="B218" s="218"/>
      <c r="C218" s="218"/>
      <c r="D218" s="218"/>
      <c r="E218" s="218"/>
      <c r="F218" s="218"/>
      <c r="G218" s="218"/>
      <c r="H218" s="218"/>
      <c r="I218" s="218"/>
      <c r="J218" s="218"/>
      <c r="K218" s="218"/>
      <c r="L218" s="218"/>
      <c r="M218" s="218"/>
      <c r="N218" s="218"/>
      <c r="O218" s="218"/>
      <c r="P218" s="218"/>
      <c r="Q218" s="218"/>
      <c r="R218" s="218"/>
      <c r="S218" s="218"/>
      <c r="T218" s="218"/>
      <c r="U218" s="218"/>
      <c r="V218" s="218"/>
      <c r="W218" s="218"/>
      <c r="X218" s="218"/>
      <c r="Y218" s="218"/>
      <c r="Z218" s="218"/>
      <c r="AA218" s="218"/>
      <c r="AB218" s="218"/>
      <c r="AC218" s="218"/>
      <c r="AD218" s="218"/>
      <c r="AE218" s="218"/>
      <c r="AF218" s="218"/>
      <c r="AG218" s="218"/>
      <c r="AH218" s="218"/>
      <c r="AI218" s="218"/>
      <c r="AJ218" s="218"/>
      <c r="AK218" s="218"/>
      <c r="AL218" s="218"/>
      <c r="AM218" s="218"/>
      <c r="AN218" s="218"/>
    </row>
    <row r="219" ht="26.25" customHeight="1">
      <c r="A219" s="1"/>
      <c r="B219" s="218"/>
      <c r="C219" s="218"/>
      <c r="D219" s="218"/>
      <c r="E219" s="218"/>
      <c r="F219" s="218"/>
      <c r="G219" s="218"/>
      <c r="H219" s="218"/>
      <c r="I219" s="218"/>
      <c r="J219" s="218"/>
      <c r="K219" s="218"/>
      <c r="L219" s="218"/>
      <c r="M219" s="218"/>
      <c r="N219" s="218"/>
      <c r="O219" s="218"/>
      <c r="P219" s="218"/>
      <c r="Q219" s="218"/>
      <c r="R219" s="218"/>
      <c r="S219" s="218"/>
      <c r="T219" s="218"/>
      <c r="U219" s="218"/>
      <c r="V219" s="218"/>
      <c r="W219" s="218"/>
      <c r="X219" s="218"/>
      <c r="Y219" s="218"/>
      <c r="Z219" s="218"/>
      <c r="AA219" s="218"/>
      <c r="AB219" s="218"/>
      <c r="AC219" s="218"/>
      <c r="AD219" s="218"/>
      <c r="AE219" s="218"/>
      <c r="AF219" s="218"/>
      <c r="AG219" s="218"/>
      <c r="AH219" s="218"/>
      <c r="AI219" s="218"/>
      <c r="AJ219" s="218"/>
      <c r="AK219" s="218"/>
      <c r="AL219" s="218"/>
      <c r="AM219" s="218"/>
      <c r="AN219" s="218"/>
    </row>
    <row r="220" ht="26.25" customHeight="1">
      <c r="A220" s="1"/>
      <c r="B220" s="218"/>
      <c r="C220" s="218"/>
      <c r="D220" s="218"/>
      <c r="E220" s="218"/>
      <c r="F220" s="218"/>
      <c r="G220" s="218"/>
      <c r="H220" s="218"/>
      <c r="I220" s="218"/>
      <c r="J220" s="218"/>
      <c r="K220" s="218"/>
      <c r="L220" s="218"/>
      <c r="M220" s="218"/>
      <c r="N220" s="218"/>
      <c r="O220" s="218"/>
      <c r="P220" s="218"/>
      <c r="Q220" s="218"/>
      <c r="R220" s="218"/>
      <c r="S220" s="218"/>
      <c r="T220" s="218"/>
      <c r="U220" s="218"/>
      <c r="V220" s="218"/>
      <c r="W220" s="218"/>
      <c r="X220" s="218"/>
      <c r="Y220" s="218"/>
      <c r="Z220" s="218"/>
      <c r="AA220" s="218"/>
      <c r="AB220" s="218"/>
      <c r="AC220" s="218"/>
      <c r="AD220" s="218"/>
      <c r="AE220" s="218"/>
      <c r="AF220" s="218"/>
      <c r="AG220" s="218"/>
      <c r="AH220" s="218"/>
      <c r="AI220" s="218"/>
      <c r="AJ220" s="218"/>
      <c r="AK220" s="218"/>
      <c r="AL220" s="218"/>
      <c r="AM220" s="218"/>
      <c r="AN220" s="218"/>
    </row>
    <row r="221" ht="26.25" customHeight="1">
      <c r="A221" s="1"/>
      <c r="B221" s="218"/>
      <c r="C221" s="218"/>
      <c r="D221" s="218"/>
      <c r="E221" s="218"/>
      <c r="F221" s="218"/>
      <c r="G221" s="218"/>
      <c r="H221" s="218"/>
      <c r="I221" s="218"/>
      <c r="J221" s="218"/>
      <c r="K221" s="218"/>
      <c r="L221" s="218"/>
      <c r="M221" s="218"/>
      <c r="N221" s="218"/>
      <c r="O221" s="218"/>
      <c r="P221" s="218"/>
      <c r="Q221" s="218"/>
      <c r="R221" s="218"/>
      <c r="S221" s="218"/>
      <c r="T221" s="218"/>
      <c r="U221" s="218"/>
      <c r="V221" s="218"/>
      <c r="W221" s="218"/>
      <c r="X221" s="218"/>
      <c r="Y221" s="218"/>
      <c r="Z221" s="218"/>
      <c r="AA221" s="218"/>
      <c r="AB221" s="218"/>
      <c r="AC221" s="218"/>
      <c r="AD221" s="218"/>
      <c r="AE221" s="218"/>
      <c r="AF221" s="218"/>
      <c r="AG221" s="218"/>
      <c r="AH221" s="218"/>
      <c r="AI221" s="218"/>
      <c r="AJ221" s="218"/>
      <c r="AK221" s="218"/>
      <c r="AL221" s="218"/>
      <c r="AM221" s="218"/>
      <c r="AN221" s="218"/>
    </row>
    <row r="222" ht="26.25" customHeight="1">
      <c r="A222" s="1"/>
      <c r="B222" s="218"/>
      <c r="C222" s="218"/>
      <c r="D222" s="218"/>
      <c r="E222" s="218"/>
      <c r="F222" s="218"/>
      <c r="G222" s="218"/>
      <c r="H222" s="218"/>
      <c r="I222" s="218"/>
      <c r="J222" s="218"/>
      <c r="K222" s="218"/>
      <c r="L222" s="218"/>
      <c r="M222" s="218"/>
      <c r="N222" s="218"/>
      <c r="O222" s="218"/>
      <c r="P222" s="218"/>
      <c r="Q222" s="218"/>
      <c r="R222" s="218"/>
      <c r="S222" s="218"/>
      <c r="T222" s="218"/>
      <c r="U222" s="218"/>
      <c r="V222" s="218"/>
      <c r="W222" s="218"/>
      <c r="X222" s="218"/>
      <c r="Y222" s="218"/>
      <c r="Z222" s="218"/>
      <c r="AA222" s="218"/>
      <c r="AB222" s="218"/>
      <c r="AC222" s="218"/>
      <c r="AD222" s="218"/>
      <c r="AE222" s="218"/>
      <c r="AF222" s="218"/>
      <c r="AG222" s="218"/>
      <c r="AH222" s="218"/>
      <c r="AI222" s="218"/>
      <c r="AJ222" s="218"/>
      <c r="AK222" s="218"/>
      <c r="AL222" s="218"/>
      <c r="AM222" s="218"/>
      <c r="AN222" s="218"/>
    </row>
    <row r="223" ht="26.25" customHeight="1">
      <c r="A223" s="1"/>
      <c r="B223" s="218"/>
      <c r="C223" s="218"/>
      <c r="D223" s="218"/>
      <c r="E223" s="218"/>
      <c r="F223" s="218"/>
      <c r="G223" s="218"/>
      <c r="H223" s="218"/>
      <c r="I223" s="218"/>
      <c r="J223" s="218"/>
      <c r="K223" s="218"/>
      <c r="L223" s="218"/>
      <c r="M223" s="218"/>
      <c r="N223" s="218"/>
      <c r="O223" s="218"/>
      <c r="P223" s="218"/>
      <c r="Q223" s="218"/>
      <c r="R223" s="218"/>
      <c r="S223" s="218"/>
      <c r="T223" s="218"/>
      <c r="U223" s="218"/>
      <c r="V223" s="218"/>
      <c r="W223" s="218"/>
      <c r="X223" s="218"/>
      <c r="Y223" s="218"/>
      <c r="Z223" s="218"/>
      <c r="AA223" s="218"/>
      <c r="AB223" s="218"/>
      <c r="AC223" s="218"/>
      <c r="AD223" s="218"/>
      <c r="AE223" s="218"/>
      <c r="AF223" s="218"/>
      <c r="AG223" s="218"/>
      <c r="AH223" s="218"/>
      <c r="AI223" s="218"/>
      <c r="AJ223" s="218"/>
      <c r="AK223" s="218"/>
      <c r="AL223" s="218"/>
      <c r="AM223" s="218"/>
      <c r="AN223" s="218"/>
    </row>
    <row r="224" ht="26.25" customHeight="1">
      <c r="A224" s="1"/>
      <c r="B224" s="218"/>
      <c r="C224" s="218"/>
      <c r="D224" s="218"/>
      <c r="E224" s="218"/>
      <c r="F224" s="218"/>
      <c r="G224" s="218"/>
      <c r="H224" s="218"/>
      <c r="I224" s="218"/>
      <c r="J224" s="218"/>
      <c r="K224" s="218"/>
      <c r="L224" s="218"/>
      <c r="M224" s="218"/>
      <c r="N224" s="218"/>
      <c r="O224" s="218"/>
      <c r="P224" s="218"/>
      <c r="Q224" s="218"/>
      <c r="R224" s="218"/>
      <c r="S224" s="218"/>
      <c r="T224" s="218"/>
      <c r="U224" s="218"/>
      <c r="V224" s="218"/>
      <c r="W224" s="218"/>
      <c r="X224" s="218"/>
      <c r="Y224" s="218"/>
      <c r="Z224" s="218"/>
      <c r="AA224" s="218"/>
      <c r="AB224" s="218"/>
      <c r="AC224" s="218"/>
      <c r="AD224" s="218"/>
      <c r="AE224" s="218"/>
      <c r="AF224" s="218"/>
      <c r="AG224" s="218"/>
      <c r="AH224" s="218"/>
      <c r="AI224" s="218"/>
      <c r="AJ224" s="218"/>
      <c r="AK224" s="218"/>
      <c r="AL224" s="218"/>
      <c r="AM224" s="218"/>
      <c r="AN224" s="218"/>
    </row>
    <row r="225" ht="26.25" customHeight="1">
      <c r="A225" s="1"/>
      <c r="B225" s="218"/>
      <c r="C225" s="218"/>
      <c r="D225" s="218"/>
      <c r="E225" s="218"/>
      <c r="F225" s="218"/>
      <c r="G225" s="218"/>
      <c r="H225" s="218"/>
      <c r="I225" s="218"/>
      <c r="J225" s="218"/>
      <c r="K225" s="218"/>
      <c r="L225" s="218"/>
      <c r="M225" s="218"/>
      <c r="N225" s="218"/>
      <c r="O225" s="218"/>
      <c r="P225" s="218"/>
      <c r="Q225" s="218"/>
      <c r="R225" s="218"/>
      <c r="S225" s="218"/>
      <c r="T225" s="218"/>
      <c r="U225" s="218"/>
      <c r="V225" s="218"/>
      <c r="W225" s="218"/>
      <c r="X225" s="218"/>
      <c r="Y225" s="218"/>
      <c r="Z225" s="218"/>
      <c r="AA225" s="218"/>
      <c r="AB225" s="218"/>
      <c r="AC225" s="218"/>
      <c r="AD225" s="218"/>
      <c r="AE225" s="218"/>
      <c r="AF225" s="218"/>
      <c r="AG225" s="218"/>
      <c r="AH225" s="218"/>
      <c r="AI225" s="218"/>
      <c r="AJ225" s="218"/>
      <c r="AK225" s="218"/>
      <c r="AL225" s="218"/>
      <c r="AM225" s="218"/>
      <c r="AN225" s="218"/>
    </row>
    <row r="226" ht="26.25" customHeight="1">
      <c r="A226" s="1"/>
      <c r="B226" s="218"/>
      <c r="C226" s="218"/>
      <c r="D226" s="218"/>
      <c r="E226" s="218"/>
      <c r="F226" s="218"/>
      <c r="G226" s="218"/>
      <c r="H226" s="218"/>
      <c r="I226" s="218"/>
      <c r="J226" s="218"/>
      <c r="K226" s="218"/>
      <c r="L226" s="218"/>
      <c r="M226" s="218"/>
      <c r="N226" s="218"/>
      <c r="O226" s="218"/>
      <c r="P226" s="218"/>
      <c r="Q226" s="218"/>
      <c r="R226" s="218"/>
      <c r="S226" s="218"/>
      <c r="T226" s="218"/>
      <c r="U226" s="218"/>
      <c r="V226" s="218"/>
      <c r="W226" s="218"/>
      <c r="X226" s="218"/>
      <c r="Y226" s="218"/>
      <c r="Z226" s="218"/>
      <c r="AA226" s="218"/>
      <c r="AB226" s="218"/>
      <c r="AC226" s="218"/>
      <c r="AD226" s="218"/>
      <c r="AE226" s="218"/>
      <c r="AF226" s="218"/>
      <c r="AG226" s="218"/>
      <c r="AH226" s="218"/>
      <c r="AI226" s="218"/>
      <c r="AJ226" s="218"/>
      <c r="AK226" s="218"/>
      <c r="AL226" s="218"/>
      <c r="AM226" s="218"/>
      <c r="AN226" s="218"/>
    </row>
    <row r="227" ht="26.25" customHeight="1">
      <c r="A227" s="1"/>
      <c r="B227" s="218"/>
      <c r="C227" s="218"/>
      <c r="D227" s="218"/>
      <c r="E227" s="218"/>
      <c r="F227" s="218"/>
      <c r="G227" s="218"/>
      <c r="H227" s="218"/>
      <c r="I227" s="218"/>
      <c r="J227" s="218"/>
      <c r="K227" s="218"/>
      <c r="L227" s="218"/>
      <c r="M227" s="218"/>
      <c r="N227" s="218"/>
      <c r="O227" s="218"/>
      <c r="P227" s="218"/>
      <c r="Q227" s="218"/>
      <c r="R227" s="218"/>
      <c r="S227" s="218"/>
      <c r="T227" s="218"/>
      <c r="U227" s="218"/>
      <c r="V227" s="218"/>
      <c r="W227" s="218"/>
      <c r="X227" s="218"/>
      <c r="Y227" s="218"/>
      <c r="Z227" s="218"/>
      <c r="AA227" s="218"/>
      <c r="AB227" s="218"/>
      <c r="AC227" s="218"/>
      <c r="AD227" s="218"/>
      <c r="AE227" s="218"/>
      <c r="AF227" s="218"/>
      <c r="AG227" s="218"/>
      <c r="AH227" s="218"/>
      <c r="AI227" s="218"/>
      <c r="AJ227" s="218"/>
      <c r="AK227" s="218"/>
      <c r="AL227" s="218"/>
      <c r="AM227" s="218"/>
      <c r="AN227" s="218"/>
    </row>
    <row r="228" ht="26.25" customHeight="1">
      <c r="A228" s="1"/>
      <c r="B228" s="218"/>
      <c r="C228" s="218"/>
      <c r="D228" s="218"/>
      <c r="E228" s="218"/>
      <c r="F228" s="218"/>
      <c r="G228" s="218"/>
      <c r="H228" s="218"/>
      <c r="I228" s="218"/>
      <c r="J228" s="218"/>
      <c r="K228" s="218"/>
      <c r="L228" s="218"/>
      <c r="M228" s="218"/>
      <c r="N228" s="218"/>
      <c r="O228" s="218"/>
      <c r="P228" s="218"/>
      <c r="Q228" s="218"/>
      <c r="R228" s="218"/>
      <c r="S228" s="218"/>
      <c r="T228" s="218"/>
      <c r="U228" s="218"/>
      <c r="V228" s="218"/>
      <c r="W228" s="218"/>
      <c r="X228" s="218"/>
      <c r="Y228" s="218"/>
      <c r="Z228" s="218"/>
      <c r="AA228" s="218"/>
      <c r="AB228" s="218"/>
      <c r="AC228" s="218"/>
      <c r="AD228" s="218"/>
      <c r="AE228" s="218"/>
      <c r="AF228" s="218"/>
      <c r="AG228" s="218"/>
      <c r="AH228" s="218"/>
      <c r="AI228" s="218"/>
      <c r="AJ228" s="218"/>
      <c r="AK228" s="218"/>
      <c r="AL228" s="218"/>
      <c r="AM228" s="218"/>
      <c r="AN228" s="218"/>
    </row>
    <row r="229" ht="26.25" customHeight="1">
      <c r="A229" s="1"/>
      <c r="B229" s="218"/>
      <c r="C229" s="218"/>
      <c r="D229" s="218"/>
      <c r="E229" s="218"/>
      <c r="F229" s="218"/>
      <c r="G229" s="218"/>
      <c r="H229" s="218"/>
      <c r="I229" s="218"/>
      <c r="J229" s="218"/>
      <c r="K229" s="218"/>
      <c r="L229" s="218"/>
      <c r="M229" s="218"/>
      <c r="N229" s="218"/>
      <c r="O229" s="218"/>
      <c r="P229" s="218"/>
      <c r="Q229" s="218"/>
      <c r="R229" s="218"/>
      <c r="S229" s="218"/>
      <c r="T229" s="218"/>
      <c r="U229" s="218"/>
      <c r="V229" s="218"/>
      <c r="W229" s="218"/>
      <c r="X229" s="218"/>
      <c r="Y229" s="218"/>
      <c r="Z229" s="218"/>
      <c r="AA229" s="218"/>
      <c r="AB229" s="218"/>
      <c r="AC229" s="218"/>
      <c r="AD229" s="218"/>
      <c r="AE229" s="218"/>
      <c r="AF229" s="218"/>
      <c r="AG229" s="218"/>
      <c r="AH229" s="218"/>
      <c r="AI229" s="218"/>
      <c r="AJ229" s="218"/>
      <c r="AK229" s="218"/>
      <c r="AL229" s="218"/>
      <c r="AM229" s="218"/>
      <c r="AN229" s="218"/>
    </row>
    <row r="230" ht="26.25" customHeight="1">
      <c r="A230" s="1"/>
      <c r="B230" s="218"/>
      <c r="C230" s="218"/>
      <c r="D230" s="218"/>
      <c r="E230" s="218"/>
      <c r="F230" s="218"/>
      <c r="G230" s="218"/>
      <c r="H230" s="218"/>
      <c r="I230" s="218"/>
      <c r="J230" s="218"/>
      <c r="K230" s="218"/>
      <c r="L230" s="218"/>
      <c r="M230" s="218"/>
      <c r="N230" s="218"/>
      <c r="O230" s="218"/>
      <c r="P230" s="218"/>
      <c r="Q230" s="218"/>
      <c r="R230" s="218"/>
      <c r="S230" s="218"/>
      <c r="T230" s="218"/>
      <c r="U230" s="218"/>
      <c r="V230" s="218"/>
      <c r="W230" s="218"/>
      <c r="X230" s="218"/>
      <c r="Y230" s="218"/>
      <c r="Z230" s="218"/>
      <c r="AA230" s="218"/>
      <c r="AB230" s="218"/>
      <c r="AC230" s="218"/>
      <c r="AD230" s="218"/>
      <c r="AE230" s="218"/>
      <c r="AF230" s="218"/>
      <c r="AG230" s="218"/>
      <c r="AH230" s="218"/>
      <c r="AI230" s="218"/>
      <c r="AJ230" s="218"/>
      <c r="AK230" s="218"/>
      <c r="AL230" s="218"/>
      <c r="AM230" s="218"/>
      <c r="AN230" s="218"/>
    </row>
    <row r="231" ht="26.25" customHeight="1">
      <c r="A231" s="1"/>
      <c r="B231" s="218"/>
      <c r="C231" s="218"/>
      <c r="D231" s="218"/>
      <c r="E231" s="218"/>
      <c r="F231" s="218"/>
      <c r="G231" s="218"/>
      <c r="H231" s="218"/>
      <c r="I231" s="218"/>
      <c r="J231" s="218"/>
      <c r="K231" s="218"/>
      <c r="L231" s="218"/>
      <c r="M231" s="218"/>
      <c r="N231" s="218"/>
      <c r="O231" s="218"/>
      <c r="P231" s="218"/>
      <c r="Q231" s="218"/>
      <c r="R231" s="218"/>
      <c r="S231" s="218"/>
      <c r="T231" s="218"/>
      <c r="U231" s="218"/>
      <c r="V231" s="218"/>
      <c r="W231" s="218"/>
      <c r="X231" s="218"/>
      <c r="Y231" s="218"/>
      <c r="Z231" s="218"/>
      <c r="AA231" s="218"/>
      <c r="AB231" s="218"/>
      <c r="AC231" s="218"/>
      <c r="AD231" s="218"/>
      <c r="AE231" s="218"/>
      <c r="AF231" s="218"/>
      <c r="AG231" s="218"/>
      <c r="AH231" s="218"/>
      <c r="AI231" s="218"/>
      <c r="AJ231" s="218"/>
      <c r="AK231" s="218"/>
      <c r="AL231" s="218"/>
      <c r="AM231" s="218"/>
      <c r="AN231" s="218"/>
    </row>
    <row r="232" ht="26.25" customHeight="1">
      <c r="A232" s="1"/>
      <c r="B232" s="218"/>
      <c r="C232" s="218"/>
      <c r="D232" s="218"/>
      <c r="E232" s="218"/>
      <c r="F232" s="218"/>
      <c r="G232" s="218"/>
      <c r="H232" s="218"/>
      <c r="I232" s="218"/>
      <c r="J232" s="218"/>
      <c r="K232" s="218"/>
      <c r="L232" s="218"/>
      <c r="M232" s="218"/>
      <c r="N232" s="218"/>
      <c r="O232" s="218"/>
      <c r="P232" s="218"/>
      <c r="Q232" s="218"/>
      <c r="R232" s="218"/>
      <c r="S232" s="218"/>
      <c r="T232" s="218"/>
      <c r="U232" s="218"/>
      <c r="V232" s="218"/>
      <c r="W232" s="218"/>
      <c r="X232" s="218"/>
      <c r="Y232" s="218"/>
      <c r="Z232" s="218"/>
      <c r="AA232" s="218"/>
      <c r="AB232" s="218"/>
      <c r="AC232" s="218"/>
      <c r="AD232" s="218"/>
      <c r="AE232" s="218"/>
      <c r="AF232" s="218"/>
      <c r="AG232" s="218"/>
      <c r="AH232" s="218"/>
      <c r="AI232" s="218"/>
      <c r="AJ232" s="218"/>
      <c r="AK232" s="218"/>
      <c r="AL232" s="218"/>
      <c r="AM232" s="218"/>
      <c r="AN232" s="218"/>
    </row>
    <row r="233" ht="26.25" customHeight="1">
      <c r="A233" s="1"/>
      <c r="B233" s="218"/>
      <c r="C233" s="218"/>
      <c r="D233" s="218"/>
      <c r="E233" s="218"/>
      <c r="F233" s="218"/>
      <c r="G233" s="218"/>
      <c r="H233" s="218"/>
      <c r="I233" s="218"/>
      <c r="J233" s="218"/>
      <c r="K233" s="218"/>
      <c r="L233" s="218"/>
      <c r="M233" s="218"/>
      <c r="N233" s="218"/>
      <c r="O233" s="218"/>
      <c r="P233" s="218"/>
      <c r="Q233" s="218"/>
      <c r="R233" s="218"/>
      <c r="S233" s="218"/>
      <c r="T233" s="218"/>
      <c r="U233" s="218"/>
      <c r="V233" s="218"/>
      <c r="W233" s="218"/>
      <c r="X233" s="218"/>
      <c r="Y233" s="218"/>
      <c r="Z233" s="218"/>
      <c r="AA233" s="218"/>
      <c r="AB233" s="218"/>
      <c r="AC233" s="218"/>
      <c r="AD233" s="218"/>
      <c r="AE233" s="218"/>
      <c r="AF233" s="218"/>
      <c r="AG233" s="218"/>
      <c r="AH233" s="218"/>
      <c r="AI233" s="218"/>
      <c r="AJ233" s="218"/>
      <c r="AK233" s="218"/>
      <c r="AL233" s="218"/>
      <c r="AM233" s="218"/>
      <c r="AN233" s="218"/>
    </row>
    <row r="234" ht="26.25" customHeight="1">
      <c r="A234" s="1"/>
      <c r="B234" s="218"/>
      <c r="C234" s="218"/>
      <c r="D234" s="218"/>
      <c r="E234" s="218"/>
      <c r="F234" s="218"/>
      <c r="G234" s="218"/>
      <c r="H234" s="218"/>
      <c r="I234" s="218"/>
      <c r="J234" s="218"/>
      <c r="K234" s="218"/>
      <c r="L234" s="218"/>
      <c r="M234" s="218"/>
      <c r="N234" s="218"/>
      <c r="O234" s="218"/>
      <c r="P234" s="218"/>
      <c r="Q234" s="218"/>
      <c r="R234" s="218"/>
      <c r="S234" s="218"/>
      <c r="T234" s="218"/>
      <c r="U234" s="218"/>
      <c r="V234" s="218"/>
      <c r="W234" s="218"/>
      <c r="X234" s="218"/>
      <c r="Y234" s="218"/>
      <c r="Z234" s="218"/>
      <c r="AA234" s="218"/>
      <c r="AB234" s="218"/>
      <c r="AC234" s="218"/>
      <c r="AD234" s="218"/>
      <c r="AE234" s="218"/>
      <c r="AF234" s="218"/>
      <c r="AG234" s="218"/>
      <c r="AH234" s="218"/>
      <c r="AI234" s="218"/>
      <c r="AJ234" s="218"/>
      <c r="AK234" s="218"/>
      <c r="AL234" s="218"/>
      <c r="AM234" s="218"/>
      <c r="AN234" s="218"/>
    </row>
    <row r="235" ht="26.25" customHeight="1">
      <c r="A235" s="1"/>
      <c r="B235" s="218"/>
      <c r="C235" s="218"/>
      <c r="D235" s="218"/>
      <c r="E235" s="218"/>
      <c r="F235" s="218"/>
      <c r="G235" s="218"/>
      <c r="H235" s="218"/>
      <c r="I235" s="218"/>
      <c r="J235" s="218"/>
      <c r="K235" s="218"/>
      <c r="L235" s="218"/>
      <c r="M235" s="218"/>
      <c r="N235" s="218"/>
      <c r="O235" s="218"/>
      <c r="P235" s="218"/>
      <c r="Q235" s="218"/>
      <c r="R235" s="218"/>
      <c r="S235" s="218"/>
      <c r="T235" s="218"/>
      <c r="U235" s="218"/>
      <c r="V235" s="218"/>
      <c r="W235" s="218"/>
      <c r="X235" s="218"/>
      <c r="Y235" s="218"/>
      <c r="Z235" s="218"/>
      <c r="AA235" s="218"/>
      <c r="AB235" s="218"/>
      <c r="AC235" s="218"/>
      <c r="AD235" s="218"/>
      <c r="AE235" s="218"/>
      <c r="AF235" s="218"/>
      <c r="AG235" s="218"/>
      <c r="AH235" s="218"/>
      <c r="AI235" s="218"/>
      <c r="AJ235" s="218"/>
      <c r="AK235" s="218"/>
      <c r="AL235" s="218"/>
      <c r="AM235" s="218"/>
      <c r="AN235" s="218"/>
    </row>
    <row r="236" ht="26.25" customHeight="1">
      <c r="A236" s="1"/>
      <c r="B236" s="218"/>
      <c r="C236" s="218"/>
      <c r="D236" s="218"/>
      <c r="E236" s="218"/>
      <c r="F236" s="218"/>
      <c r="G236" s="218"/>
      <c r="H236" s="218"/>
      <c r="I236" s="218"/>
      <c r="J236" s="218"/>
      <c r="K236" s="218"/>
      <c r="L236" s="218"/>
      <c r="M236" s="218"/>
      <c r="N236" s="218"/>
      <c r="O236" s="218"/>
      <c r="P236" s="218"/>
      <c r="Q236" s="218"/>
      <c r="R236" s="218"/>
      <c r="S236" s="218"/>
      <c r="T236" s="218"/>
      <c r="U236" s="218"/>
      <c r="V236" s="218"/>
      <c r="W236" s="218"/>
      <c r="X236" s="218"/>
      <c r="Y236" s="218"/>
      <c r="Z236" s="218"/>
      <c r="AA236" s="218"/>
      <c r="AB236" s="218"/>
      <c r="AC236" s="218"/>
      <c r="AD236" s="218"/>
      <c r="AE236" s="218"/>
      <c r="AF236" s="218"/>
      <c r="AG236" s="218"/>
      <c r="AH236" s="218"/>
      <c r="AI236" s="218"/>
      <c r="AJ236" s="218"/>
      <c r="AK236" s="218"/>
      <c r="AL236" s="218"/>
      <c r="AM236" s="218"/>
      <c r="AN236" s="218"/>
    </row>
    <row r="237" ht="26.25" customHeight="1">
      <c r="A237" s="1"/>
      <c r="B237" s="218"/>
      <c r="C237" s="218"/>
      <c r="D237" s="218"/>
      <c r="E237" s="218"/>
      <c r="F237" s="218"/>
      <c r="G237" s="218"/>
      <c r="H237" s="218"/>
      <c r="I237" s="218"/>
      <c r="J237" s="218"/>
      <c r="K237" s="218"/>
      <c r="L237" s="218"/>
      <c r="M237" s="218"/>
      <c r="N237" s="218"/>
      <c r="O237" s="218"/>
      <c r="P237" s="218"/>
      <c r="Q237" s="218"/>
      <c r="R237" s="218"/>
      <c r="S237" s="218"/>
      <c r="T237" s="218"/>
      <c r="U237" s="218"/>
      <c r="V237" s="218"/>
      <c r="W237" s="218"/>
      <c r="X237" s="218"/>
      <c r="Y237" s="218"/>
      <c r="Z237" s="218"/>
      <c r="AA237" s="218"/>
      <c r="AB237" s="218"/>
      <c r="AC237" s="218"/>
      <c r="AD237" s="218"/>
      <c r="AE237" s="218"/>
      <c r="AF237" s="218"/>
      <c r="AG237" s="218"/>
      <c r="AH237" s="218"/>
      <c r="AI237" s="218"/>
      <c r="AJ237" s="218"/>
      <c r="AK237" s="218"/>
      <c r="AL237" s="218"/>
      <c r="AM237" s="218"/>
      <c r="AN237" s="218"/>
    </row>
    <row r="238" ht="26.25" customHeight="1">
      <c r="A238" s="1"/>
      <c r="B238" s="218"/>
      <c r="C238" s="218"/>
      <c r="D238" s="218"/>
      <c r="E238" s="218"/>
      <c r="F238" s="218"/>
      <c r="G238" s="218"/>
      <c r="H238" s="218"/>
      <c r="I238" s="218"/>
      <c r="J238" s="218"/>
      <c r="K238" s="218"/>
      <c r="L238" s="218"/>
      <c r="M238" s="218"/>
      <c r="N238" s="218"/>
      <c r="O238" s="218"/>
      <c r="P238" s="218"/>
      <c r="Q238" s="218"/>
      <c r="R238" s="218"/>
      <c r="S238" s="218"/>
      <c r="T238" s="218"/>
      <c r="U238" s="218"/>
      <c r="V238" s="218"/>
      <c r="W238" s="218"/>
      <c r="X238" s="218"/>
      <c r="Y238" s="218"/>
      <c r="Z238" s="218"/>
      <c r="AA238" s="218"/>
      <c r="AB238" s="218"/>
      <c r="AC238" s="218"/>
      <c r="AD238" s="218"/>
      <c r="AE238" s="218"/>
      <c r="AF238" s="218"/>
      <c r="AG238" s="218"/>
      <c r="AH238" s="218"/>
      <c r="AI238" s="218"/>
      <c r="AJ238" s="218"/>
      <c r="AK238" s="218"/>
      <c r="AL238" s="218"/>
      <c r="AM238" s="218"/>
      <c r="AN238" s="218"/>
    </row>
    <row r="239" ht="26.25" customHeight="1">
      <c r="A239" s="1"/>
      <c r="B239" s="218"/>
      <c r="C239" s="218"/>
      <c r="D239" s="218"/>
      <c r="E239" s="218"/>
      <c r="F239" s="218"/>
      <c r="G239" s="218"/>
      <c r="H239" s="218"/>
      <c r="I239" s="218"/>
      <c r="J239" s="218"/>
      <c r="K239" s="218"/>
      <c r="L239" s="218"/>
      <c r="M239" s="218"/>
      <c r="N239" s="218"/>
      <c r="O239" s="218"/>
      <c r="P239" s="218"/>
      <c r="Q239" s="218"/>
      <c r="R239" s="218"/>
      <c r="S239" s="218"/>
      <c r="T239" s="218"/>
      <c r="U239" s="218"/>
      <c r="V239" s="218"/>
      <c r="W239" s="218"/>
      <c r="X239" s="218"/>
      <c r="Y239" s="218"/>
      <c r="Z239" s="218"/>
      <c r="AA239" s="218"/>
      <c r="AB239" s="218"/>
      <c r="AC239" s="218"/>
      <c r="AD239" s="218"/>
      <c r="AE239" s="218"/>
      <c r="AF239" s="218"/>
      <c r="AG239" s="218"/>
      <c r="AH239" s="218"/>
      <c r="AI239" s="218"/>
      <c r="AJ239" s="218"/>
      <c r="AK239" s="218"/>
      <c r="AL239" s="218"/>
      <c r="AM239" s="218"/>
      <c r="AN239" s="218"/>
    </row>
    <row r="240" ht="26.25" customHeight="1">
      <c r="A240" s="1"/>
      <c r="B240" s="218"/>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c r="AA240" s="218"/>
      <c r="AB240" s="218"/>
      <c r="AC240" s="218"/>
      <c r="AD240" s="218"/>
      <c r="AE240" s="218"/>
      <c r="AF240" s="218"/>
      <c r="AG240" s="218"/>
      <c r="AH240" s="218"/>
      <c r="AI240" s="218"/>
      <c r="AJ240" s="218"/>
      <c r="AK240" s="218"/>
      <c r="AL240" s="218"/>
      <c r="AM240" s="218"/>
      <c r="AN240" s="218"/>
    </row>
    <row r="241" ht="26.25" customHeight="1">
      <c r="A241" s="1"/>
      <c r="B241" s="218"/>
      <c r="C241" s="218"/>
      <c r="D241" s="218"/>
      <c r="E241" s="218"/>
      <c r="F241" s="218"/>
      <c r="G241" s="218"/>
      <c r="H241" s="218"/>
      <c r="I241" s="218"/>
      <c r="J241" s="218"/>
      <c r="K241" s="218"/>
      <c r="L241" s="218"/>
      <c r="M241" s="218"/>
      <c r="N241" s="218"/>
      <c r="O241" s="218"/>
      <c r="P241" s="218"/>
      <c r="Q241" s="218"/>
      <c r="R241" s="218"/>
      <c r="S241" s="218"/>
      <c r="T241" s="218"/>
      <c r="U241" s="218"/>
      <c r="V241" s="218"/>
      <c r="W241" s="218"/>
      <c r="X241" s="218"/>
      <c r="Y241" s="218"/>
      <c r="Z241" s="218"/>
      <c r="AA241" s="218"/>
      <c r="AB241" s="218"/>
      <c r="AC241" s="218"/>
      <c r="AD241" s="218"/>
      <c r="AE241" s="218"/>
      <c r="AF241" s="218"/>
      <c r="AG241" s="218"/>
      <c r="AH241" s="218"/>
      <c r="AI241" s="218"/>
      <c r="AJ241" s="218"/>
      <c r="AK241" s="218"/>
      <c r="AL241" s="218"/>
      <c r="AM241" s="218"/>
      <c r="AN241" s="218"/>
    </row>
    <row r="242" ht="26.25" customHeight="1">
      <c r="A242" s="1"/>
      <c r="B242" s="218"/>
      <c r="C242" s="218"/>
      <c r="D242" s="218"/>
      <c r="E242" s="218"/>
      <c r="F242" s="218"/>
      <c r="G242" s="218"/>
      <c r="H242" s="218"/>
      <c r="I242" s="218"/>
      <c r="J242" s="218"/>
      <c r="K242" s="218"/>
      <c r="L242" s="218"/>
      <c r="M242" s="218"/>
      <c r="N242" s="218"/>
      <c r="O242" s="218"/>
      <c r="P242" s="218"/>
      <c r="Q242" s="218"/>
      <c r="R242" s="218"/>
      <c r="S242" s="218"/>
      <c r="T242" s="218"/>
      <c r="U242" s="218"/>
      <c r="V242" s="218"/>
      <c r="W242" s="218"/>
      <c r="X242" s="218"/>
      <c r="Y242" s="218"/>
      <c r="Z242" s="218"/>
      <c r="AA242" s="218"/>
      <c r="AB242" s="218"/>
      <c r="AC242" s="218"/>
      <c r="AD242" s="218"/>
      <c r="AE242" s="218"/>
      <c r="AF242" s="218"/>
      <c r="AG242" s="218"/>
      <c r="AH242" s="218"/>
      <c r="AI242" s="218"/>
      <c r="AJ242" s="218"/>
      <c r="AK242" s="218"/>
      <c r="AL242" s="218"/>
      <c r="AM242" s="218"/>
      <c r="AN242" s="218"/>
    </row>
    <row r="243" ht="26.25" customHeight="1">
      <c r="A243" s="1"/>
      <c r="B243" s="218"/>
      <c r="C243" s="218"/>
      <c r="D243" s="218"/>
      <c r="E243" s="218"/>
      <c r="F243" s="218"/>
      <c r="G243" s="218"/>
      <c r="H243" s="218"/>
      <c r="I243" s="218"/>
      <c r="J243" s="218"/>
      <c r="K243" s="218"/>
      <c r="L243" s="218"/>
      <c r="M243" s="218"/>
      <c r="N243" s="218"/>
      <c r="O243" s="218"/>
      <c r="P243" s="218"/>
      <c r="Q243" s="218"/>
      <c r="R243" s="218"/>
      <c r="S243" s="218"/>
      <c r="T243" s="218"/>
      <c r="U243" s="218"/>
      <c r="V243" s="218"/>
      <c r="W243" s="218"/>
      <c r="X243" s="218"/>
      <c r="Y243" s="218"/>
      <c r="Z243" s="218"/>
      <c r="AA243" s="218"/>
      <c r="AB243" s="218"/>
      <c r="AC243" s="218"/>
      <c r="AD243" s="218"/>
      <c r="AE243" s="218"/>
      <c r="AF243" s="218"/>
      <c r="AG243" s="218"/>
      <c r="AH243" s="218"/>
      <c r="AI243" s="218"/>
      <c r="AJ243" s="218"/>
      <c r="AK243" s="218"/>
      <c r="AL243" s="218"/>
      <c r="AM243" s="218"/>
      <c r="AN243" s="218"/>
    </row>
    <row r="244" ht="26.25" customHeight="1">
      <c r="A244" s="1"/>
      <c r="B244" s="218"/>
      <c r="C244" s="218"/>
      <c r="D244" s="218"/>
      <c r="E244" s="218"/>
      <c r="F244" s="218"/>
      <c r="G244" s="218"/>
      <c r="H244" s="218"/>
      <c r="I244" s="218"/>
      <c r="J244" s="218"/>
      <c r="K244" s="218"/>
      <c r="L244" s="218"/>
      <c r="M244" s="218"/>
      <c r="N244" s="218"/>
      <c r="O244" s="218"/>
      <c r="P244" s="218"/>
      <c r="Q244" s="218"/>
      <c r="R244" s="218"/>
      <c r="S244" s="218"/>
      <c r="T244" s="218"/>
      <c r="U244" s="218"/>
      <c r="V244" s="218"/>
      <c r="W244" s="218"/>
      <c r="X244" s="218"/>
      <c r="Y244" s="218"/>
      <c r="Z244" s="218"/>
      <c r="AA244" s="218"/>
      <c r="AB244" s="218"/>
      <c r="AC244" s="218"/>
      <c r="AD244" s="218"/>
      <c r="AE244" s="218"/>
      <c r="AF244" s="218"/>
      <c r="AG244" s="218"/>
      <c r="AH244" s="218"/>
      <c r="AI244" s="218"/>
      <c r="AJ244" s="218"/>
      <c r="AK244" s="218"/>
      <c r="AL244" s="218"/>
      <c r="AM244" s="218"/>
      <c r="AN244" s="218"/>
    </row>
    <row r="245" ht="26.25" customHeight="1">
      <c r="A245" s="1"/>
      <c r="B245" s="218"/>
      <c r="C245" s="218"/>
      <c r="D245" s="218"/>
      <c r="E245" s="218"/>
      <c r="F245" s="218"/>
      <c r="G245" s="218"/>
      <c r="H245" s="218"/>
      <c r="I245" s="218"/>
      <c r="J245" s="218"/>
      <c r="K245" s="218"/>
      <c r="L245" s="218"/>
      <c r="M245" s="218"/>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row>
    <row r="246" ht="26.25" customHeight="1">
      <c r="A246" s="1"/>
      <c r="B246" s="218"/>
      <c r="C246" s="218"/>
      <c r="D246" s="218"/>
      <c r="E246" s="218"/>
      <c r="F246" s="218"/>
      <c r="G246" s="218"/>
      <c r="H246" s="218"/>
      <c r="I246" s="218"/>
      <c r="J246" s="218"/>
      <c r="K246" s="218"/>
      <c r="L246" s="218"/>
      <c r="M246" s="218"/>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row>
    <row r="247" ht="26.25" customHeight="1">
      <c r="A247" s="1"/>
      <c r="B247" s="218"/>
      <c r="C247" s="218"/>
      <c r="D247" s="218"/>
      <c r="E247" s="218"/>
      <c r="F247" s="218"/>
      <c r="G247" s="218"/>
      <c r="H247" s="218"/>
      <c r="I247" s="218"/>
      <c r="J247" s="218"/>
      <c r="K247" s="218"/>
      <c r="L247" s="218"/>
      <c r="M247" s="218"/>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row>
    <row r="248" ht="26.25" customHeight="1">
      <c r="A248" s="1"/>
      <c r="B248" s="218"/>
      <c r="C248" s="218"/>
      <c r="D248" s="218"/>
      <c r="E248" s="218"/>
      <c r="F248" s="218"/>
      <c r="G248" s="218"/>
      <c r="H248" s="218"/>
      <c r="I248" s="218"/>
      <c r="J248" s="218"/>
      <c r="K248" s="218"/>
      <c r="L248" s="218"/>
      <c r="M248" s="218"/>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row>
    <row r="249" ht="26.25" customHeight="1">
      <c r="A249" s="1"/>
      <c r="B249" s="218"/>
      <c r="C249" s="218"/>
      <c r="D249" s="218"/>
      <c r="E249" s="218"/>
      <c r="F249" s="218"/>
      <c r="G249" s="218"/>
      <c r="H249" s="218"/>
      <c r="I249" s="218"/>
      <c r="J249" s="218"/>
      <c r="K249" s="218"/>
      <c r="L249" s="218"/>
      <c r="M249" s="218"/>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row>
    <row r="250" ht="26.25" customHeight="1">
      <c r="A250" s="1"/>
      <c r="B250" s="218"/>
      <c r="C250" s="218"/>
      <c r="D250" s="218"/>
      <c r="E250" s="218"/>
      <c r="F250" s="218"/>
      <c r="G250" s="218"/>
      <c r="H250" s="218"/>
      <c r="I250" s="218"/>
      <c r="J250" s="218"/>
      <c r="K250" s="218"/>
      <c r="L250" s="218"/>
      <c r="M250" s="218"/>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row>
    <row r="251" ht="26.25" customHeight="1">
      <c r="A251" s="1"/>
      <c r="B251" s="218"/>
      <c r="C251" s="218"/>
      <c r="D251" s="218"/>
      <c r="E251" s="218"/>
      <c r="F251" s="218"/>
      <c r="G251" s="218"/>
      <c r="H251" s="218"/>
      <c r="I251" s="218"/>
      <c r="J251" s="218"/>
      <c r="K251" s="218"/>
      <c r="L251" s="218"/>
      <c r="M251" s="218"/>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row>
    <row r="252" ht="26.25" customHeight="1">
      <c r="A252" s="1"/>
      <c r="B252" s="218"/>
      <c r="C252" s="218"/>
      <c r="D252" s="218"/>
      <c r="E252" s="218"/>
      <c r="F252" s="218"/>
      <c r="G252" s="218"/>
      <c r="H252" s="218"/>
      <c r="I252" s="218"/>
      <c r="J252" s="218"/>
      <c r="K252" s="218"/>
      <c r="L252" s="218"/>
      <c r="M252" s="218"/>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row>
    <row r="253" ht="26.25" customHeight="1">
      <c r="A253" s="1"/>
      <c r="B253" s="218"/>
      <c r="C253" s="218"/>
      <c r="D253" s="218"/>
      <c r="E253" s="218"/>
      <c r="F253" s="218"/>
      <c r="G253" s="218"/>
      <c r="H253" s="218"/>
      <c r="I253" s="218"/>
      <c r="J253" s="218"/>
      <c r="K253" s="218"/>
      <c r="L253" s="218"/>
      <c r="M253" s="218"/>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row>
    <row r="254" ht="26.25" customHeight="1">
      <c r="A254" s="1"/>
      <c r="B254" s="218"/>
      <c r="C254" s="218"/>
      <c r="D254" s="218"/>
      <c r="E254" s="218"/>
      <c r="F254" s="218"/>
      <c r="G254" s="218"/>
      <c r="H254" s="218"/>
      <c r="I254" s="218"/>
      <c r="J254" s="218"/>
      <c r="K254" s="218"/>
      <c r="L254" s="218"/>
      <c r="M254" s="218"/>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row>
    <row r="255" ht="26.25" customHeight="1">
      <c r="A255" s="1"/>
      <c r="B255" s="218"/>
      <c r="C255" s="218"/>
      <c r="D255" s="218"/>
      <c r="E255" s="218"/>
      <c r="F255" s="218"/>
      <c r="G255" s="218"/>
      <c r="H255" s="218"/>
      <c r="I255" s="218"/>
      <c r="J255" s="218"/>
      <c r="K255" s="218"/>
      <c r="L255" s="218"/>
      <c r="M255" s="218"/>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row>
    <row r="256" ht="26.25" customHeight="1">
      <c r="A256" s="1"/>
      <c r="B256" s="218"/>
      <c r="C256" s="218"/>
      <c r="D256" s="218"/>
      <c r="E256" s="218"/>
      <c r="F256" s="218"/>
      <c r="G256" s="218"/>
      <c r="H256" s="218"/>
      <c r="I256" s="218"/>
      <c r="J256" s="218"/>
      <c r="K256" s="218"/>
      <c r="L256" s="218"/>
      <c r="M256" s="218"/>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row>
    <row r="257" ht="26.25" customHeight="1">
      <c r="A257" s="1"/>
      <c r="B257" s="218"/>
      <c r="C257" s="218"/>
      <c r="D257" s="218"/>
      <c r="E257" s="218"/>
      <c r="F257" s="218"/>
      <c r="G257" s="218"/>
      <c r="H257" s="218"/>
      <c r="I257" s="218"/>
      <c r="J257" s="218"/>
      <c r="K257" s="218"/>
      <c r="L257" s="218"/>
      <c r="M257" s="218"/>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row>
    <row r="258" ht="26.25" customHeight="1">
      <c r="A258" s="1"/>
      <c r="B258" s="218"/>
      <c r="C258" s="218"/>
      <c r="D258" s="218"/>
      <c r="E258" s="218"/>
      <c r="F258" s="218"/>
      <c r="G258" s="218"/>
      <c r="H258" s="218"/>
      <c r="I258" s="218"/>
      <c r="J258" s="218"/>
      <c r="K258" s="218"/>
      <c r="L258" s="218"/>
      <c r="M258" s="218"/>
      <c r="N258" s="218"/>
      <c r="O258" s="218"/>
      <c r="P258" s="218"/>
      <c r="Q258" s="218"/>
      <c r="R258" s="218"/>
      <c r="S258" s="218"/>
      <c r="T258" s="218"/>
      <c r="U258" s="218"/>
      <c r="V258" s="218"/>
      <c r="W258" s="218"/>
      <c r="X258" s="218"/>
      <c r="Y258" s="218"/>
      <c r="Z258" s="218"/>
      <c r="AA258" s="218"/>
      <c r="AB258" s="218"/>
      <c r="AC258" s="218"/>
      <c r="AD258" s="218"/>
      <c r="AE258" s="218"/>
      <c r="AF258" s="218"/>
      <c r="AG258" s="218"/>
      <c r="AH258" s="218"/>
      <c r="AI258" s="218"/>
      <c r="AJ258" s="218"/>
      <c r="AK258" s="218"/>
      <c r="AL258" s="218"/>
      <c r="AM258" s="218"/>
      <c r="AN258" s="218"/>
    </row>
    <row r="259" ht="26.25" customHeight="1">
      <c r="A259" s="1"/>
      <c r="B259" s="218"/>
      <c r="C259" s="218"/>
      <c r="D259" s="218"/>
      <c r="E259" s="218"/>
      <c r="F259" s="218"/>
      <c r="G259" s="218"/>
      <c r="H259" s="218"/>
      <c r="I259" s="218"/>
      <c r="J259" s="218"/>
      <c r="K259" s="218"/>
      <c r="L259" s="218"/>
      <c r="M259" s="218"/>
      <c r="N259" s="218"/>
      <c r="O259" s="218"/>
      <c r="P259" s="218"/>
      <c r="Q259" s="218"/>
      <c r="R259" s="218"/>
      <c r="S259" s="218"/>
      <c r="T259" s="218"/>
      <c r="U259" s="218"/>
      <c r="V259" s="218"/>
      <c r="W259" s="218"/>
      <c r="X259" s="218"/>
      <c r="Y259" s="218"/>
      <c r="Z259" s="218"/>
      <c r="AA259" s="218"/>
      <c r="AB259" s="218"/>
      <c r="AC259" s="218"/>
      <c r="AD259" s="218"/>
      <c r="AE259" s="218"/>
      <c r="AF259" s="218"/>
      <c r="AG259" s="218"/>
      <c r="AH259" s="218"/>
      <c r="AI259" s="218"/>
      <c r="AJ259" s="218"/>
      <c r="AK259" s="218"/>
      <c r="AL259" s="218"/>
      <c r="AM259" s="218"/>
      <c r="AN259" s="218"/>
    </row>
    <row r="260" ht="26.25" customHeight="1">
      <c r="A260" s="1"/>
      <c r="B260" s="218"/>
      <c r="C260" s="218"/>
      <c r="D260" s="218"/>
      <c r="E260" s="218"/>
      <c r="F260" s="218"/>
      <c r="G260" s="218"/>
      <c r="H260" s="218"/>
      <c r="I260" s="218"/>
      <c r="J260" s="218"/>
      <c r="K260" s="218"/>
      <c r="L260" s="218"/>
      <c r="M260" s="218"/>
      <c r="N260" s="218"/>
      <c r="O260" s="218"/>
      <c r="P260" s="218"/>
      <c r="Q260" s="218"/>
      <c r="R260" s="218"/>
      <c r="S260" s="218"/>
      <c r="T260" s="218"/>
      <c r="U260" s="218"/>
      <c r="V260" s="218"/>
      <c r="W260" s="218"/>
      <c r="X260" s="218"/>
      <c r="Y260" s="218"/>
      <c r="Z260" s="218"/>
      <c r="AA260" s="218"/>
      <c r="AB260" s="218"/>
      <c r="AC260" s="218"/>
      <c r="AD260" s="218"/>
      <c r="AE260" s="218"/>
      <c r="AF260" s="218"/>
      <c r="AG260" s="218"/>
      <c r="AH260" s="218"/>
      <c r="AI260" s="218"/>
      <c r="AJ260" s="218"/>
      <c r="AK260" s="218"/>
      <c r="AL260" s="218"/>
      <c r="AM260" s="218"/>
      <c r="AN260" s="218"/>
    </row>
    <row r="261" ht="26.25" customHeight="1">
      <c r="A261" s="1"/>
      <c r="B261" s="218"/>
      <c r="C261" s="218"/>
      <c r="D261" s="218"/>
      <c r="E261" s="218"/>
      <c r="F261" s="218"/>
      <c r="G261" s="218"/>
      <c r="H261" s="218"/>
      <c r="I261" s="218"/>
      <c r="J261" s="218"/>
      <c r="K261" s="218"/>
      <c r="L261" s="218"/>
      <c r="M261" s="218"/>
      <c r="N261" s="218"/>
      <c r="O261" s="218"/>
      <c r="P261" s="218"/>
      <c r="Q261" s="218"/>
      <c r="R261" s="218"/>
      <c r="S261" s="218"/>
      <c r="T261" s="218"/>
      <c r="U261" s="218"/>
      <c r="V261" s="218"/>
      <c r="W261" s="218"/>
      <c r="X261" s="218"/>
      <c r="Y261" s="218"/>
      <c r="Z261" s="218"/>
      <c r="AA261" s="218"/>
      <c r="AB261" s="218"/>
      <c r="AC261" s="218"/>
      <c r="AD261" s="218"/>
      <c r="AE261" s="218"/>
      <c r="AF261" s="218"/>
      <c r="AG261" s="218"/>
      <c r="AH261" s="218"/>
      <c r="AI261" s="218"/>
      <c r="AJ261" s="218"/>
      <c r="AK261" s="218"/>
      <c r="AL261" s="218"/>
      <c r="AM261" s="218"/>
      <c r="AN261" s="218"/>
    </row>
    <row r="262" ht="26.25" customHeight="1">
      <c r="A262" s="1"/>
      <c r="B262" s="218"/>
      <c r="C262" s="218"/>
      <c r="D262" s="218"/>
      <c r="E262" s="218"/>
      <c r="F262" s="218"/>
      <c r="G262" s="218"/>
      <c r="H262" s="218"/>
      <c r="I262" s="218"/>
      <c r="J262" s="218"/>
      <c r="K262" s="218"/>
      <c r="L262" s="218"/>
      <c r="M262" s="218"/>
      <c r="N262" s="218"/>
      <c r="O262" s="218"/>
      <c r="P262" s="218"/>
      <c r="Q262" s="218"/>
      <c r="R262" s="218"/>
      <c r="S262" s="218"/>
      <c r="T262" s="218"/>
      <c r="U262" s="218"/>
      <c r="V262" s="218"/>
      <c r="W262" s="218"/>
      <c r="X262" s="218"/>
      <c r="Y262" s="218"/>
      <c r="Z262" s="218"/>
      <c r="AA262" s="218"/>
      <c r="AB262" s="218"/>
      <c r="AC262" s="218"/>
      <c r="AD262" s="218"/>
      <c r="AE262" s="218"/>
      <c r="AF262" s="218"/>
      <c r="AG262" s="218"/>
      <c r="AH262" s="218"/>
      <c r="AI262" s="218"/>
      <c r="AJ262" s="218"/>
      <c r="AK262" s="218"/>
      <c r="AL262" s="218"/>
      <c r="AM262" s="218"/>
      <c r="AN262" s="218"/>
    </row>
    <row r="263" ht="26.25" customHeight="1">
      <c r="A263" s="1"/>
      <c r="B263" s="218"/>
      <c r="C263" s="218"/>
      <c r="D263" s="218"/>
      <c r="E263" s="218"/>
      <c r="F263" s="218"/>
      <c r="G263" s="218"/>
      <c r="H263" s="218"/>
      <c r="I263" s="218"/>
      <c r="J263" s="218"/>
      <c r="K263" s="218"/>
      <c r="L263" s="218"/>
      <c r="M263" s="218"/>
      <c r="N263" s="218"/>
      <c r="O263" s="218"/>
      <c r="P263" s="218"/>
      <c r="Q263" s="218"/>
      <c r="R263" s="218"/>
      <c r="S263" s="218"/>
      <c r="T263" s="218"/>
      <c r="U263" s="218"/>
      <c r="V263" s="218"/>
      <c r="W263" s="218"/>
      <c r="X263" s="218"/>
      <c r="Y263" s="218"/>
      <c r="Z263" s="218"/>
      <c r="AA263" s="218"/>
      <c r="AB263" s="218"/>
      <c r="AC263" s="218"/>
      <c r="AD263" s="218"/>
      <c r="AE263" s="218"/>
      <c r="AF263" s="218"/>
      <c r="AG263" s="218"/>
      <c r="AH263" s="218"/>
      <c r="AI263" s="218"/>
      <c r="AJ263" s="218"/>
      <c r="AK263" s="218"/>
      <c r="AL263" s="218"/>
      <c r="AM263" s="218"/>
      <c r="AN263" s="218"/>
    </row>
    <row r="264" ht="26.25" customHeight="1">
      <c r="A264" s="1"/>
      <c r="B264" s="218"/>
      <c r="C264" s="218"/>
      <c r="D264" s="218"/>
      <c r="E264" s="218"/>
      <c r="F264" s="218"/>
      <c r="G264" s="218"/>
      <c r="H264" s="218"/>
      <c r="I264" s="218"/>
      <c r="J264" s="218"/>
      <c r="K264" s="218"/>
      <c r="L264" s="218"/>
      <c r="M264" s="218"/>
      <c r="N264" s="218"/>
      <c r="O264" s="218"/>
      <c r="P264" s="218"/>
      <c r="Q264" s="218"/>
      <c r="R264" s="218"/>
      <c r="S264" s="218"/>
      <c r="T264" s="218"/>
      <c r="U264" s="218"/>
      <c r="V264" s="218"/>
      <c r="W264" s="218"/>
      <c r="X264" s="218"/>
      <c r="Y264" s="218"/>
      <c r="Z264" s="218"/>
      <c r="AA264" s="218"/>
      <c r="AB264" s="218"/>
      <c r="AC264" s="218"/>
      <c r="AD264" s="218"/>
      <c r="AE264" s="218"/>
      <c r="AF264" s="218"/>
      <c r="AG264" s="218"/>
      <c r="AH264" s="218"/>
      <c r="AI264" s="218"/>
      <c r="AJ264" s="218"/>
      <c r="AK264" s="218"/>
      <c r="AL264" s="218"/>
      <c r="AM264" s="218"/>
      <c r="AN264" s="218"/>
    </row>
    <row r="265" ht="26.25" customHeight="1">
      <c r="A265" s="1"/>
      <c r="B265" s="218"/>
      <c r="C265" s="218"/>
      <c r="D265" s="218"/>
      <c r="E265" s="218"/>
      <c r="F265" s="218"/>
      <c r="G265" s="218"/>
      <c r="H265" s="218"/>
      <c r="I265" s="218"/>
      <c r="J265" s="218"/>
      <c r="K265" s="218"/>
      <c r="L265" s="218"/>
      <c r="M265" s="218"/>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row>
    <row r="266" ht="26.25" customHeight="1">
      <c r="A266" s="1"/>
      <c r="B266" s="218"/>
      <c r="C266" s="218"/>
      <c r="D266" s="218"/>
      <c r="E266" s="218"/>
      <c r="F266" s="218"/>
      <c r="G266" s="218"/>
      <c r="H266" s="218"/>
      <c r="I266" s="218"/>
      <c r="J266" s="218"/>
      <c r="K266" s="218"/>
      <c r="L266" s="218"/>
      <c r="M266" s="218"/>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row>
    <row r="267" ht="26.25" customHeight="1">
      <c r="A267" s="1"/>
      <c r="B267" s="218"/>
      <c r="C267" s="218"/>
      <c r="D267" s="218"/>
      <c r="E267" s="218"/>
      <c r="F267" s="218"/>
      <c r="G267" s="218"/>
      <c r="H267" s="218"/>
      <c r="I267" s="218"/>
      <c r="J267" s="218"/>
      <c r="K267" s="218"/>
      <c r="L267" s="218"/>
      <c r="M267" s="218"/>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row>
    <row r="268" ht="26.25" customHeight="1">
      <c r="A268" s="1"/>
      <c r="B268" s="218"/>
      <c r="C268" s="218"/>
      <c r="D268" s="218"/>
      <c r="E268" s="218"/>
      <c r="F268" s="218"/>
      <c r="G268" s="218"/>
      <c r="H268" s="218"/>
      <c r="I268" s="218"/>
      <c r="J268" s="218"/>
      <c r="K268" s="218"/>
      <c r="L268" s="218"/>
      <c r="M268" s="218"/>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row>
    <row r="269" ht="26.25" customHeight="1">
      <c r="A269" s="1"/>
      <c r="B269" s="218"/>
      <c r="C269" s="218"/>
      <c r="D269" s="218"/>
      <c r="E269" s="218"/>
      <c r="F269" s="218"/>
      <c r="G269" s="218"/>
      <c r="H269" s="218"/>
      <c r="I269" s="218"/>
      <c r="J269" s="218"/>
      <c r="K269" s="218"/>
      <c r="L269" s="218"/>
      <c r="M269" s="218"/>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row>
    <row r="270" ht="26.25" customHeight="1">
      <c r="A270" s="1"/>
      <c r="B270" s="218"/>
      <c r="C270" s="218"/>
      <c r="D270" s="218"/>
      <c r="E270" s="218"/>
      <c r="F270" s="218"/>
      <c r="G270" s="218"/>
      <c r="H270" s="218"/>
      <c r="I270" s="218"/>
      <c r="J270" s="218"/>
      <c r="K270" s="218"/>
      <c r="L270" s="218"/>
      <c r="M270" s="218"/>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row>
    <row r="271" ht="26.25" customHeight="1">
      <c r="A271" s="1"/>
      <c r="B271" s="218"/>
      <c r="C271" s="218"/>
      <c r="D271" s="218"/>
      <c r="E271" s="218"/>
      <c r="F271" s="218"/>
      <c r="G271" s="218"/>
      <c r="H271" s="218"/>
      <c r="I271" s="218"/>
      <c r="J271" s="218"/>
      <c r="K271" s="218"/>
      <c r="L271" s="218"/>
      <c r="M271" s="218"/>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row>
    <row r="272" ht="15.75" customHeight="1">
      <c r="A272" s="220"/>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c r="AA272" s="220"/>
      <c r="AB272" s="220"/>
      <c r="AC272" s="220"/>
      <c r="AD272" s="220"/>
      <c r="AE272" s="220"/>
      <c r="AF272" s="220"/>
      <c r="AG272" s="220"/>
      <c r="AH272" s="220"/>
      <c r="AI272" s="220"/>
      <c r="AJ272" s="220"/>
      <c r="AK272" s="220"/>
      <c r="AL272" s="220"/>
      <c r="AM272" s="220"/>
      <c r="AN272" s="220"/>
    </row>
    <row r="273" ht="15.75" customHeight="1">
      <c r="A273" s="220"/>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row>
    <row r="274" ht="15.75" customHeight="1">
      <c r="A274" s="220"/>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c r="AA274" s="220"/>
      <c r="AB274" s="220"/>
      <c r="AC274" s="220"/>
      <c r="AD274" s="220"/>
      <c r="AE274" s="220"/>
      <c r="AF274" s="220"/>
      <c r="AG274" s="220"/>
      <c r="AH274" s="220"/>
      <c r="AI274" s="220"/>
      <c r="AJ274" s="220"/>
      <c r="AK274" s="220"/>
      <c r="AL274" s="220"/>
      <c r="AM274" s="220"/>
      <c r="AN274" s="220"/>
    </row>
    <row r="275" ht="15.75" customHeight="1">
      <c r="A275" s="220"/>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c r="AA275" s="220"/>
      <c r="AB275" s="220"/>
      <c r="AC275" s="220"/>
      <c r="AD275" s="220"/>
      <c r="AE275" s="220"/>
      <c r="AF275" s="220"/>
      <c r="AG275" s="220"/>
      <c r="AH275" s="220"/>
      <c r="AI275" s="220"/>
      <c r="AJ275" s="220"/>
      <c r="AK275" s="220"/>
      <c r="AL275" s="220"/>
      <c r="AM275" s="220"/>
      <c r="AN275" s="220"/>
    </row>
    <row r="276" ht="15.75" customHeight="1">
      <c r="A276" s="220"/>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c r="AA276" s="220"/>
      <c r="AB276" s="220"/>
      <c r="AC276" s="220"/>
      <c r="AD276" s="220"/>
      <c r="AE276" s="220"/>
      <c r="AF276" s="220"/>
      <c r="AG276" s="220"/>
      <c r="AH276" s="220"/>
      <c r="AI276" s="220"/>
      <c r="AJ276" s="220"/>
      <c r="AK276" s="220"/>
      <c r="AL276" s="220"/>
      <c r="AM276" s="220"/>
      <c r="AN276" s="220"/>
    </row>
    <row r="277" ht="15.75" customHeight="1">
      <c r="A277" s="220"/>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c r="AN277" s="220"/>
    </row>
    <row r="278" ht="15.75" customHeight="1">
      <c r="A278" s="220"/>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c r="AN278" s="220"/>
    </row>
    <row r="279" ht="15.75" customHeight="1">
      <c r="A279" s="220"/>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c r="AA279" s="220"/>
      <c r="AB279" s="220"/>
      <c r="AC279" s="220"/>
      <c r="AD279" s="220"/>
      <c r="AE279" s="220"/>
      <c r="AF279" s="220"/>
      <c r="AG279" s="220"/>
      <c r="AH279" s="220"/>
      <c r="AI279" s="220"/>
      <c r="AJ279" s="220"/>
      <c r="AK279" s="220"/>
      <c r="AL279" s="220"/>
      <c r="AM279" s="220"/>
      <c r="AN279" s="220"/>
    </row>
    <row r="280" ht="15.75" customHeight="1">
      <c r="A280" s="220"/>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c r="AA280" s="220"/>
      <c r="AB280" s="220"/>
      <c r="AC280" s="220"/>
      <c r="AD280" s="220"/>
      <c r="AE280" s="220"/>
      <c r="AF280" s="220"/>
      <c r="AG280" s="220"/>
      <c r="AH280" s="220"/>
      <c r="AI280" s="220"/>
      <c r="AJ280" s="220"/>
      <c r="AK280" s="220"/>
      <c r="AL280" s="220"/>
      <c r="AM280" s="220"/>
      <c r="AN280" s="220"/>
    </row>
    <row r="281" ht="15.75" customHeight="1">
      <c r="A281" s="220"/>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0"/>
      <c r="AL281" s="220"/>
      <c r="AM281" s="220"/>
      <c r="AN281" s="220"/>
    </row>
    <row r="282" ht="15.75" customHeight="1">
      <c r="A282" s="220"/>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c r="AB282" s="220"/>
      <c r="AC282" s="220"/>
      <c r="AD282" s="220"/>
      <c r="AE282" s="220"/>
      <c r="AF282" s="220"/>
      <c r="AG282" s="220"/>
      <c r="AH282" s="220"/>
      <c r="AI282" s="220"/>
      <c r="AJ282" s="220"/>
      <c r="AK282" s="220"/>
      <c r="AL282" s="220"/>
      <c r="AM282" s="220"/>
      <c r="AN282" s="220"/>
    </row>
    <row r="283" ht="15.75" customHeight="1">
      <c r="A283" s="220"/>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c r="AA283" s="220"/>
      <c r="AB283" s="220"/>
      <c r="AC283" s="220"/>
      <c r="AD283" s="220"/>
      <c r="AE283" s="220"/>
      <c r="AF283" s="220"/>
      <c r="AG283" s="220"/>
      <c r="AH283" s="220"/>
      <c r="AI283" s="220"/>
      <c r="AJ283" s="220"/>
      <c r="AK283" s="220"/>
      <c r="AL283" s="220"/>
      <c r="AM283" s="220"/>
      <c r="AN283" s="220"/>
    </row>
    <row r="284" ht="15.75" customHeight="1">
      <c r="A284" s="220"/>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row>
    <row r="285" ht="15.75" customHeight="1">
      <c r="A285" s="220"/>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row>
    <row r="286" ht="15.75" customHeight="1">
      <c r="A286" s="220"/>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20"/>
      <c r="AJ286" s="220"/>
      <c r="AK286" s="220"/>
      <c r="AL286" s="220"/>
      <c r="AM286" s="220"/>
      <c r="AN286" s="220"/>
    </row>
    <row r="287" ht="15.75" customHeight="1">
      <c r="A287" s="220"/>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c r="AN287" s="220"/>
    </row>
    <row r="288" ht="15.75" customHeight="1">
      <c r="A288" s="220"/>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c r="AN288" s="220"/>
    </row>
    <row r="289" ht="15.75" customHeight="1">
      <c r="A289" s="220"/>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c r="AN289" s="220"/>
    </row>
    <row r="290" ht="15.75" customHeight="1">
      <c r="A290" s="220"/>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c r="AN290" s="220"/>
    </row>
    <row r="291" ht="15.75" customHeight="1">
      <c r="A291" s="220"/>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c r="AA291" s="220"/>
      <c r="AB291" s="220"/>
      <c r="AC291" s="220"/>
      <c r="AD291" s="220"/>
      <c r="AE291" s="220"/>
      <c r="AF291" s="220"/>
      <c r="AG291" s="220"/>
      <c r="AH291" s="220"/>
      <c r="AI291" s="220"/>
      <c r="AJ291" s="220"/>
      <c r="AK291" s="220"/>
      <c r="AL291" s="220"/>
      <c r="AM291" s="220"/>
      <c r="AN291" s="220"/>
    </row>
    <row r="292" ht="15.75" customHeight="1">
      <c r="A292" s="220"/>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row>
    <row r="293" ht="15.75" customHeight="1">
      <c r="A293" s="220"/>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c r="AN293" s="220"/>
    </row>
    <row r="294" ht="15.75" customHeight="1">
      <c r="A294" s="220"/>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c r="AI294" s="220"/>
      <c r="AJ294" s="220"/>
      <c r="AK294" s="220"/>
      <c r="AL294" s="220"/>
      <c r="AM294" s="220"/>
      <c r="AN294" s="220"/>
    </row>
    <row r="295" ht="15.75" customHeight="1">
      <c r="A295" s="220"/>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c r="AA295" s="220"/>
      <c r="AB295" s="220"/>
      <c r="AC295" s="220"/>
      <c r="AD295" s="220"/>
      <c r="AE295" s="220"/>
      <c r="AF295" s="220"/>
      <c r="AG295" s="220"/>
      <c r="AH295" s="220"/>
      <c r="AI295" s="220"/>
      <c r="AJ295" s="220"/>
      <c r="AK295" s="220"/>
      <c r="AL295" s="220"/>
      <c r="AM295" s="220"/>
      <c r="AN295" s="220"/>
    </row>
    <row r="296" ht="15.75" customHeight="1">
      <c r="A296" s="220"/>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c r="AN296" s="220"/>
    </row>
    <row r="297" ht="15.75" customHeight="1">
      <c r="A297" s="220"/>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row>
    <row r="298" ht="15.75" customHeight="1">
      <c r="A298" s="220"/>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c r="AA298" s="220"/>
      <c r="AB298" s="220"/>
      <c r="AC298" s="220"/>
      <c r="AD298" s="220"/>
      <c r="AE298" s="220"/>
      <c r="AF298" s="220"/>
      <c r="AG298" s="220"/>
      <c r="AH298" s="220"/>
      <c r="AI298" s="220"/>
      <c r="AJ298" s="220"/>
      <c r="AK298" s="220"/>
      <c r="AL298" s="220"/>
      <c r="AM298" s="220"/>
      <c r="AN298" s="220"/>
    </row>
    <row r="299" ht="15.75" customHeight="1">
      <c r="A299" s="220"/>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c r="AA299" s="220"/>
      <c r="AB299" s="220"/>
      <c r="AC299" s="220"/>
      <c r="AD299" s="220"/>
      <c r="AE299" s="220"/>
      <c r="AF299" s="220"/>
      <c r="AG299" s="220"/>
      <c r="AH299" s="220"/>
      <c r="AI299" s="220"/>
      <c r="AJ299" s="220"/>
      <c r="AK299" s="220"/>
      <c r="AL299" s="220"/>
      <c r="AM299" s="220"/>
      <c r="AN299" s="220"/>
    </row>
    <row r="300" ht="15.75" customHeight="1">
      <c r="A300" s="220"/>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c r="AA300" s="220"/>
      <c r="AB300" s="220"/>
      <c r="AC300" s="220"/>
      <c r="AD300" s="220"/>
      <c r="AE300" s="220"/>
      <c r="AF300" s="220"/>
      <c r="AG300" s="220"/>
      <c r="AH300" s="220"/>
      <c r="AI300" s="220"/>
      <c r="AJ300" s="220"/>
      <c r="AK300" s="220"/>
      <c r="AL300" s="220"/>
      <c r="AM300" s="220"/>
      <c r="AN300" s="220"/>
    </row>
    <row r="301" ht="15.75" customHeight="1">
      <c r="A301" s="220"/>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c r="AA301" s="220"/>
      <c r="AB301" s="220"/>
      <c r="AC301" s="220"/>
      <c r="AD301" s="220"/>
      <c r="AE301" s="220"/>
      <c r="AF301" s="220"/>
      <c r="AG301" s="220"/>
      <c r="AH301" s="220"/>
      <c r="AI301" s="220"/>
      <c r="AJ301" s="220"/>
      <c r="AK301" s="220"/>
      <c r="AL301" s="220"/>
      <c r="AM301" s="220"/>
      <c r="AN301" s="220"/>
    </row>
    <row r="302" ht="15.75" customHeight="1">
      <c r="A302" s="220"/>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c r="AA302" s="220"/>
      <c r="AB302" s="220"/>
      <c r="AC302" s="220"/>
      <c r="AD302" s="220"/>
      <c r="AE302" s="220"/>
      <c r="AF302" s="220"/>
      <c r="AG302" s="220"/>
      <c r="AH302" s="220"/>
      <c r="AI302" s="220"/>
      <c r="AJ302" s="220"/>
      <c r="AK302" s="220"/>
      <c r="AL302" s="220"/>
      <c r="AM302" s="220"/>
      <c r="AN302" s="220"/>
    </row>
    <row r="303" ht="15.75" customHeight="1">
      <c r="A303" s="220"/>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row>
    <row r="304" ht="15.75" customHeight="1">
      <c r="A304" s="220"/>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c r="AN304" s="220"/>
    </row>
    <row r="305" ht="15.75" customHeight="1">
      <c r="A305" s="220"/>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c r="AN305" s="220"/>
    </row>
    <row r="306" ht="15.75" customHeight="1">
      <c r="A306" s="220"/>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c r="AA306" s="220"/>
      <c r="AB306" s="220"/>
      <c r="AC306" s="220"/>
      <c r="AD306" s="220"/>
      <c r="AE306" s="220"/>
      <c r="AF306" s="220"/>
      <c r="AG306" s="220"/>
      <c r="AH306" s="220"/>
      <c r="AI306" s="220"/>
      <c r="AJ306" s="220"/>
      <c r="AK306" s="220"/>
      <c r="AL306" s="220"/>
      <c r="AM306" s="220"/>
      <c r="AN306" s="220"/>
    </row>
    <row r="307" ht="15.75" customHeight="1">
      <c r="A307" s="220"/>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c r="AA307" s="220"/>
      <c r="AB307" s="220"/>
      <c r="AC307" s="220"/>
      <c r="AD307" s="220"/>
      <c r="AE307" s="220"/>
      <c r="AF307" s="220"/>
      <c r="AG307" s="220"/>
      <c r="AH307" s="220"/>
      <c r="AI307" s="220"/>
      <c r="AJ307" s="220"/>
      <c r="AK307" s="220"/>
      <c r="AL307" s="220"/>
      <c r="AM307" s="220"/>
      <c r="AN307" s="220"/>
    </row>
    <row r="308" ht="15.75" customHeight="1">
      <c r="A308" s="220"/>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0"/>
      <c r="AL308" s="220"/>
      <c r="AM308" s="220"/>
      <c r="AN308" s="220"/>
    </row>
    <row r="309" ht="15.75" customHeight="1">
      <c r="A309" s="220"/>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row>
    <row r="310" ht="15.75" customHeight="1">
      <c r="A310" s="220"/>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c r="AA310" s="220"/>
      <c r="AB310" s="220"/>
      <c r="AC310" s="220"/>
      <c r="AD310" s="220"/>
      <c r="AE310" s="220"/>
      <c r="AF310" s="220"/>
      <c r="AG310" s="220"/>
      <c r="AH310" s="220"/>
      <c r="AI310" s="220"/>
      <c r="AJ310" s="220"/>
      <c r="AK310" s="220"/>
      <c r="AL310" s="220"/>
      <c r="AM310" s="220"/>
      <c r="AN310" s="220"/>
    </row>
    <row r="311" ht="15.75" customHeight="1">
      <c r="A311" s="220"/>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c r="AA311" s="220"/>
      <c r="AB311" s="220"/>
      <c r="AC311" s="220"/>
      <c r="AD311" s="220"/>
      <c r="AE311" s="220"/>
      <c r="AF311" s="220"/>
      <c r="AG311" s="220"/>
      <c r="AH311" s="220"/>
      <c r="AI311" s="220"/>
      <c r="AJ311" s="220"/>
      <c r="AK311" s="220"/>
      <c r="AL311" s="220"/>
      <c r="AM311" s="220"/>
      <c r="AN311" s="220"/>
    </row>
    <row r="312" ht="15.75" customHeight="1">
      <c r="A312" s="220"/>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c r="AA312" s="220"/>
      <c r="AB312" s="220"/>
      <c r="AC312" s="220"/>
      <c r="AD312" s="220"/>
      <c r="AE312" s="220"/>
      <c r="AF312" s="220"/>
      <c r="AG312" s="220"/>
      <c r="AH312" s="220"/>
      <c r="AI312" s="220"/>
      <c r="AJ312" s="220"/>
      <c r="AK312" s="220"/>
      <c r="AL312" s="220"/>
      <c r="AM312" s="220"/>
      <c r="AN312" s="220"/>
    </row>
    <row r="313" ht="15.75" customHeight="1">
      <c r="A313" s="220"/>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c r="AA313" s="220"/>
      <c r="AB313" s="220"/>
      <c r="AC313" s="220"/>
      <c r="AD313" s="220"/>
      <c r="AE313" s="220"/>
      <c r="AF313" s="220"/>
      <c r="AG313" s="220"/>
      <c r="AH313" s="220"/>
      <c r="AI313" s="220"/>
      <c r="AJ313" s="220"/>
      <c r="AK313" s="220"/>
      <c r="AL313" s="220"/>
      <c r="AM313" s="220"/>
      <c r="AN313" s="220"/>
    </row>
    <row r="314" ht="15.75" customHeight="1">
      <c r="A314" s="220"/>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c r="AA314" s="220"/>
      <c r="AB314" s="220"/>
      <c r="AC314" s="220"/>
      <c r="AD314" s="220"/>
      <c r="AE314" s="220"/>
      <c r="AF314" s="220"/>
      <c r="AG314" s="220"/>
      <c r="AH314" s="220"/>
      <c r="AI314" s="220"/>
      <c r="AJ314" s="220"/>
      <c r="AK314" s="220"/>
      <c r="AL314" s="220"/>
      <c r="AM314" s="220"/>
      <c r="AN314" s="220"/>
    </row>
    <row r="315" ht="15.75" customHeight="1">
      <c r="A315" s="220"/>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c r="AA315" s="220"/>
      <c r="AB315" s="220"/>
      <c r="AC315" s="220"/>
      <c r="AD315" s="220"/>
      <c r="AE315" s="220"/>
      <c r="AF315" s="220"/>
      <c r="AG315" s="220"/>
      <c r="AH315" s="220"/>
      <c r="AI315" s="220"/>
      <c r="AJ315" s="220"/>
      <c r="AK315" s="220"/>
      <c r="AL315" s="220"/>
      <c r="AM315" s="220"/>
      <c r="AN315" s="220"/>
    </row>
    <row r="316" ht="15.75" customHeight="1">
      <c r="A316" s="220"/>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c r="AA316" s="220"/>
      <c r="AB316" s="220"/>
      <c r="AC316" s="220"/>
      <c r="AD316" s="220"/>
      <c r="AE316" s="220"/>
      <c r="AF316" s="220"/>
      <c r="AG316" s="220"/>
      <c r="AH316" s="220"/>
      <c r="AI316" s="220"/>
      <c r="AJ316" s="220"/>
      <c r="AK316" s="220"/>
      <c r="AL316" s="220"/>
      <c r="AM316" s="220"/>
      <c r="AN316" s="220"/>
    </row>
    <row r="317" ht="15.75" customHeight="1">
      <c r="A317" s="220"/>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c r="AA317" s="220"/>
      <c r="AB317" s="220"/>
      <c r="AC317" s="220"/>
      <c r="AD317" s="220"/>
      <c r="AE317" s="220"/>
      <c r="AF317" s="220"/>
      <c r="AG317" s="220"/>
      <c r="AH317" s="220"/>
      <c r="AI317" s="220"/>
      <c r="AJ317" s="220"/>
      <c r="AK317" s="220"/>
      <c r="AL317" s="220"/>
      <c r="AM317" s="220"/>
      <c r="AN317" s="220"/>
    </row>
    <row r="318" ht="15.75" customHeight="1">
      <c r="A318" s="220"/>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row>
    <row r="319" ht="15.75" customHeight="1">
      <c r="A319" s="220"/>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c r="AA319" s="220"/>
      <c r="AB319" s="220"/>
      <c r="AC319" s="220"/>
      <c r="AD319" s="220"/>
      <c r="AE319" s="220"/>
      <c r="AF319" s="220"/>
      <c r="AG319" s="220"/>
      <c r="AH319" s="220"/>
      <c r="AI319" s="220"/>
      <c r="AJ319" s="220"/>
      <c r="AK319" s="220"/>
      <c r="AL319" s="220"/>
      <c r="AM319" s="220"/>
      <c r="AN319" s="220"/>
    </row>
    <row r="320" ht="15.75" customHeight="1">
      <c r="A320" s="220"/>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c r="AA320" s="220"/>
      <c r="AB320" s="220"/>
      <c r="AC320" s="220"/>
      <c r="AD320" s="220"/>
      <c r="AE320" s="220"/>
      <c r="AF320" s="220"/>
      <c r="AG320" s="220"/>
      <c r="AH320" s="220"/>
      <c r="AI320" s="220"/>
      <c r="AJ320" s="220"/>
      <c r="AK320" s="220"/>
      <c r="AL320" s="220"/>
      <c r="AM320" s="220"/>
      <c r="AN320" s="220"/>
    </row>
    <row r="321" ht="15.75" customHeight="1">
      <c r="A321" s="220"/>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c r="AA321" s="220"/>
      <c r="AB321" s="220"/>
      <c r="AC321" s="220"/>
      <c r="AD321" s="220"/>
      <c r="AE321" s="220"/>
      <c r="AF321" s="220"/>
      <c r="AG321" s="220"/>
      <c r="AH321" s="220"/>
      <c r="AI321" s="220"/>
      <c r="AJ321" s="220"/>
      <c r="AK321" s="220"/>
      <c r="AL321" s="220"/>
      <c r="AM321" s="220"/>
      <c r="AN321" s="220"/>
    </row>
    <row r="322" ht="15.75" customHeight="1">
      <c r="A322" s="220"/>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c r="AA322" s="220"/>
      <c r="AB322" s="220"/>
      <c r="AC322" s="220"/>
      <c r="AD322" s="220"/>
      <c r="AE322" s="220"/>
      <c r="AF322" s="220"/>
      <c r="AG322" s="220"/>
      <c r="AH322" s="220"/>
      <c r="AI322" s="220"/>
      <c r="AJ322" s="220"/>
      <c r="AK322" s="220"/>
      <c r="AL322" s="220"/>
      <c r="AM322" s="220"/>
      <c r="AN322" s="220"/>
    </row>
    <row r="323" ht="15.75" customHeight="1">
      <c r="A323" s="220"/>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c r="AN323" s="220"/>
    </row>
    <row r="324" ht="15.75" customHeight="1">
      <c r="A324" s="220"/>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c r="AA324" s="220"/>
      <c r="AB324" s="220"/>
      <c r="AC324" s="220"/>
      <c r="AD324" s="220"/>
      <c r="AE324" s="220"/>
      <c r="AF324" s="220"/>
      <c r="AG324" s="220"/>
      <c r="AH324" s="220"/>
      <c r="AI324" s="220"/>
      <c r="AJ324" s="220"/>
      <c r="AK324" s="220"/>
      <c r="AL324" s="220"/>
      <c r="AM324" s="220"/>
      <c r="AN324" s="220"/>
    </row>
    <row r="325" ht="15.75" customHeight="1">
      <c r="A325" s="220"/>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c r="AA325" s="220"/>
      <c r="AB325" s="220"/>
      <c r="AC325" s="220"/>
      <c r="AD325" s="220"/>
      <c r="AE325" s="220"/>
      <c r="AF325" s="220"/>
      <c r="AG325" s="220"/>
      <c r="AH325" s="220"/>
      <c r="AI325" s="220"/>
      <c r="AJ325" s="220"/>
      <c r="AK325" s="220"/>
      <c r="AL325" s="220"/>
      <c r="AM325" s="220"/>
      <c r="AN325" s="220"/>
    </row>
    <row r="326" ht="15.75" customHeight="1">
      <c r="A326" s="220"/>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c r="AA326" s="220"/>
      <c r="AB326" s="220"/>
      <c r="AC326" s="220"/>
      <c r="AD326" s="220"/>
      <c r="AE326" s="220"/>
      <c r="AF326" s="220"/>
      <c r="AG326" s="220"/>
      <c r="AH326" s="220"/>
      <c r="AI326" s="220"/>
      <c r="AJ326" s="220"/>
      <c r="AK326" s="220"/>
      <c r="AL326" s="220"/>
      <c r="AM326" s="220"/>
      <c r="AN326" s="220"/>
    </row>
    <row r="327" ht="15.75" customHeight="1">
      <c r="A327" s="220"/>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c r="AA327" s="220"/>
      <c r="AB327" s="220"/>
      <c r="AC327" s="220"/>
      <c r="AD327" s="220"/>
      <c r="AE327" s="220"/>
      <c r="AF327" s="220"/>
      <c r="AG327" s="220"/>
      <c r="AH327" s="220"/>
      <c r="AI327" s="220"/>
      <c r="AJ327" s="220"/>
      <c r="AK327" s="220"/>
      <c r="AL327" s="220"/>
      <c r="AM327" s="220"/>
      <c r="AN327" s="220"/>
    </row>
    <row r="328" ht="15.75" customHeight="1">
      <c r="A328" s="220"/>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c r="AA328" s="220"/>
      <c r="AB328" s="220"/>
      <c r="AC328" s="220"/>
      <c r="AD328" s="220"/>
      <c r="AE328" s="220"/>
      <c r="AF328" s="220"/>
      <c r="AG328" s="220"/>
      <c r="AH328" s="220"/>
      <c r="AI328" s="220"/>
      <c r="AJ328" s="220"/>
      <c r="AK328" s="220"/>
      <c r="AL328" s="220"/>
      <c r="AM328" s="220"/>
      <c r="AN328" s="220"/>
    </row>
    <row r="329" ht="15.75" customHeight="1">
      <c r="A329" s="220"/>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c r="AA329" s="220"/>
      <c r="AB329" s="220"/>
      <c r="AC329" s="220"/>
      <c r="AD329" s="220"/>
      <c r="AE329" s="220"/>
      <c r="AF329" s="220"/>
      <c r="AG329" s="220"/>
      <c r="AH329" s="220"/>
      <c r="AI329" s="220"/>
      <c r="AJ329" s="220"/>
      <c r="AK329" s="220"/>
      <c r="AL329" s="220"/>
      <c r="AM329" s="220"/>
      <c r="AN329" s="220"/>
    </row>
    <row r="330" ht="15.75" customHeight="1">
      <c r="A330" s="220"/>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c r="AA330" s="220"/>
      <c r="AB330" s="220"/>
      <c r="AC330" s="220"/>
      <c r="AD330" s="220"/>
      <c r="AE330" s="220"/>
      <c r="AF330" s="220"/>
      <c r="AG330" s="220"/>
      <c r="AH330" s="220"/>
      <c r="AI330" s="220"/>
      <c r="AJ330" s="220"/>
      <c r="AK330" s="220"/>
      <c r="AL330" s="220"/>
      <c r="AM330" s="220"/>
      <c r="AN330" s="220"/>
    </row>
    <row r="331" ht="15.75" customHeight="1">
      <c r="A331" s="220"/>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c r="AA331" s="220"/>
      <c r="AB331" s="220"/>
      <c r="AC331" s="220"/>
      <c r="AD331" s="220"/>
      <c r="AE331" s="220"/>
      <c r="AF331" s="220"/>
      <c r="AG331" s="220"/>
      <c r="AH331" s="220"/>
      <c r="AI331" s="220"/>
      <c r="AJ331" s="220"/>
      <c r="AK331" s="220"/>
      <c r="AL331" s="220"/>
      <c r="AM331" s="220"/>
      <c r="AN331" s="220"/>
    </row>
    <row r="332" ht="15.75" customHeight="1">
      <c r="A332" s="220"/>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c r="AA332" s="220"/>
      <c r="AB332" s="220"/>
      <c r="AC332" s="220"/>
      <c r="AD332" s="220"/>
      <c r="AE332" s="220"/>
      <c r="AF332" s="220"/>
      <c r="AG332" s="220"/>
      <c r="AH332" s="220"/>
      <c r="AI332" s="220"/>
      <c r="AJ332" s="220"/>
      <c r="AK332" s="220"/>
      <c r="AL332" s="220"/>
      <c r="AM332" s="220"/>
      <c r="AN332" s="220"/>
    </row>
    <row r="333" ht="15.75" customHeight="1">
      <c r="A333" s="220"/>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row>
    <row r="334" ht="15.75" customHeight="1">
      <c r="A334" s="220"/>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c r="AA334" s="220"/>
      <c r="AB334" s="220"/>
      <c r="AC334" s="220"/>
      <c r="AD334" s="220"/>
      <c r="AE334" s="220"/>
      <c r="AF334" s="220"/>
      <c r="AG334" s="220"/>
      <c r="AH334" s="220"/>
      <c r="AI334" s="220"/>
      <c r="AJ334" s="220"/>
      <c r="AK334" s="220"/>
      <c r="AL334" s="220"/>
      <c r="AM334" s="220"/>
      <c r="AN334" s="220"/>
    </row>
    <row r="335" ht="15.75" customHeight="1">
      <c r="A335" s="220"/>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c r="AA335" s="220"/>
      <c r="AB335" s="220"/>
      <c r="AC335" s="220"/>
      <c r="AD335" s="220"/>
      <c r="AE335" s="220"/>
      <c r="AF335" s="220"/>
      <c r="AG335" s="220"/>
      <c r="AH335" s="220"/>
      <c r="AI335" s="220"/>
      <c r="AJ335" s="220"/>
      <c r="AK335" s="220"/>
      <c r="AL335" s="220"/>
      <c r="AM335" s="220"/>
      <c r="AN335" s="220"/>
    </row>
    <row r="336" ht="15.75" customHeight="1">
      <c r="A336" s="220"/>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c r="AA336" s="220"/>
      <c r="AB336" s="220"/>
      <c r="AC336" s="220"/>
      <c r="AD336" s="220"/>
      <c r="AE336" s="220"/>
      <c r="AF336" s="220"/>
      <c r="AG336" s="220"/>
      <c r="AH336" s="220"/>
      <c r="AI336" s="220"/>
      <c r="AJ336" s="220"/>
      <c r="AK336" s="220"/>
      <c r="AL336" s="220"/>
      <c r="AM336" s="220"/>
      <c r="AN336" s="220"/>
    </row>
    <row r="337" ht="15.75" customHeight="1">
      <c r="A337" s="220"/>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c r="AA337" s="220"/>
      <c r="AB337" s="220"/>
      <c r="AC337" s="220"/>
      <c r="AD337" s="220"/>
      <c r="AE337" s="220"/>
      <c r="AF337" s="220"/>
      <c r="AG337" s="220"/>
      <c r="AH337" s="220"/>
      <c r="AI337" s="220"/>
      <c r="AJ337" s="220"/>
      <c r="AK337" s="220"/>
      <c r="AL337" s="220"/>
      <c r="AM337" s="220"/>
      <c r="AN337" s="220"/>
    </row>
    <row r="338" ht="15.75" customHeight="1">
      <c r="A338" s="220"/>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c r="AA338" s="220"/>
      <c r="AB338" s="220"/>
      <c r="AC338" s="220"/>
      <c r="AD338" s="220"/>
      <c r="AE338" s="220"/>
      <c r="AF338" s="220"/>
      <c r="AG338" s="220"/>
      <c r="AH338" s="220"/>
      <c r="AI338" s="220"/>
      <c r="AJ338" s="220"/>
      <c r="AK338" s="220"/>
      <c r="AL338" s="220"/>
      <c r="AM338" s="220"/>
      <c r="AN338" s="220"/>
    </row>
    <row r="339" ht="15.75" customHeight="1">
      <c r="A339" s="220"/>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row>
    <row r="340" ht="15.75" customHeight="1">
      <c r="A340" s="220"/>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c r="AA340" s="220"/>
      <c r="AB340" s="220"/>
      <c r="AC340" s="220"/>
      <c r="AD340" s="220"/>
      <c r="AE340" s="220"/>
      <c r="AF340" s="220"/>
      <c r="AG340" s="220"/>
      <c r="AH340" s="220"/>
      <c r="AI340" s="220"/>
      <c r="AJ340" s="220"/>
      <c r="AK340" s="220"/>
      <c r="AL340" s="220"/>
      <c r="AM340" s="220"/>
      <c r="AN340" s="220"/>
    </row>
    <row r="341" ht="15.75" customHeight="1">
      <c r="A341" s="220"/>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c r="AA341" s="220"/>
      <c r="AB341" s="220"/>
      <c r="AC341" s="220"/>
      <c r="AD341" s="220"/>
      <c r="AE341" s="220"/>
      <c r="AF341" s="220"/>
      <c r="AG341" s="220"/>
      <c r="AH341" s="220"/>
      <c r="AI341" s="220"/>
      <c r="AJ341" s="220"/>
      <c r="AK341" s="220"/>
      <c r="AL341" s="220"/>
      <c r="AM341" s="220"/>
      <c r="AN341" s="220"/>
    </row>
    <row r="342" ht="15.75" customHeight="1">
      <c r="A342" s="220"/>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c r="AA342" s="220"/>
      <c r="AB342" s="220"/>
      <c r="AC342" s="220"/>
      <c r="AD342" s="220"/>
      <c r="AE342" s="220"/>
      <c r="AF342" s="220"/>
      <c r="AG342" s="220"/>
      <c r="AH342" s="220"/>
      <c r="AI342" s="220"/>
      <c r="AJ342" s="220"/>
      <c r="AK342" s="220"/>
      <c r="AL342" s="220"/>
      <c r="AM342" s="220"/>
      <c r="AN342" s="220"/>
    </row>
    <row r="343" ht="15.75" customHeight="1">
      <c r="A343" s="220"/>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c r="AA343" s="220"/>
      <c r="AB343" s="220"/>
      <c r="AC343" s="220"/>
      <c r="AD343" s="220"/>
      <c r="AE343" s="220"/>
      <c r="AF343" s="220"/>
      <c r="AG343" s="220"/>
      <c r="AH343" s="220"/>
      <c r="AI343" s="220"/>
      <c r="AJ343" s="220"/>
      <c r="AK343" s="220"/>
      <c r="AL343" s="220"/>
      <c r="AM343" s="220"/>
      <c r="AN343" s="220"/>
    </row>
    <row r="344" ht="15.75" customHeight="1">
      <c r="A344" s="220"/>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c r="AA344" s="220"/>
      <c r="AB344" s="220"/>
      <c r="AC344" s="220"/>
      <c r="AD344" s="220"/>
      <c r="AE344" s="220"/>
      <c r="AF344" s="220"/>
      <c r="AG344" s="220"/>
      <c r="AH344" s="220"/>
      <c r="AI344" s="220"/>
      <c r="AJ344" s="220"/>
      <c r="AK344" s="220"/>
      <c r="AL344" s="220"/>
      <c r="AM344" s="220"/>
      <c r="AN344" s="220"/>
    </row>
    <row r="345" ht="15.75" customHeight="1">
      <c r="A345" s="220"/>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c r="AA345" s="220"/>
      <c r="AB345" s="220"/>
      <c r="AC345" s="220"/>
      <c r="AD345" s="220"/>
      <c r="AE345" s="220"/>
      <c r="AF345" s="220"/>
      <c r="AG345" s="220"/>
      <c r="AH345" s="220"/>
      <c r="AI345" s="220"/>
      <c r="AJ345" s="220"/>
      <c r="AK345" s="220"/>
      <c r="AL345" s="220"/>
      <c r="AM345" s="220"/>
      <c r="AN345" s="220"/>
    </row>
    <row r="346" ht="15.75" customHeight="1">
      <c r="A346" s="220"/>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c r="AA346" s="220"/>
      <c r="AB346" s="220"/>
      <c r="AC346" s="220"/>
      <c r="AD346" s="220"/>
      <c r="AE346" s="220"/>
      <c r="AF346" s="220"/>
      <c r="AG346" s="220"/>
      <c r="AH346" s="220"/>
      <c r="AI346" s="220"/>
      <c r="AJ346" s="220"/>
      <c r="AK346" s="220"/>
      <c r="AL346" s="220"/>
      <c r="AM346" s="220"/>
      <c r="AN346" s="220"/>
    </row>
    <row r="347" ht="15.75" customHeight="1">
      <c r="A347" s="220"/>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c r="AA347" s="220"/>
      <c r="AB347" s="220"/>
      <c r="AC347" s="220"/>
      <c r="AD347" s="220"/>
      <c r="AE347" s="220"/>
      <c r="AF347" s="220"/>
      <c r="AG347" s="220"/>
      <c r="AH347" s="220"/>
      <c r="AI347" s="220"/>
      <c r="AJ347" s="220"/>
      <c r="AK347" s="220"/>
      <c r="AL347" s="220"/>
      <c r="AM347" s="220"/>
      <c r="AN347" s="220"/>
    </row>
    <row r="348" ht="15.75" customHeight="1">
      <c r="A348" s="220"/>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c r="AA348" s="220"/>
      <c r="AB348" s="220"/>
      <c r="AC348" s="220"/>
      <c r="AD348" s="220"/>
      <c r="AE348" s="220"/>
      <c r="AF348" s="220"/>
      <c r="AG348" s="220"/>
      <c r="AH348" s="220"/>
      <c r="AI348" s="220"/>
      <c r="AJ348" s="220"/>
      <c r="AK348" s="220"/>
      <c r="AL348" s="220"/>
      <c r="AM348" s="220"/>
      <c r="AN348" s="220"/>
    </row>
    <row r="349" ht="15.75" customHeight="1">
      <c r="A349" s="220"/>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c r="AA349" s="220"/>
      <c r="AB349" s="220"/>
      <c r="AC349" s="220"/>
      <c r="AD349" s="220"/>
      <c r="AE349" s="220"/>
      <c r="AF349" s="220"/>
      <c r="AG349" s="220"/>
      <c r="AH349" s="220"/>
      <c r="AI349" s="220"/>
      <c r="AJ349" s="220"/>
      <c r="AK349" s="220"/>
      <c r="AL349" s="220"/>
      <c r="AM349" s="220"/>
      <c r="AN349" s="220"/>
    </row>
    <row r="350" ht="15.75" customHeight="1">
      <c r="A350" s="220"/>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c r="AA350" s="220"/>
      <c r="AB350" s="220"/>
      <c r="AC350" s="220"/>
      <c r="AD350" s="220"/>
      <c r="AE350" s="220"/>
      <c r="AF350" s="220"/>
      <c r="AG350" s="220"/>
      <c r="AH350" s="220"/>
      <c r="AI350" s="220"/>
      <c r="AJ350" s="220"/>
      <c r="AK350" s="220"/>
      <c r="AL350" s="220"/>
      <c r="AM350" s="220"/>
      <c r="AN350" s="220"/>
    </row>
    <row r="351" ht="15.75" customHeight="1">
      <c r="A351" s="220"/>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c r="AA351" s="220"/>
      <c r="AB351" s="220"/>
      <c r="AC351" s="220"/>
      <c r="AD351" s="220"/>
      <c r="AE351" s="220"/>
      <c r="AF351" s="220"/>
      <c r="AG351" s="220"/>
      <c r="AH351" s="220"/>
      <c r="AI351" s="220"/>
      <c r="AJ351" s="220"/>
      <c r="AK351" s="220"/>
      <c r="AL351" s="220"/>
      <c r="AM351" s="220"/>
      <c r="AN351" s="220"/>
    </row>
    <row r="352" ht="15.75" customHeight="1">
      <c r="A352" s="220"/>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row>
    <row r="353" ht="15.75" customHeight="1">
      <c r="A353" s="220"/>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c r="AA353" s="220"/>
      <c r="AB353" s="220"/>
      <c r="AC353" s="220"/>
      <c r="AD353" s="220"/>
      <c r="AE353" s="220"/>
      <c r="AF353" s="220"/>
      <c r="AG353" s="220"/>
      <c r="AH353" s="220"/>
      <c r="AI353" s="220"/>
      <c r="AJ353" s="220"/>
      <c r="AK353" s="220"/>
      <c r="AL353" s="220"/>
      <c r="AM353" s="220"/>
      <c r="AN353" s="220"/>
    </row>
    <row r="354" ht="15.75" customHeight="1">
      <c r="A354" s="220"/>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c r="AA354" s="220"/>
      <c r="AB354" s="220"/>
      <c r="AC354" s="220"/>
      <c r="AD354" s="220"/>
      <c r="AE354" s="220"/>
      <c r="AF354" s="220"/>
      <c r="AG354" s="220"/>
      <c r="AH354" s="220"/>
      <c r="AI354" s="220"/>
      <c r="AJ354" s="220"/>
      <c r="AK354" s="220"/>
      <c r="AL354" s="220"/>
      <c r="AM354" s="220"/>
      <c r="AN354" s="220"/>
    </row>
    <row r="355" ht="15.75" customHeight="1">
      <c r="A355" s="220"/>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c r="AA355" s="220"/>
      <c r="AB355" s="220"/>
      <c r="AC355" s="220"/>
      <c r="AD355" s="220"/>
      <c r="AE355" s="220"/>
      <c r="AF355" s="220"/>
      <c r="AG355" s="220"/>
      <c r="AH355" s="220"/>
      <c r="AI355" s="220"/>
      <c r="AJ355" s="220"/>
      <c r="AK355" s="220"/>
      <c r="AL355" s="220"/>
      <c r="AM355" s="220"/>
      <c r="AN355" s="220"/>
    </row>
    <row r="356" ht="15.75" customHeight="1">
      <c r="A356" s="220"/>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c r="AA356" s="220"/>
      <c r="AB356" s="220"/>
      <c r="AC356" s="220"/>
      <c r="AD356" s="220"/>
      <c r="AE356" s="220"/>
      <c r="AF356" s="220"/>
      <c r="AG356" s="220"/>
      <c r="AH356" s="220"/>
      <c r="AI356" s="220"/>
      <c r="AJ356" s="220"/>
      <c r="AK356" s="220"/>
      <c r="AL356" s="220"/>
      <c r="AM356" s="220"/>
      <c r="AN356" s="220"/>
    </row>
    <row r="357" ht="15.75" customHeight="1">
      <c r="A357" s="220"/>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0"/>
      <c r="AC357" s="220"/>
      <c r="AD357" s="220"/>
      <c r="AE357" s="220"/>
      <c r="AF357" s="220"/>
      <c r="AG357" s="220"/>
      <c r="AH357" s="220"/>
      <c r="AI357" s="220"/>
      <c r="AJ357" s="220"/>
      <c r="AK357" s="220"/>
      <c r="AL357" s="220"/>
      <c r="AM357" s="220"/>
      <c r="AN357" s="220"/>
    </row>
    <row r="358" ht="15.75" customHeight="1">
      <c r="A358" s="220"/>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c r="AA358" s="220"/>
      <c r="AB358" s="220"/>
      <c r="AC358" s="220"/>
      <c r="AD358" s="220"/>
      <c r="AE358" s="220"/>
      <c r="AF358" s="220"/>
      <c r="AG358" s="220"/>
      <c r="AH358" s="220"/>
      <c r="AI358" s="220"/>
      <c r="AJ358" s="220"/>
      <c r="AK358" s="220"/>
      <c r="AL358" s="220"/>
      <c r="AM358" s="220"/>
      <c r="AN358" s="220"/>
    </row>
    <row r="359" ht="15.75" customHeight="1">
      <c r="A359" s="220"/>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c r="AA359" s="220"/>
      <c r="AB359" s="220"/>
      <c r="AC359" s="220"/>
      <c r="AD359" s="220"/>
      <c r="AE359" s="220"/>
      <c r="AF359" s="220"/>
      <c r="AG359" s="220"/>
      <c r="AH359" s="220"/>
      <c r="AI359" s="220"/>
      <c r="AJ359" s="220"/>
      <c r="AK359" s="220"/>
      <c r="AL359" s="220"/>
      <c r="AM359" s="220"/>
      <c r="AN359" s="220"/>
    </row>
    <row r="360" ht="15.75" customHeight="1">
      <c r="A360" s="220"/>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c r="AA360" s="220"/>
      <c r="AB360" s="220"/>
      <c r="AC360" s="220"/>
      <c r="AD360" s="220"/>
      <c r="AE360" s="220"/>
      <c r="AF360" s="220"/>
      <c r="AG360" s="220"/>
      <c r="AH360" s="220"/>
      <c r="AI360" s="220"/>
      <c r="AJ360" s="220"/>
      <c r="AK360" s="220"/>
      <c r="AL360" s="220"/>
      <c r="AM360" s="220"/>
      <c r="AN360" s="220"/>
    </row>
    <row r="361" ht="15.75" customHeight="1">
      <c r="A361" s="220"/>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c r="AA361" s="220"/>
      <c r="AB361" s="220"/>
      <c r="AC361" s="220"/>
      <c r="AD361" s="220"/>
      <c r="AE361" s="220"/>
      <c r="AF361" s="220"/>
      <c r="AG361" s="220"/>
      <c r="AH361" s="220"/>
      <c r="AI361" s="220"/>
      <c r="AJ361" s="220"/>
      <c r="AK361" s="220"/>
      <c r="AL361" s="220"/>
      <c r="AM361" s="220"/>
      <c r="AN361" s="220"/>
    </row>
    <row r="362" ht="15.75" customHeight="1">
      <c r="A362" s="220"/>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c r="AA362" s="220"/>
      <c r="AB362" s="220"/>
      <c r="AC362" s="220"/>
      <c r="AD362" s="220"/>
      <c r="AE362" s="220"/>
      <c r="AF362" s="220"/>
      <c r="AG362" s="220"/>
      <c r="AH362" s="220"/>
      <c r="AI362" s="220"/>
      <c r="AJ362" s="220"/>
      <c r="AK362" s="220"/>
      <c r="AL362" s="220"/>
      <c r="AM362" s="220"/>
      <c r="AN362" s="220"/>
    </row>
    <row r="363" ht="15.75" customHeight="1">
      <c r="A363" s="220"/>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c r="AA363" s="220"/>
      <c r="AB363" s="220"/>
      <c r="AC363" s="220"/>
      <c r="AD363" s="220"/>
      <c r="AE363" s="220"/>
      <c r="AF363" s="220"/>
      <c r="AG363" s="220"/>
      <c r="AH363" s="220"/>
      <c r="AI363" s="220"/>
      <c r="AJ363" s="220"/>
      <c r="AK363" s="220"/>
      <c r="AL363" s="220"/>
      <c r="AM363" s="220"/>
      <c r="AN363" s="220"/>
    </row>
    <row r="364" ht="15.75" customHeight="1">
      <c r="A364" s="220"/>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c r="AB364" s="220"/>
      <c r="AC364" s="220"/>
      <c r="AD364" s="220"/>
      <c r="AE364" s="220"/>
      <c r="AF364" s="220"/>
      <c r="AG364" s="220"/>
      <c r="AH364" s="220"/>
      <c r="AI364" s="220"/>
      <c r="AJ364" s="220"/>
      <c r="AK364" s="220"/>
      <c r="AL364" s="220"/>
      <c r="AM364" s="220"/>
      <c r="AN364" s="220"/>
    </row>
    <row r="365" ht="15.75" customHeight="1">
      <c r="A365" s="220"/>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c r="AA365" s="220"/>
      <c r="AB365" s="220"/>
      <c r="AC365" s="220"/>
      <c r="AD365" s="220"/>
      <c r="AE365" s="220"/>
      <c r="AF365" s="220"/>
      <c r="AG365" s="220"/>
      <c r="AH365" s="220"/>
      <c r="AI365" s="220"/>
      <c r="AJ365" s="220"/>
      <c r="AK365" s="220"/>
      <c r="AL365" s="220"/>
      <c r="AM365" s="220"/>
      <c r="AN365" s="220"/>
    </row>
    <row r="366" ht="15.75" customHeight="1">
      <c r="A366" s="220"/>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20"/>
      <c r="AI366" s="220"/>
      <c r="AJ366" s="220"/>
      <c r="AK366" s="220"/>
      <c r="AL366" s="220"/>
      <c r="AM366" s="220"/>
      <c r="AN366" s="220"/>
    </row>
    <row r="367" ht="15.75" customHeight="1">
      <c r="A367" s="220"/>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row>
    <row r="368" ht="15.75" customHeight="1">
      <c r="A368" s="220"/>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c r="AA368" s="220"/>
      <c r="AB368" s="220"/>
      <c r="AC368" s="220"/>
      <c r="AD368" s="220"/>
      <c r="AE368" s="220"/>
      <c r="AF368" s="220"/>
      <c r="AG368" s="220"/>
      <c r="AH368" s="220"/>
      <c r="AI368" s="220"/>
      <c r="AJ368" s="220"/>
      <c r="AK368" s="220"/>
      <c r="AL368" s="220"/>
      <c r="AM368" s="220"/>
      <c r="AN368" s="220"/>
    </row>
    <row r="369" ht="15.75" customHeight="1">
      <c r="A369" s="220"/>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c r="AA369" s="220"/>
      <c r="AB369" s="220"/>
      <c r="AC369" s="220"/>
      <c r="AD369" s="220"/>
      <c r="AE369" s="220"/>
      <c r="AF369" s="220"/>
      <c r="AG369" s="220"/>
      <c r="AH369" s="220"/>
      <c r="AI369" s="220"/>
      <c r="AJ369" s="220"/>
      <c r="AK369" s="220"/>
      <c r="AL369" s="220"/>
      <c r="AM369" s="220"/>
      <c r="AN369" s="220"/>
    </row>
    <row r="370" ht="15.75" customHeight="1">
      <c r="A370" s="220"/>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c r="AA370" s="220"/>
      <c r="AB370" s="220"/>
      <c r="AC370" s="220"/>
      <c r="AD370" s="220"/>
      <c r="AE370" s="220"/>
      <c r="AF370" s="220"/>
      <c r="AG370" s="220"/>
      <c r="AH370" s="220"/>
      <c r="AI370" s="220"/>
      <c r="AJ370" s="220"/>
      <c r="AK370" s="220"/>
      <c r="AL370" s="220"/>
      <c r="AM370" s="220"/>
      <c r="AN370" s="220"/>
    </row>
    <row r="371" ht="15.75" customHeight="1">
      <c r="A371" s="220"/>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c r="AA371" s="220"/>
      <c r="AB371" s="220"/>
      <c r="AC371" s="220"/>
      <c r="AD371" s="220"/>
      <c r="AE371" s="220"/>
      <c r="AF371" s="220"/>
      <c r="AG371" s="220"/>
      <c r="AH371" s="220"/>
      <c r="AI371" s="220"/>
      <c r="AJ371" s="220"/>
      <c r="AK371" s="220"/>
      <c r="AL371" s="220"/>
      <c r="AM371" s="220"/>
      <c r="AN371" s="220"/>
    </row>
    <row r="372" ht="15.75" customHeight="1">
      <c r="A372" s="220"/>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c r="AB372" s="220"/>
      <c r="AC372" s="220"/>
      <c r="AD372" s="220"/>
      <c r="AE372" s="220"/>
      <c r="AF372" s="220"/>
      <c r="AG372" s="220"/>
      <c r="AH372" s="220"/>
      <c r="AI372" s="220"/>
      <c r="AJ372" s="220"/>
      <c r="AK372" s="220"/>
      <c r="AL372" s="220"/>
      <c r="AM372" s="220"/>
      <c r="AN372" s="220"/>
    </row>
    <row r="373" ht="15.75" customHeight="1">
      <c r="A373" s="220"/>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c r="AB373" s="220"/>
      <c r="AC373" s="220"/>
      <c r="AD373" s="220"/>
      <c r="AE373" s="220"/>
      <c r="AF373" s="220"/>
      <c r="AG373" s="220"/>
      <c r="AH373" s="220"/>
      <c r="AI373" s="220"/>
      <c r="AJ373" s="220"/>
      <c r="AK373" s="220"/>
      <c r="AL373" s="220"/>
      <c r="AM373" s="220"/>
      <c r="AN373" s="220"/>
    </row>
    <row r="374" ht="15.75" customHeight="1">
      <c r="A374" s="220"/>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c r="AA374" s="220"/>
      <c r="AB374" s="220"/>
      <c r="AC374" s="220"/>
      <c r="AD374" s="220"/>
      <c r="AE374" s="220"/>
      <c r="AF374" s="220"/>
      <c r="AG374" s="220"/>
      <c r="AH374" s="220"/>
      <c r="AI374" s="220"/>
      <c r="AJ374" s="220"/>
      <c r="AK374" s="220"/>
      <c r="AL374" s="220"/>
      <c r="AM374" s="220"/>
      <c r="AN374" s="220"/>
    </row>
    <row r="375" ht="15.75" customHeight="1">
      <c r="A375" s="220"/>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c r="AA375" s="220"/>
      <c r="AB375" s="220"/>
      <c r="AC375" s="220"/>
      <c r="AD375" s="220"/>
      <c r="AE375" s="220"/>
      <c r="AF375" s="220"/>
      <c r="AG375" s="220"/>
      <c r="AH375" s="220"/>
      <c r="AI375" s="220"/>
      <c r="AJ375" s="220"/>
      <c r="AK375" s="220"/>
      <c r="AL375" s="220"/>
      <c r="AM375" s="220"/>
      <c r="AN375" s="220"/>
    </row>
    <row r="376" ht="15.75" customHeight="1">
      <c r="A376" s="220"/>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c r="AA376" s="220"/>
      <c r="AB376" s="220"/>
      <c r="AC376" s="220"/>
      <c r="AD376" s="220"/>
      <c r="AE376" s="220"/>
      <c r="AF376" s="220"/>
      <c r="AG376" s="220"/>
      <c r="AH376" s="220"/>
      <c r="AI376" s="220"/>
      <c r="AJ376" s="220"/>
      <c r="AK376" s="220"/>
      <c r="AL376" s="220"/>
      <c r="AM376" s="220"/>
      <c r="AN376" s="220"/>
    </row>
    <row r="377" ht="15.75" customHeight="1">
      <c r="A377" s="220"/>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c r="AA377" s="220"/>
      <c r="AB377" s="220"/>
      <c r="AC377" s="220"/>
      <c r="AD377" s="220"/>
      <c r="AE377" s="220"/>
      <c r="AF377" s="220"/>
      <c r="AG377" s="220"/>
      <c r="AH377" s="220"/>
      <c r="AI377" s="220"/>
      <c r="AJ377" s="220"/>
      <c r="AK377" s="220"/>
      <c r="AL377" s="220"/>
      <c r="AM377" s="220"/>
      <c r="AN377" s="220"/>
    </row>
    <row r="378" ht="15.75" customHeight="1">
      <c r="A378" s="220"/>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c r="AA378" s="220"/>
      <c r="AB378" s="220"/>
      <c r="AC378" s="220"/>
      <c r="AD378" s="220"/>
      <c r="AE378" s="220"/>
      <c r="AF378" s="220"/>
      <c r="AG378" s="220"/>
      <c r="AH378" s="220"/>
      <c r="AI378" s="220"/>
      <c r="AJ378" s="220"/>
      <c r="AK378" s="220"/>
      <c r="AL378" s="220"/>
      <c r="AM378" s="220"/>
      <c r="AN378" s="220"/>
    </row>
    <row r="379" ht="15.75" customHeight="1">
      <c r="A379" s="220"/>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c r="AA379" s="220"/>
      <c r="AB379" s="220"/>
      <c r="AC379" s="220"/>
      <c r="AD379" s="220"/>
      <c r="AE379" s="220"/>
      <c r="AF379" s="220"/>
      <c r="AG379" s="220"/>
      <c r="AH379" s="220"/>
      <c r="AI379" s="220"/>
      <c r="AJ379" s="220"/>
      <c r="AK379" s="220"/>
      <c r="AL379" s="220"/>
      <c r="AM379" s="220"/>
      <c r="AN379" s="220"/>
    </row>
    <row r="380" ht="15.75" customHeight="1">
      <c r="A380" s="220"/>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c r="AA380" s="220"/>
      <c r="AB380" s="220"/>
      <c r="AC380" s="220"/>
      <c r="AD380" s="220"/>
      <c r="AE380" s="220"/>
      <c r="AF380" s="220"/>
      <c r="AG380" s="220"/>
      <c r="AH380" s="220"/>
      <c r="AI380" s="220"/>
      <c r="AJ380" s="220"/>
      <c r="AK380" s="220"/>
      <c r="AL380" s="220"/>
      <c r="AM380" s="220"/>
      <c r="AN380" s="220"/>
    </row>
    <row r="381" ht="15.75" customHeight="1">
      <c r="A381" s="220"/>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c r="AN381" s="220"/>
    </row>
    <row r="382" ht="15.75" customHeight="1">
      <c r="A382" s="220"/>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row>
    <row r="383" ht="15.75" customHeight="1">
      <c r="A383" s="220"/>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c r="AA383" s="220"/>
      <c r="AB383" s="220"/>
      <c r="AC383" s="220"/>
      <c r="AD383" s="220"/>
      <c r="AE383" s="220"/>
      <c r="AF383" s="220"/>
      <c r="AG383" s="220"/>
      <c r="AH383" s="220"/>
      <c r="AI383" s="220"/>
      <c r="AJ383" s="220"/>
      <c r="AK383" s="220"/>
      <c r="AL383" s="220"/>
      <c r="AM383" s="220"/>
      <c r="AN383" s="220"/>
    </row>
    <row r="384" ht="15.75" customHeight="1">
      <c r="A384" s="220"/>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c r="AA384" s="220"/>
      <c r="AB384" s="220"/>
      <c r="AC384" s="220"/>
      <c r="AD384" s="220"/>
      <c r="AE384" s="220"/>
      <c r="AF384" s="220"/>
      <c r="AG384" s="220"/>
      <c r="AH384" s="220"/>
      <c r="AI384" s="220"/>
      <c r="AJ384" s="220"/>
      <c r="AK384" s="220"/>
      <c r="AL384" s="220"/>
      <c r="AM384" s="220"/>
      <c r="AN384" s="220"/>
    </row>
    <row r="385" ht="15.75" customHeight="1">
      <c r="A385" s="220"/>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c r="AA385" s="220"/>
      <c r="AB385" s="220"/>
      <c r="AC385" s="220"/>
      <c r="AD385" s="220"/>
      <c r="AE385" s="220"/>
      <c r="AF385" s="220"/>
      <c r="AG385" s="220"/>
      <c r="AH385" s="220"/>
      <c r="AI385" s="220"/>
      <c r="AJ385" s="220"/>
      <c r="AK385" s="220"/>
      <c r="AL385" s="220"/>
      <c r="AM385" s="220"/>
      <c r="AN385" s="220"/>
    </row>
    <row r="386" ht="15.75" customHeight="1">
      <c r="A386" s="220"/>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c r="AA386" s="220"/>
      <c r="AB386" s="220"/>
      <c r="AC386" s="220"/>
      <c r="AD386" s="220"/>
      <c r="AE386" s="220"/>
      <c r="AF386" s="220"/>
      <c r="AG386" s="220"/>
      <c r="AH386" s="220"/>
      <c r="AI386" s="220"/>
      <c r="AJ386" s="220"/>
      <c r="AK386" s="220"/>
      <c r="AL386" s="220"/>
      <c r="AM386" s="220"/>
      <c r="AN386" s="220"/>
    </row>
    <row r="387" ht="15.75" customHeight="1">
      <c r="A387" s="220"/>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c r="AA387" s="220"/>
      <c r="AB387" s="220"/>
      <c r="AC387" s="220"/>
      <c r="AD387" s="220"/>
      <c r="AE387" s="220"/>
      <c r="AF387" s="220"/>
      <c r="AG387" s="220"/>
      <c r="AH387" s="220"/>
      <c r="AI387" s="220"/>
      <c r="AJ387" s="220"/>
      <c r="AK387" s="220"/>
      <c r="AL387" s="220"/>
      <c r="AM387" s="220"/>
      <c r="AN387" s="220"/>
    </row>
    <row r="388" ht="15.75" customHeight="1">
      <c r="A388" s="220"/>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c r="AN388" s="220"/>
    </row>
    <row r="389" ht="15.75" customHeight="1">
      <c r="A389" s="220"/>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c r="AA389" s="220"/>
      <c r="AB389" s="220"/>
      <c r="AC389" s="220"/>
      <c r="AD389" s="220"/>
      <c r="AE389" s="220"/>
      <c r="AF389" s="220"/>
      <c r="AG389" s="220"/>
      <c r="AH389" s="220"/>
      <c r="AI389" s="220"/>
      <c r="AJ389" s="220"/>
      <c r="AK389" s="220"/>
      <c r="AL389" s="220"/>
      <c r="AM389" s="220"/>
      <c r="AN389" s="220"/>
    </row>
    <row r="390" ht="15.75" customHeight="1">
      <c r="A390" s="220"/>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c r="AA390" s="220"/>
      <c r="AB390" s="220"/>
      <c r="AC390" s="220"/>
      <c r="AD390" s="220"/>
      <c r="AE390" s="220"/>
      <c r="AF390" s="220"/>
      <c r="AG390" s="220"/>
      <c r="AH390" s="220"/>
      <c r="AI390" s="220"/>
      <c r="AJ390" s="220"/>
      <c r="AK390" s="220"/>
      <c r="AL390" s="220"/>
      <c r="AM390" s="220"/>
      <c r="AN390" s="220"/>
    </row>
    <row r="391" ht="15.75" customHeight="1">
      <c r="A391" s="220"/>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c r="AA391" s="220"/>
      <c r="AB391" s="220"/>
      <c r="AC391" s="220"/>
      <c r="AD391" s="220"/>
      <c r="AE391" s="220"/>
      <c r="AF391" s="220"/>
      <c r="AG391" s="220"/>
      <c r="AH391" s="220"/>
      <c r="AI391" s="220"/>
      <c r="AJ391" s="220"/>
      <c r="AK391" s="220"/>
      <c r="AL391" s="220"/>
      <c r="AM391" s="220"/>
      <c r="AN391" s="220"/>
    </row>
    <row r="392" ht="15.75" customHeight="1">
      <c r="A392" s="220"/>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c r="AA392" s="220"/>
      <c r="AB392" s="220"/>
      <c r="AC392" s="220"/>
      <c r="AD392" s="220"/>
      <c r="AE392" s="220"/>
      <c r="AF392" s="220"/>
      <c r="AG392" s="220"/>
      <c r="AH392" s="220"/>
      <c r="AI392" s="220"/>
      <c r="AJ392" s="220"/>
      <c r="AK392" s="220"/>
      <c r="AL392" s="220"/>
      <c r="AM392" s="220"/>
      <c r="AN392" s="220"/>
    </row>
    <row r="393" ht="15.75" customHeight="1">
      <c r="A393" s="220"/>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row>
    <row r="394" ht="15.75" customHeight="1">
      <c r="A394" s="220"/>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20"/>
      <c r="AK394" s="220"/>
      <c r="AL394" s="220"/>
      <c r="AM394" s="220"/>
      <c r="AN394" s="220"/>
    </row>
    <row r="395" ht="15.75" customHeight="1">
      <c r="A395" s="220"/>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c r="AA395" s="220"/>
      <c r="AB395" s="220"/>
      <c r="AC395" s="220"/>
      <c r="AD395" s="220"/>
      <c r="AE395" s="220"/>
      <c r="AF395" s="220"/>
      <c r="AG395" s="220"/>
      <c r="AH395" s="220"/>
      <c r="AI395" s="220"/>
      <c r="AJ395" s="220"/>
      <c r="AK395" s="220"/>
      <c r="AL395" s="220"/>
      <c r="AM395" s="220"/>
      <c r="AN395" s="220"/>
    </row>
    <row r="396" ht="15.75" customHeight="1">
      <c r="A396" s="220"/>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c r="AA396" s="220"/>
      <c r="AB396" s="220"/>
      <c r="AC396" s="220"/>
      <c r="AD396" s="220"/>
      <c r="AE396" s="220"/>
      <c r="AF396" s="220"/>
      <c r="AG396" s="220"/>
      <c r="AH396" s="220"/>
      <c r="AI396" s="220"/>
      <c r="AJ396" s="220"/>
      <c r="AK396" s="220"/>
      <c r="AL396" s="220"/>
      <c r="AM396" s="220"/>
      <c r="AN396" s="220"/>
    </row>
    <row r="397" ht="15.75" customHeight="1">
      <c r="A397" s="220"/>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c r="AA397" s="220"/>
      <c r="AB397" s="220"/>
      <c r="AC397" s="220"/>
      <c r="AD397" s="220"/>
      <c r="AE397" s="220"/>
      <c r="AF397" s="220"/>
      <c r="AG397" s="220"/>
      <c r="AH397" s="220"/>
      <c r="AI397" s="220"/>
      <c r="AJ397" s="220"/>
      <c r="AK397" s="220"/>
      <c r="AL397" s="220"/>
      <c r="AM397" s="220"/>
      <c r="AN397" s="220"/>
    </row>
    <row r="398" ht="15.75" customHeight="1">
      <c r="A398" s="220"/>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c r="AA398" s="220"/>
      <c r="AB398" s="220"/>
      <c r="AC398" s="220"/>
      <c r="AD398" s="220"/>
      <c r="AE398" s="220"/>
      <c r="AF398" s="220"/>
      <c r="AG398" s="220"/>
      <c r="AH398" s="220"/>
      <c r="AI398" s="220"/>
      <c r="AJ398" s="220"/>
      <c r="AK398" s="220"/>
      <c r="AL398" s="220"/>
      <c r="AM398" s="220"/>
      <c r="AN398" s="220"/>
    </row>
    <row r="399" ht="15.75" customHeight="1">
      <c r="A399" s="220"/>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c r="AA399" s="220"/>
      <c r="AB399" s="220"/>
      <c r="AC399" s="220"/>
      <c r="AD399" s="220"/>
      <c r="AE399" s="220"/>
      <c r="AF399" s="220"/>
      <c r="AG399" s="220"/>
      <c r="AH399" s="220"/>
      <c r="AI399" s="220"/>
      <c r="AJ399" s="220"/>
      <c r="AK399" s="220"/>
      <c r="AL399" s="220"/>
      <c r="AM399" s="220"/>
      <c r="AN399" s="220"/>
    </row>
    <row r="400" ht="15.75" customHeight="1">
      <c r="A400" s="220"/>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220"/>
      <c r="AM400" s="220"/>
      <c r="AN400" s="220"/>
    </row>
    <row r="401" ht="15.75" customHeight="1">
      <c r="A401" s="220"/>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row>
    <row r="402" ht="15.75" customHeight="1">
      <c r="A402" s="220"/>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row>
    <row r="403" ht="15.75" customHeight="1">
      <c r="A403" s="220"/>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c r="AA403" s="220"/>
      <c r="AB403" s="220"/>
      <c r="AC403" s="220"/>
      <c r="AD403" s="220"/>
      <c r="AE403" s="220"/>
      <c r="AF403" s="220"/>
      <c r="AG403" s="220"/>
      <c r="AH403" s="220"/>
      <c r="AI403" s="220"/>
      <c r="AJ403" s="220"/>
      <c r="AK403" s="220"/>
      <c r="AL403" s="220"/>
      <c r="AM403" s="220"/>
      <c r="AN403" s="220"/>
    </row>
    <row r="404" ht="15.75" customHeight="1">
      <c r="A404" s="220"/>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c r="AA404" s="220"/>
      <c r="AB404" s="220"/>
      <c r="AC404" s="220"/>
      <c r="AD404" s="220"/>
      <c r="AE404" s="220"/>
      <c r="AF404" s="220"/>
      <c r="AG404" s="220"/>
      <c r="AH404" s="220"/>
      <c r="AI404" s="220"/>
      <c r="AJ404" s="220"/>
      <c r="AK404" s="220"/>
      <c r="AL404" s="220"/>
      <c r="AM404" s="220"/>
      <c r="AN404" s="220"/>
    </row>
    <row r="405" ht="15.75" customHeight="1">
      <c r="A405" s="220"/>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c r="AN405" s="220"/>
    </row>
    <row r="406" ht="15.75" customHeight="1">
      <c r="A406" s="220"/>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c r="AA406" s="220"/>
      <c r="AB406" s="220"/>
      <c r="AC406" s="220"/>
      <c r="AD406" s="220"/>
      <c r="AE406" s="220"/>
      <c r="AF406" s="220"/>
      <c r="AG406" s="220"/>
      <c r="AH406" s="220"/>
      <c r="AI406" s="220"/>
      <c r="AJ406" s="220"/>
      <c r="AK406" s="220"/>
      <c r="AL406" s="220"/>
      <c r="AM406" s="220"/>
      <c r="AN406" s="220"/>
    </row>
    <row r="407" ht="15.75" customHeight="1">
      <c r="A407" s="220"/>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c r="AA407" s="220"/>
      <c r="AB407" s="220"/>
      <c r="AC407" s="220"/>
      <c r="AD407" s="220"/>
      <c r="AE407" s="220"/>
      <c r="AF407" s="220"/>
      <c r="AG407" s="220"/>
      <c r="AH407" s="220"/>
      <c r="AI407" s="220"/>
      <c r="AJ407" s="220"/>
      <c r="AK407" s="220"/>
      <c r="AL407" s="220"/>
      <c r="AM407" s="220"/>
      <c r="AN407" s="220"/>
    </row>
    <row r="408" ht="15.75" customHeight="1">
      <c r="A408" s="220"/>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c r="AB408" s="220"/>
      <c r="AC408" s="220"/>
      <c r="AD408" s="220"/>
      <c r="AE408" s="220"/>
      <c r="AF408" s="220"/>
      <c r="AG408" s="220"/>
      <c r="AH408" s="220"/>
      <c r="AI408" s="220"/>
      <c r="AJ408" s="220"/>
      <c r="AK408" s="220"/>
      <c r="AL408" s="220"/>
      <c r="AM408" s="220"/>
      <c r="AN408" s="220"/>
    </row>
    <row r="409" ht="15.75" customHeight="1">
      <c r="A409" s="220"/>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c r="AA409" s="220"/>
      <c r="AB409" s="220"/>
      <c r="AC409" s="220"/>
      <c r="AD409" s="220"/>
      <c r="AE409" s="220"/>
      <c r="AF409" s="220"/>
      <c r="AG409" s="220"/>
      <c r="AH409" s="220"/>
      <c r="AI409" s="220"/>
      <c r="AJ409" s="220"/>
      <c r="AK409" s="220"/>
      <c r="AL409" s="220"/>
      <c r="AM409" s="220"/>
      <c r="AN409" s="220"/>
    </row>
    <row r="410" ht="15.75" customHeight="1">
      <c r="A410" s="220"/>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c r="AN410" s="220"/>
    </row>
    <row r="411" ht="15.75" customHeight="1">
      <c r="A411" s="220"/>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c r="AN411" s="220"/>
    </row>
    <row r="412" ht="15.75" customHeight="1">
      <c r="A412" s="220"/>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c r="AN412" s="220"/>
    </row>
    <row r="413" ht="15.75" customHeight="1">
      <c r="A413" s="220"/>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c r="AN413" s="220"/>
    </row>
    <row r="414" ht="15.75" customHeight="1">
      <c r="A414" s="220"/>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c r="AA414" s="220"/>
      <c r="AB414" s="220"/>
      <c r="AC414" s="220"/>
      <c r="AD414" s="220"/>
      <c r="AE414" s="220"/>
      <c r="AF414" s="220"/>
      <c r="AG414" s="220"/>
      <c r="AH414" s="220"/>
      <c r="AI414" s="220"/>
      <c r="AJ414" s="220"/>
      <c r="AK414" s="220"/>
      <c r="AL414" s="220"/>
      <c r="AM414" s="220"/>
      <c r="AN414" s="220"/>
    </row>
    <row r="415" ht="15.75" customHeight="1">
      <c r="A415" s="220"/>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c r="AA415" s="220"/>
      <c r="AB415" s="220"/>
      <c r="AC415" s="220"/>
      <c r="AD415" s="220"/>
      <c r="AE415" s="220"/>
      <c r="AF415" s="220"/>
      <c r="AG415" s="220"/>
      <c r="AH415" s="220"/>
      <c r="AI415" s="220"/>
      <c r="AJ415" s="220"/>
      <c r="AK415" s="220"/>
      <c r="AL415" s="220"/>
      <c r="AM415" s="220"/>
      <c r="AN415" s="220"/>
    </row>
    <row r="416" ht="15.75" customHeight="1">
      <c r="A416" s="220"/>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row>
    <row r="417" ht="15.75" customHeight="1">
      <c r="A417" s="220"/>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row>
    <row r="418" ht="15.75" customHeight="1">
      <c r="A418" s="220"/>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c r="AA418" s="220"/>
      <c r="AB418" s="220"/>
      <c r="AC418" s="220"/>
      <c r="AD418" s="220"/>
      <c r="AE418" s="220"/>
      <c r="AF418" s="220"/>
      <c r="AG418" s="220"/>
      <c r="AH418" s="220"/>
      <c r="AI418" s="220"/>
      <c r="AJ418" s="220"/>
      <c r="AK418" s="220"/>
      <c r="AL418" s="220"/>
      <c r="AM418" s="220"/>
      <c r="AN418" s="220"/>
    </row>
    <row r="419" ht="15.75" customHeight="1">
      <c r="A419" s="220"/>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c r="AA419" s="220"/>
      <c r="AB419" s="220"/>
      <c r="AC419" s="220"/>
      <c r="AD419" s="220"/>
      <c r="AE419" s="220"/>
      <c r="AF419" s="220"/>
      <c r="AG419" s="220"/>
      <c r="AH419" s="220"/>
      <c r="AI419" s="220"/>
      <c r="AJ419" s="220"/>
      <c r="AK419" s="220"/>
      <c r="AL419" s="220"/>
      <c r="AM419" s="220"/>
      <c r="AN419" s="220"/>
    </row>
    <row r="420" ht="15.75" customHeight="1">
      <c r="A420" s="220"/>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c r="AA420" s="220"/>
      <c r="AB420" s="220"/>
      <c r="AC420" s="220"/>
      <c r="AD420" s="220"/>
      <c r="AE420" s="220"/>
      <c r="AF420" s="220"/>
      <c r="AG420" s="220"/>
      <c r="AH420" s="220"/>
      <c r="AI420" s="220"/>
      <c r="AJ420" s="220"/>
      <c r="AK420" s="220"/>
      <c r="AL420" s="220"/>
      <c r="AM420" s="220"/>
      <c r="AN420" s="220"/>
    </row>
    <row r="421" ht="15.75" customHeight="1">
      <c r="A421" s="220"/>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c r="AA421" s="220"/>
      <c r="AB421" s="220"/>
      <c r="AC421" s="220"/>
      <c r="AD421" s="220"/>
      <c r="AE421" s="220"/>
      <c r="AF421" s="220"/>
      <c r="AG421" s="220"/>
      <c r="AH421" s="220"/>
      <c r="AI421" s="220"/>
      <c r="AJ421" s="220"/>
      <c r="AK421" s="220"/>
      <c r="AL421" s="220"/>
      <c r="AM421" s="220"/>
      <c r="AN421" s="220"/>
    </row>
    <row r="422" ht="15.75" customHeight="1">
      <c r="A422" s="220"/>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c r="AA422" s="220"/>
      <c r="AB422" s="220"/>
      <c r="AC422" s="220"/>
      <c r="AD422" s="220"/>
      <c r="AE422" s="220"/>
      <c r="AF422" s="220"/>
      <c r="AG422" s="220"/>
      <c r="AH422" s="220"/>
      <c r="AI422" s="220"/>
      <c r="AJ422" s="220"/>
      <c r="AK422" s="220"/>
      <c r="AL422" s="220"/>
      <c r="AM422" s="220"/>
      <c r="AN422" s="220"/>
    </row>
    <row r="423" ht="15.75" customHeight="1">
      <c r="A423" s="220"/>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c r="AA423" s="220"/>
      <c r="AB423" s="220"/>
      <c r="AC423" s="220"/>
      <c r="AD423" s="220"/>
      <c r="AE423" s="220"/>
      <c r="AF423" s="220"/>
      <c r="AG423" s="220"/>
      <c r="AH423" s="220"/>
      <c r="AI423" s="220"/>
      <c r="AJ423" s="220"/>
      <c r="AK423" s="220"/>
      <c r="AL423" s="220"/>
      <c r="AM423" s="220"/>
      <c r="AN423" s="220"/>
    </row>
    <row r="424" ht="15.75" customHeight="1">
      <c r="A424" s="220"/>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c r="AA424" s="220"/>
      <c r="AB424" s="220"/>
      <c r="AC424" s="220"/>
      <c r="AD424" s="220"/>
      <c r="AE424" s="220"/>
      <c r="AF424" s="220"/>
      <c r="AG424" s="220"/>
      <c r="AH424" s="220"/>
      <c r="AI424" s="220"/>
      <c r="AJ424" s="220"/>
      <c r="AK424" s="220"/>
      <c r="AL424" s="220"/>
      <c r="AM424" s="220"/>
      <c r="AN424" s="220"/>
    </row>
    <row r="425" ht="15.75" customHeight="1">
      <c r="A425" s="220"/>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0"/>
      <c r="AG425" s="220"/>
      <c r="AH425" s="220"/>
      <c r="AI425" s="220"/>
      <c r="AJ425" s="220"/>
      <c r="AK425" s="220"/>
      <c r="AL425" s="220"/>
      <c r="AM425" s="220"/>
      <c r="AN425" s="220"/>
    </row>
    <row r="426" ht="15.75" customHeight="1">
      <c r="A426" s="220"/>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20"/>
      <c r="AK426" s="220"/>
      <c r="AL426" s="220"/>
      <c r="AM426" s="220"/>
      <c r="AN426" s="220"/>
    </row>
    <row r="427" ht="15.75" customHeight="1">
      <c r="A427" s="220"/>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c r="AA427" s="220"/>
      <c r="AB427" s="220"/>
      <c r="AC427" s="220"/>
      <c r="AD427" s="220"/>
      <c r="AE427" s="220"/>
      <c r="AF427" s="220"/>
      <c r="AG427" s="220"/>
      <c r="AH427" s="220"/>
      <c r="AI427" s="220"/>
      <c r="AJ427" s="220"/>
      <c r="AK427" s="220"/>
      <c r="AL427" s="220"/>
      <c r="AM427" s="220"/>
      <c r="AN427" s="220"/>
    </row>
    <row r="428" ht="15.75" customHeight="1">
      <c r="A428" s="220"/>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c r="AA428" s="220"/>
      <c r="AB428" s="220"/>
      <c r="AC428" s="220"/>
      <c r="AD428" s="220"/>
      <c r="AE428" s="220"/>
      <c r="AF428" s="220"/>
      <c r="AG428" s="220"/>
      <c r="AH428" s="220"/>
      <c r="AI428" s="220"/>
      <c r="AJ428" s="220"/>
      <c r="AK428" s="220"/>
      <c r="AL428" s="220"/>
      <c r="AM428" s="220"/>
      <c r="AN428" s="220"/>
    </row>
    <row r="429" ht="15.75" customHeight="1">
      <c r="A429" s="220"/>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row>
    <row r="430" ht="15.75" customHeight="1">
      <c r="A430" s="220"/>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c r="AA430" s="220"/>
      <c r="AB430" s="220"/>
      <c r="AC430" s="220"/>
      <c r="AD430" s="220"/>
      <c r="AE430" s="220"/>
      <c r="AF430" s="220"/>
      <c r="AG430" s="220"/>
      <c r="AH430" s="220"/>
      <c r="AI430" s="220"/>
      <c r="AJ430" s="220"/>
      <c r="AK430" s="220"/>
      <c r="AL430" s="220"/>
      <c r="AM430" s="220"/>
      <c r="AN430" s="220"/>
    </row>
    <row r="431" ht="15.75" customHeight="1">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row>
    <row r="432" ht="15.75" customHeight="1">
      <c r="A432" s="220"/>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c r="AA432" s="220"/>
      <c r="AB432" s="220"/>
      <c r="AC432" s="220"/>
      <c r="AD432" s="220"/>
      <c r="AE432" s="220"/>
      <c r="AF432" s="220"/>
      <c r="AG432" s="220"/>
      <c r="AH432" s="220"/>
      <c r="AI432" s="220"/>
      <c r="AJ432" s="220"/>
      <c r="AK432" s="220"/>
      <c r="AL432" s="220"/>
      <c r="AM432" s="220"/>
      <c r="AN432" s="220"/>
    </row>
    <row r="433" ht="15.75" customHeight="1">
      <c r="A433" s="220"/>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c r="AA433" s="220"/>
      <c r="AB433" s="220"/>
      <c r="AC433" s="220"/>
      <c r="AD433" s="220"/>
      <c r="AE433" s="220"/>
      <c r="AF433" s="220"/>
      <c r="AG433" s="220"/>
      <c r="AH433" s="220"/>
      <c r="AI433" s="220"/>
      <c r="AJ433" s="220"/>
      <c r="AK433" s="220"/>
      <c r="AL433" s="220"/>
      <c r="AM433" s="220"/>
      <c r="AN433" s="220"/>
    </row>
    <row r="434" ht="15.75" customHeight="1">
      <c r="A434" s="220"/>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c r="AA434" s="220"/>
      <c r="AB434" s="220"/>
      <c r="AC434" s="220"/>
      <c r="AD434" s="220"/>
      <c r="AE434" s="220"/>
      <c r="AF434" s="220"/>
      <c r="AG434" s="220"/>
      <c r="AH434" s="220"/>
      <c r="AI434" s="220"/>
      <c r="AJ434" s="220"/>
      <c r="AK434" s="220"/>
      <c r="AL434" s="220"/>
      <c r="AM434" s="220"/>
      <c r="AN434" s="220"/>
    </row>
    <row r="435" ht="15.75" customHeight="1">
      <c r="A435" s="220"/>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20"/>
      <c r="AK435" s="220"/>
      <c r="AL435" s="220"/>
      <c r="AM435" s="220"/>
      <c r="AN435" s="220"/>
    </row>
    <row r="436" ht="15.75" customHeight="1">
      <c r="A436" s="220"/>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220"/>
      <c r="AL436" s="220"/>
      <c r="AM436" s="220"/>
      <c r="AN436" s="220"/>
    </row>
    <row r="437" ht="15.75" customHeight="1">
      <c r="A437" s="220"/>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220"/>
      <c r="AL437" s="220"/>
      <c r="AM437" s="220"/>
      <c r="AN437" s="220"/>
    </row>
    <row r="438" ht="15.75" customHeight="1">
      <c r="A438" s="220"/>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c r="AA438" s="220"/>
      <c r="AB438" s="220"/>
      <c r="AC438" s="220"/>
      <c r="AD438" s="220"/>
      <c r="AE438" s="220"/>
      <c r="AF438" s="220"/>
      <c r="AG438" s="220"/>
      <c r="AH438" s="220"/>
      <c r="AI438" s="220"/>
      <c r="AJ438" s="220"/>
      <c r="AK438" s="220"/>
      <c r="AL438" s="220"/>
      <c r="AM438" s="220"/>
      <c r="AN438" s="220"/>
    </row>
    <row r="439" ht="15.75" customHeight="1">
      <c r="A439" s="220"/>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c r="AA439" s="220"/>
      <c r="AB439" s="220"/>
      <c r="AC439" s="220"/>
      <c r="AD439" s="220"/>
      <c r="AE439" s="220"/>
      <c r="AF439" s="220"/>
      <c r="AG439" s="220"/>
      <c r="AH439" s="220"/>
      <c r="AI439" s="220"/>
      <c r="AJ439" s="220"/>
      <c r="AK439" s="220"/>
      <c r="AL439" s="220"/>
      <c r="AM439" s="220"/>
      <c r="AN439" s="220"/>
    </row>
    <row r="440" ht="15.75" customHeight="1">
      <c r="A440" s="220"/>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20"/>
      <c r="AK440" s="220"/>
      <c r="AL440" s="220"/>
      <c r="AM440" s="220"/>
      <c r="AN440" s="220"/>
    </row>
    <row r="441" ht="15.75" customHeight="1">
      <c r="A441" s="220"/>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row>
    <row r="442" ht="15.75" customHeight="1">
      <c r="A442" s="220"/>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c r="AA442" s="220"/>
      <c r="AB442" s="220"/>
      <c r="AC442" s="220"/>
      <c r="AD442" s="220"/>
      <c r="AE442" s="220"/>
      <c r="AF442" s="220"/>
      <c r="AG442" s="220"/>
      <c r="AH442" s="220"/>
      <c r="AI442" s="220"/>
      <c r="AJ442" s="220"/>
      <c r="AK442" s="220"/>
      <c r="AL442" s="220"/>
      <c r="AM442" s="220"/>
      <c r="AN442" s="220"/>
    </row>
    <row r="443" ht="15.75" customHeight="1">
      <c r="A443" s="220"/>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c r="AA443" s="220"/>
      <c r="AB443" s="220"/>
      <c r="AC443" s="220"/>
      <c r="AD443" s="220"/>
      <c r="AE443" s="220"/>
      <c r="AF443" s="220"/>
      <c r="AG443" s="220"/>
      <c r="AH443" s="220"/>
      <c r="AI443" s="220"/>
      <c r="AJ443" s="220"/>
      <c r="AK443" s="220"/>
      <c r="AL443" s="220"/>
      <c r="AM443" s="220"/>
      <c r="AN443" s="220"/>
    </row>
    <row r="444" ht="15.75" customHeight="1">
      <c r="A444" s="220"/>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c r="AA444" s="220"/>
      <c r="AB444" s="220"/>
      <c r="AC444" s="220"/>
      <c r="AD444" s="220"/>
      <c r="AE444" s="220"/>
      <c r="AF444" s="220"/>
      <c r="AG444" s="220"/>
      <c r="AH444" s="220"/>
      <c r="AI444" s="220"/>
      <c r="AJ444" s="220"/>
      <c r="AK444" s="220"/>
      <c r="AL444" s="220"/>
      <c r="AM444" s="220"/>
      <c r="AN444" s="220"/>
    </row>
    <row r="445" ht="15.75" customHeight="1">
      <c r="A445" s="220"/>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0"/>
      <c r="AL445" s="220"/>
      <c r="AM445" s="220"/>
      <c r="AN445" s="220"/>
    </row>
    <row r="446" ht="15.75" customHeight="1">
      <c r="A446" s="220"/>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c r="AA446" s="220"/>
      <c r="AB446" s="220"/>
      <c r="AC446" s="220"/>
      <c r="AD446" s="220"/>
      <c r="AE446" s="220"/>
      <c r="AF446" s="220"/>
      <c r="AG446" s="220"/>
      <c r="AH446" s="220"/>
      <c r="AI446" s="220"/>
      <c r="AJ446" s="220"/>
      <c r="AK446" s="220"/>
      <c r="AL446" s="220"/>
      <c r="AM446" s="220"/>
      <c r="AN446" s="220"/>
    </row>
    <row r="447" ht="15.75" customHeight="1">
      <c r="A447" s="220"/>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c r="AA447" s="220"/>
      <c r="AB447" s="220"/>
      <c r="AC447" s="220"/>
      <c r="AD447" s="220"/>
      <c r="AE447" s="220"/>
      <c r="AF447" s="220"/>
      <c r="AG447" s="220"/>
      <c r="AH447" s="220"/>
      <c r="AI447" s="220"/>
      <c r="AJ447" s="220"/>
      <c r="AK447" s="220"/>
      <c r="AL447" s="220"/>
      <c r="AM447" s="220"/>
      <c r="AN447" s="220"/>
    </row>
    <row r="448" ht="15.75" customHeight="1">
      <c r="A448" s="220"/>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c r="AA448" s="220"/>
      <c r="AB448" s="220"/>
      <c r="AC448" s="220"/>
      <c r="AD448" s="220"/>
      <c r="AE448" s="220"/>
      <c r="AF448" s="220"/>
      <c r="AG448" s="220"/>
      <c r="AH448" s="220"/>
      <c r="AI448" s="220"/>
      <c r="AJ448" s="220"/>
      <c r="AK448" s="220"/>
      <c r="AL448" s="220"/>
      <c r="AM448" s="220"/>
      <c r="AN448" s="220"/>
    </row>
    <row r="449" ht="15.75" customHeight="1">
      <c r="A449" s="220"/>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c r="AA449" s="220"/>
      <c r="AB449" s="220"/>
      <c r="AC449" s="220"/>
      <c r="AD449" s="220"/>
      <c r="AE449" s="220"/>
      <c r="AF449" s="220"/>
      <c r="AG449" s="220"/>
      <c r="AH449" s="220"/>
      <c r="AI449" s="220"/>
      <c r="AJ449" s="220"/>
      <c r="AK449" s="220"/>
      <c r="AL449" s="220"/>
      <c r="AM449" s="220"/>
      <c r="AN449" s="220"/>
    </row>
    <row r="450" ht="15.75" customHeight="1">
      <c r="A450" s="220"/>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row>
    <row r="451" ht="15.75" customHeight="1">
      <c r="A451" s="220"/>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c r="AA451" s="220"/>
      <c r="AB451" s="220"/>
      <c r="AC451" s="220"/>
      <c r="AD451" s="220"/>
      <c r="AE451" s="220"/>
      <c r="AF451" s="220"/>
      <c r="AG451" s="220"/>
      <c r="AH451" s="220"/>
      <c r="AI451" s="220"/>
      <c r="AJ451" s="220"/>
      <c r="AK451" s="220"/>
      <c r="AL451" s="220"/>
      <c r="AM451" s="220"/>
      <c r="AN451" s="220"/>
    </row>
    <row r="452" ht="15.75" customHeight="1">
      <c r="A452" s="220"/>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c r="AA452" s="220"/>
      <c r="AB452" s="220"/>
      <c r="AC452" s="220"/>
      <c r="AD452" s="220"/>
      <c r="AE452" s="220"/>
      <c r="AF452" s="220"/>
      <c r="AG452" s="220"/>
      <c r="AH452" s="220"/>
      <c r="AI452" s="220"/>
      <c r="AJ452" s="220"/>
      <c r="AK452" s="220"/>
      <c r="AL452" s="220"/>
      <c r="AM452" s="220"/>
      <c r="AN452" s="220"/>
    </row>
    <row r="453" ht="15.75" customHeight="1">
      <c r="A453" s="220"/>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c r="AN453" s="220"/>
    </row>
    <row r="454" ht="15.75" customHeight="1">
      <c r="A454" s="220"/>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c r="AB454" s="220"/>
      <c r="AC454" s="220"/>
      <c r="AD454" s="220"/>
      <c r="AE454" s="220"/>
      <c r="AF454" s="220"/>
      <c r="AG454" s="220"/>
      <c r="AH454" s="220"/>
      <c r="AI454" s="220"/>
      <c r="AJ454" s="220"/>
      <c r="AK454" s="220"/>
      <c r="AL454" s="220"/>
      <c r="AM454" s="220"/>
      <c r="AN454" s="220"/>
    </row>
    <row r="455" ht="15.75" customHeight="1">
      <c r="A455" s="220"/>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c r="AA455" s="220"/>
      <c r="AB455" s="220"/>
      <c r="AC455" s="220"/>
      <c r="AD455" s="220"/>
      <c r="AE455" s="220"/>
      <c r="AF455" s="220"/>
      <c r="AG455" s="220"/>
      <c r="AH455" s="220"/>
      <c r="AI455" s="220"/>
      <c r="AJ455" s="220"/>
      <c r="AK455" s="220"/>
      <c r="AL455" s="220"/>
      <c r="AM455" s="220"/>
      <c r="AN455" s="220"/>
    </row>
    <row r="456" ht="15.75" customHeight="1">
      <c r="A456" s="220"/>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c r="AA456" s="220"/>
      <c r="AB456" s="220"/>
      <c r="AC456" s="220"/>
      <c r="AD456" s="220"/>
      <c r="AE456" s="220"/>
      <c r="AF456" s="220"/>
      <c r="AG456" s="220"/>
      <c r="AH456" s="220"/>
      <c r="AI456" s="220"/>
      <c r="AJ456" s="220"/>
      <c r="AK456" s="220"/>
      <c r="AL456" s="220"/>
      <c r="AM456" s="220"/>
      <c r="AN456" s="220"/>
    </row>
    <row r="457" ht="15.75" customHeight="1">
      <c r="A457" s="220"/>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c r="AB457" s="220"/>
      <c r="AC457" s="220"/>
      <c r="AD457" s="220"/>
      <c r="AE457" s="220"/>
      <c r="AF457" s="220"/>
      <c r="AG457" s="220"/>
      <c r="AH457" s="220"/>
      <c r="AI457" s="220"/>
      <c r="AJ457" s="220"/>
      <c r="AK457" s="220"/>
      <c r="AL457" s="220"/>
      <c r="AM457" s="220"/>
      <c r="AN457" s="220"/>
    </row>
    <row r="458" ht="15.75" customHeight="1">
      <c r="A458" s="220"/>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220"/>
      <c r="AN458" s="220"/>
    </row>
    <row r="459" ht="15.75" customHeight="1">
      <c r="A459" s="220"/>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220"/>
      <c r="AN459" s="220"/>
    </row>
    <row r="460" ht="15.75" customHeight="1">
      <c r="A460" s="220"/>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0"/>
      <c r="AL460" s="220"/>
      <c r="AM460" s="220"/>
      <c r="AN460" s="220"/>
    </row>
    <row r="461" ht="15.75" customHeight="1">
      <c r="A461" s="220"/>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220"/>
      <c r="AL461" s="220"/>
      <c r="AM461" s="220"/>
      <c r="AN461" s="220"/>
    </row>
    <row r="462" ht="15.75" customHeight="1">
      <c r="A462" s="220"/>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c r="AA462" s="220"/>
      <c r="AB462" s="220"/>
      <c r="AC462" s="220"/>
      <c r="AD462" s="220"/>
      <c r="AE462" s="220"/>
      <c r="AF462" s="220"/>
      <c r="AG462" s="220"/>
      <c r="AH462" s="220"/>
      <c r="AI462" s="220"/>
      <c r="AJ462" s="220"/>
      <c r="AK462" s="220"/>
      <c r="AL462" s="220"/>
      <c r="AM462" s="220"/>
      <c r="AN462" s="220"/>
    </row>
    <row r="463" ht="15.75" customHeight="1">
      <c r="A463" s="220"/>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c r="AA463" s="220"/>
      <c r="AB463" s="220"/>
      <c r="AC463" s="220"/>
      <c r="AD463" s="220"/>
      <c r="AE463" s="220"/>
      <c r="AF463" s="220"/>
      <c r="AG463" s="220"/>
      <c r="AH463" s="220"/>
      <c r="AI463" s="220"/>
      <c r="AJ463" s="220"/>
      <c r="AK463" s="220"/>
      <c r="AL463" s="220"/>
      <c r="AM463" s="220"/>
      <c r="AN463" s="220"/>
    </row>
    <row r="464" ht="15.75" customHeight="1">
      <c r="A464" s="220"/>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c r="AN464" s="220"/>
    </row>
    <row r="465" ht="15.75" customHeight="1">
      <c r="A465" s="220"/>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row>
    <row r="466" ht="15.75" customHeight="1">
      <c r="A466" s="220"/>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c r="AA466" s="220"/>
      <c r="AB466" s="220"/>
      <c r="AC466" s="220"/>
      <c r="AD466" s="220"/>
      <c r="AE466" s="220"/>
      <c r="AF466" s="220"/>
      <c r="AG466" s="220"/>
      <c r="AH466" s="220"/>
      <c r="AI466" s="220"/>
      <c r="AJ466" s="220"/>
      <c r="AK466" s="220"/>
      <c r="AL466" s="220"/>
      <c r="AM466" s="220"/>
      <c r="AN466" s="220"/>
    </row>
    <row r="467" ht="15.75" customHeight="1">
      <c r="A467" s="220"/>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c r="AA467" s="220"/>
      <c r="AB467" s="220"/>
      <c r="AC467" s="220"/>
      <c r="AD467" s="220"/>
      <c r="AE467" s="220"/>
      <c r="AF467" s="220"/>
      <c r="AG467" s="220"/>
      <c r="AH467" s="220"/>
      <c r="AI467" s="220"/>
      <c r="AJ467" s="220"/>
      <c r="AK467" s="220"/>
      <c r="AL467" s="220"/>
      <c r="AM467" s="220"/>
      <c r="AN467" s="220"/>
    </row>
    <row r="468" ht="15.75" customHeight="1">
      <c r="A468" s="220"/>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c r="AA468" s="220"/>
      <c r="AB468" s="220"/>
      <c r="AC468" s="220"/>
      <c r="AD468" s="220"/>
      <c r="AE468" s="220"/>
      <c r="AF468" s="220"/>
      <c r="AG468" s="220"/>
      <c r="AH468" s="220"/>
      <c r="AI468" s="220"/>
      <c r="AJ468" s="220"/>
      <c r="AK468" s="220"/>
      <c r="AL468" s="220"/>
      <c r="AM468" s="220"/>
      <c r="AN468" s="220"/>
    </row>
    <row r="469" ht="15.75" customHeight="1">
      <c r="A469" s="220"/>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0"/>
      <c r="AL469" s="220"/>
      <c r="AM469" s="220"/>
      <c r="AN469" s="220"/>
    </row>
    <row r="470" ht="15.75" customHeight="1">
      <c r="A470" s="220"/>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220"/>
      <c r="AL470" s="220"/>
      <c r="AM470" s="220"/>
      <c r="AN470" s="220"/>
    </row>
    <row r="471" ht="15.75" customHeight="1">
      <c r="A471" s="220"/>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c r="AA471" s="220"/>
      <c r="AB471" s="220"/>
      <c r="AC471" s="220"/>
      <c r="AD471" s="220"/>
      <c r="AE471" s="220"/>
      <c r="AF471" s="220"/>
      <c r="AG471" s="220"/>
      <c r="AH471" s="220"/>
      <c r="AI471" s="220"/>
      <c r="AJ471" s="220"/>
      <c r="AK471" s="220"/>
      <c r="AL471" s="220"/>
      <c r="AM471" s="220"/>
      <c r="AN471" s="220"/>
    </row>
    <row r="472" ht="15.75" customHeight="1">
      <c r="A472" s="220"/>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c r="AA472" s="220"/>
      <c r="AB472" s="220"/>
      <c r="AC472" s="220"/>
      <c r="AD472" s="220"/>
      <c r="AE472" s="220"/>
      <c r="AF472" s="220"/>
      <c r="AG472" s="220"/>
      <c r="AH472" s="220"/>
      <c r="AI472" s="220"/>
      <c r="AJ472" s="220"/>
      <c r="AK472" s="220"/>
      <c r="AL472" s="220"/>
      <c r="AM472" s="220"/>
      <c r="AN472" s="220"/>
    </row>
    <row r="473" ht="15.75" customHeight="1">
      <c r="A473" s="220"/>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220"/>
      <c r="AL473" s="220"/>
      <c r="AM473" s="220"/>
      <c r="AN473" s="220"/>
    </row>
    <row r="474" ht="15.75" customHeight="1">
      <c r="A474" s="220"/>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0"/>
      <c r="AL474" s="220"/>
      <c r="AM474" s="220"/>
      <c r="AN474" s="220"/>
    </row>
    <row r="475" ht="15.75" customHeight="1">
      <c r="A475" s="220"/>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c r="AA475" s="220"/>
      <c r="AB475" s="220"/>
      <c r="AC475" s="220"/>
      <c r="AD475" s="220"/>
      <c r="AE475" s="220"/>
      <c r="AF475" s="220"/>
      <c r="AG475" s="220"/>
      <c r="AH475" s="220"/>
      <c r="AI475" s="220"/>
      <c r="AJ475" s="220"/>
      <c r="AK475" s="220"/>
      <c r="AL475" s="220"/>
      <c r="AM475" s="220"/>
      <c r="AN475" s="220"/>
    </row>
    <row r="476" ht="15.75" customHeight="1">
      <c r="A476" s="220"/>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c r="AA476" s="220"/>
      <c r="AB476" s="220"/>
      <c r="AC476" s="220"/>
      <c r="AD476" s="220"/>
      <c r="AE476" s="220"/>
      <c r="AF476" s="220"/>
      <c r="AG476" s="220"/>
      <c r="AH476" s="220"/>
      <c r="AI476" s="220"/>
      <c r="AJ476" s="220"/>
      <c r="AK476" s="220"/>
      <c r="AL476" s="220"/>
      <c r="AM476" s="220"/>
      <c r="AN476" s="220"/>
    </row>
    <row r="477" ht="15.75" customHeight="1">
      <c r="A477" s="220"/>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row>
    <row r="478" ht="15.75" customHeight="1">
      <c r="A478" s="220"/>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c r="AA478" s="220"/>
      <c r="AB478" s="220"/>
      <c r="AC478" s="220"/>
      <c r="AD478" s="220"/>
      <c r="AE478" s="220"/>
      <c r="AF478" s="220"/>
      <c r="AG478" s="220"/>
      <c r="AH478" s="220"/>
      <c r="AI478" s="220"/>
      <c r="AJ478" s="220"/>
      <c r="AK478" s="220"/>
      <c r="AL478" s="220"/>
      <c r="AM478" s="220"/>
      <c r="AN478" s="220"/>
    </row>
    <row r="479" ht="15.75" customHeight="1">
      <c r="A479" s="220"/>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c r="AA479" s="220"/>
      <c r="AB479" s="220"/>
      <c r="AC479" s="220"/>
      <c r="AD479" s="220"/>
      <c r="AE479" s="220"/>
      <c r="AF479" s="220"/>
      <c r="AG479" s="220"/>
      <c r="AH479" s="220"/>
      <c r="AI479" s="220"/>
      <c r="AJ479" s="220"/>
      <c r="AK479" s="220"/>
      <c r="AL479" s="220"/>
      <c r="AM479" s="220"/>
      <c r="AN479" s="220"/>
    </row>
    <row r="480" ht="15.75" customHeight="1">
      <c r="A480" s="220"/>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row>
    <row r="481" ht="15.75" customHeight="1">
      <c r="A481" s="220"/>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row>
    <row r="482" ht="15.75" customHeight="1">
      <c r="A482" s="220"/>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c r="AA482" s="220"/>
      <c r="AB482" s="220"/>
      <c r="AC482" s="220"/>
      <c r="AD482" s="220"/>
      <c r="AE482" s="220"/>
      <c r="AF482" s="220"/>
      <c r="AG482" s="220"/>
      <c r="AH482" s="220"/>
      <c r="AI482" s="220"/>
      <c r="AJ482" s="220"/>
      <c r="AK482" s="220"/>
      <c r="AL482" s="220"/>
      <c r="AM482" s="220"/>
      <c r="AN482" s="220"/>
    </row>
    <row r="483" ht="15.75" customHeight="1">
      <c r="A483" s="220"/>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c r="AA483" s="220"/>
      <c r="AB483" s="220"/>
      <c r="AC483" s="220"/>
      <c r="AD483" s="220"/>
      <c r="AE483" s="220"/>
      <c r="AF483" s="220"/>
      <c r="AG483" s="220"/>
      <c r="AH483" s="220"/>
      <c r="AI483" s="220"/>
      <c r="AJ483" s="220"/>
      <c r="AK483" s="220"/>
      <c r="AL483" s="220"/>
      <c r="AM483" s="220"/>
      <c r="AN483" s="220"/>
    </row>
    <row r="484" ht="15.75" customHeight="1">
      <c r="A484" s="220"/>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c r="AA484" s="220"/>
      <c r="AB484" s="220"/>
      <c r="AC484" s="220"/>
      <c r="AD484" s="220"/>
      <c r="AE484" s="220"/>
      <c r="AF484" s="220"/>
      <c r="AG484" s="220"/>
      <c r="AH484" s="220"/>
      <c r="AI484" s="220"/>
      <c r="AJ484" s="220"/>
      <c r="AK484" s="220"/>
      <c r="AL484" s="220"/>
      <c r="AM484" s="220"/>
      <c r="AN484" s="220"/>
    </row>
    <row r="485" ht="15.75" customHeight="1">
      <c r="A485" s="220"/>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c r="AA485" s="220"/>
      <c r="AB485" s="220"/>
      <c r="AC485" s="220"/>
      <c r="AD485" s="220"/>
      <c r="AE485" s="220"/>
      <c r="AF485" s="220"/>
      <c r="AG485" s="220"/>
      <c r="AH485" s="220"/>
      <c r="AI485" s="220"/>
      <c r="AJ485" s="220"/>
      <c r="AK485" s="220"/>
      <c r="AL485" s="220"/>
      <c r="AM485" s="220"/>
      <c r="AN485" s="220"/>
    </row>
    <row r="486" ht="15.75" customHeight="1">
      <c r="A486" s="220"/>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c r="AA486" s="220"/>
      <c r="AB486" s="220"/>
      <c r="AC486" s="220"/>
      <c r="AD486" s="220"/>
      <c r="AE486" s="220"/>
      <c r="AF486" s="220"/>
      <c r="AG486" s="220"/>
      <c r="AH486" s="220"/>
      <c r="AI486" s="220"/>
      <c r="AJ486" s="220"/>
      <c r="AK486" s="220"/>
      <c r="AL486" s="220"/>
      <c r="AM486" s="220"/>
      <c r="AN486" s="220"/>
    </row>
    <row r="487" ht="15.75" customHeight="1">
      <c r="A487" s="220"/>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c r="AA487" s="220"/>
      <c r="AB487" s="220"/>
      <c r="AC487" s="220"/>
      <c r="AD487" s="220"/>
      <c r="AE487" s="220"/>
      <c r="AF487" s="220"/>
      <c r="AG487" s="220"/>
      <c r="AH487" s="220"/>
      <c r="AI487" s="220"/>
      <c r="AJ487" s="220"/>
      <c r="AK487" s="220"/>
      <c r="AL487" s="220"/>
      <c r="AM487" s="220"/>
      <c r="AN487" s="220"/>
    </row>
    <row r="488" ht="15.75" customHeight="1">
      <c r="A488" s="220"/>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c r="AA488" s="220"/>
      <c r="AB488" s="220"/>
      <c r="AC488" s="220"/>
      <c r="AD488" s="220"/>
      <c r="AE488" s="220"/>
      <c r="AF488" s="220"/>
      <c r="AG488" s="220"/>
      <c r="AH488" s="220"/>
      <c r="AI488" s="220"/>
      <c r="AJ488" s="220"/>
      <c r="AK488" s="220"/>
      <c r="AL488" s="220"/>
      <c r="AM488" s="220"/>
      <c r="AN488" s="220"/>
    </row>
    <row r="489" ht="15.75" customHeight="1">
      <c r="A489" s="220"/>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c r="AA489" s="220"/>
      <c r="AB489" s="220"/>
      <c r="AC489" s="220"/>
      <c r="AD489" s="220"/>
      <c r="AE489" s="220"/>
      <c r="AF489" s="220"/>
      <c r="AG489" s="220"/>
      <c r="AH489" s="220"/>
      <c r="AI489" s="220"/>
      <c r="AJ489" s="220"/>
      <c r="AK489" s="220"/>
      <c r="AL489" s="220"/>
      <c r="AM489" s="220"/>
      <c r="AN489" s="220"/>
    </row>
    <row r="490" ht="15.75" customHeight="1">
      <c r="A490" s="220"/>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c r="AA490" s="220"/>
      <c r="AB490" s="220"/>
      <c r="AC490" s="220"/>
      <c r="AD490" s="220"/>
      <c r="AE490" s="220"/>
      <c r="AF490" s="220"/>
      <c r="AG490" s="220"/>
      <c r="AH490" s="220"/>
      <c r="AI490" s="220"/>
      <c r="AJ490" s="220"/>
      <c r="AK490" s="220"/>
      <c r="AL490" s="220"/>
      <c r="AM490" s="220"/>
      <c r="AN490" s="220"/>
    </row>
    <row r="491" ht="15.75" customHeight="1">
      <c r="A491" s="220"/>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c r="AA491" s="220"/>
      <c r="AB491" s="220"/>
      <c r="AC491" s="220"/>
      <c r="AD491" s="220"/>
      <c r="AE491" s="220"/>
      <c r="AF491" s="220"/>
      <c r="AG491" s="220"/>
      <c r="AH491" s="220"/>
      <c r="AI491" s="220"/>
      <c r="AJ491" s="220"/>
      <c r="AK491" s="220"/>
      <c r="AL491" s="220"/>
      <c r="AM491" s="220"/>
      <c r="AN491" s="220"/>
    </row>
    <row r="492" ht="15.75" customHeight="1">
      <c r="A492" s="220"/>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c r="AA492" s="220"/>
      <c r="AB492" s="220"/>
      <c r="AC492" s="220"/>
      <c r="AD492" s="220"/>
      <c r="AE492" s="220"/>
      <c r="AF492" s="220"/>
      <c r="AG492" s="220"/>
      <c r="AH492" s="220"/>
      <c r="AI492" s="220"/>
      <c r="AJ492" s="220"/>
      <c r="AK492" s="220"/>
      <c r="AL492" s="220"/>
      <c r="AM492" s="220"/>
      <c r="AN492" s="220"/>
    </row>
    <row r="493" ht="15.75" customHeight="1">
      <c r="A493" s="220"/>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c r="AA493" s="220"/>
      <c r="AB493" s="220"/>
      <c r="AC493" s="220"/>
      <c r="AD493" s="220"/>
      <c r="AE493" s="220"/>
      <c r="AF493" s="220"/>
      <c r="AG493" s="220"/>
      <c r="AH493" s="220"/>
      <c r="AI493" s="220"/>
      <c r="AJ493" s="220"/>
      <c r="AK493" s="220"/>
      <c r="AL493" s="220"/>
      <c r="AM493" s="220"/>
      <c r="AN493" s="220"/>
    </row>
    <row r="494" ht="15.75" customHeight="1">
      <c r="A494" s="220"/>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c r="AA494" s="220"/>
      <c r="AB494" s="220"/>
      <c r="AC494" s="220"/>
      <c r="AD494" s="220"/>
      <c r="AE494" s="220"/>
      <c r="AF494" s="220"/>
      <c r="AG494" s="220"/>
      <c r="AH494" s="220"/>
      <c r="AI494" s="220"/>
      <c r="AJ494" s="220"/>
      <c r="AK494" s="220"/>
      <c r="AL494" s="220"/>
      <c r="AM494" s="220"/>
      <c r="AN494" s="220"/>
    </row>
    <row r="495" ht="15.75" customHeight="1">
      <c r="A495" s="220"/>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c r="AA495" s="220"/>
      <c r="AB495" s="220"/>
      <c r="AC495" s="220"/>
      <c r="AD495" s="220"/>
      <c r="AE495" s="220"/>
      <c r="AF495" s="220"/>
      <c r="AG495" s="220"/>
      <c r="AH495" s="220"/>
      <c r="AI495" s="220"/>
      <c r="AJ495" s="220"/>
      <c r="AK495" s="220"/>
      <c r="AL495" s="220"/>
      <c r="AM495" s="220"/>
      <c r="AN495" s="220"/>
    </row>
    <row r="496" ht="15.75" customHeight="1">
      <c r="A496" s="220"/>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c r="AA496" s="220"/>
      <c r="AB496" s="220"/>
      <c r="AC496" s="220"/>
      <c r="AD496" s="220"/>
      <c r="AE496" s="220"/>
      <c r="AF496" s="220"/>
      <c r="AG496" s="220"/>
      <c r="AH496" s="220"/>
      <c r="AI496" s="220"/>
      <c r="AJ496" s="220"/>
      <c r="AK496" s="220"/>
      <c r="AL496" s="220"/>
      <c r="AM496" s="220"/>
      <c r="AN496" s="220"/>
    </row>
    <row r="497" ht="15.75" customHeight="1">
      <c r="A497" s="220"/>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c r="AA497" s="220"/>
      <c r="AB497" s="220"/>
      <c r="AC497" s="220"/>
      <c r="AD497" s="220"/>
      <c r="AE497" s="220"/>
      <c r="AF497" s="220"/>
      <c r="AG497" s="220"/>
      <c r="AH497" s="220"/>
      <c r="AI497" s="220"/>
      <c r="AJ497" s="220"/>
      <c r="AK497" s="220"/>
      <c r="AL497" s="220"/>
      <c r="AM497" s="220"/>
      <c r="AN497" s="220"/>
    </row>
    <row r="498" ht="15.75" customHeight="1">
      <c r="A498" s="220"/>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c r="AA498" s="220"/>
      <c r="AB498" s="220"/>
      <c r="AC498" s="220"/>
      <c r="AD498" s="220"/>
      <c r="AE498" s="220"/>
      <c r="AF498" s="220"/>
      <c r="AG498" s="220"/>
      <c r="AH498" s="220"/>
      <c r="AI498" s="220"/>
      <c r="AJ498" s="220"/>
      <c r="AK498" s="220"/>
      <c r="AL498" s="220"/>
      <c r="AM498" s="220"/>
      <c r="AN498" s="220"/>
    </row>
    <row r="499" ht="15.75" customHeight="1">
      <c r="A499" s="220"/>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c r="AA499" s="220"/>
      <c r="AB499" s="220"/>
      <c r="AC499" s="220"/>
      <c r="AD499" s="220"/>
      <c r="AE499" s="220"/>
      <c r="AF499" s="220"/>
      <c r="AG499" s="220"/>
      <c r="AH499" s="220"/>
      <c r="AI499" s="220"/>
      <c r="AJ499" s="220"/>
      <c r="AK499" s="220"/>
      <c r="AL499" s="220"/>
      <c r="AM499" s="220"/>
      <c r="AN499" s="220"/>
    </row>
    <row r="500" ht="15.75" customHeight="1">
      <c r="A500" s="220"/>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row>
    <row r="501" ht="15.75" customHeight="1">
      <c r="A501" s="220"/>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c r="AN501" s="220"/>
    </row>
    <row r="502" ht="15.75" customHeight="1">
      <c r="A502" s="220"/>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c r="AA502" s="220"/>
      <c r="AB502" s="220"/>
      <c r="AC502" s="220"/>
      <c r="AD502" s="220"/>
      <c r="AE502" s="220"/>
      <c r="AF502" s="220"/>
      <c r="AG502" s="220"/>
      <c r="AH502" s="220"/>
      <c r="AI502" s="220"/>
      <c r="AJ502" s="220"/>
      <c r="AK502" s="220"/>
      <c r="AL502" s="220"/>
      <c r="AM502" s="220"/>
      <c r="AN502" s="220"/>
    </row>
    <row r="503" ht="15.75" customHeight="1">
      <c r="A503" s="220"/>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c r="AA503" s="220"/>
      <c r="AB503" s="220"/>
      <c r="AC503" s="220"/>
      <c r="AD503" s="220"/>
      <c r="AE503" s="220"/>
      <c r="AF503" s="220"/>
      <c r="AG503" s="220"/>
      <c r="AH503" s="220"/>
      <c r="AI503" s="220"/>
      <c r="AJ503" s="220"/>
      <c r="AK503" s="220"/>
      <c r="AL503" s="220"/>
      <c r="AM503" s="220"/>
      <c r="AN503" s="220"/>
    </row>
    <row r="504" ht="15.75" customHeight="1">
      <c r="A504" s="220"/>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c r="AA504" s="220"/>
      <c r="AB504" s="220"/>
      <c r="AC504" s="220"/>
      <c r="AD504" s="220"/>
      <c r="AE504" s="220"/>
      <c r="AF504" s="220"/>
      <c r="AG504" s="220"/>
      <c r="AH504" s="220"/>
      <c r="AI504" s="220"/>
      <c r="AJ504" s="220"/>
      <c r="AK504" s="220"/>
      <c r="AL504" s="220"/>
      <c r="AM504" s="220"/>
      <c r="AN504" s="220"/>
    </row>
    <row r="505" ht="15.75" customHeight="1">
      <c r="A505" s="220"/>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c r="AA505" s="220"/>
      <c r="AB505" s="220"/>
      <c r="AC505" s="220"/>
      <c r="AD505" s="220"/>
      <c r="AE505" s="220"/>
      <c r="AF505" s="220"/>
      <c r="AG505" s="220"/>
      <c r="AH505" s="220"/>
      <c r="AI505" s="220"/>
      <c r="AJ505" s="220"/>
      <c r="AK505" s="220"/>
      <c r="AL505" s="220"/>
      <c r="AM505" s="220"/>
      <c r="AN505" s="220"/>
    </row>
    <row r="506" ht="15.75" customHeight="1">
      <c r="A506" s="220"/>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c r="AA506" s="220"/>
      <c r="AB506" s="220"/>
      <c r="AC506" s="220"/>
      <c r="AD506" s="220"/>
      <c r="AE506" s="220"/>
      <c r="AF506" s="220"/>
      <c r="AG506" s="220"/>
      <c r="AH506" s="220"/>
      <c r="AI506" s="220"/>
      <c r="AJ506" s="220"/>
      <c r="AK506" s="220"/>
      <c r="AL506" s="220"/>
      <c r="AM506" s="220"/>
      <c r="AN506" s="220"/>
    </row>
    <row r="507" ht="15.75" customHeight="1">
      <c r="A507" s="220"/>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c r="AA507" s="220"/>
      <c r="AB507" s="220"/>
      <c r="AC507" s="220"/>
      <c r="AD507" s="220"/>
      <c r="AE507" s="220"/>
      <c r="AF507" s="220"/>
      <c r="AG507" s="220"/>
      <c r="AH507" s="220"/>
      <c r="AI507" s="220"/>
      <c r="AJ507" s="220"/>
      <c r="AK507" s="220"/>
      <c r="AL507" s="220"/>
      <c r="AM507" s="220"/>
      <c r="AN507" s="220"/>
    </row>
    <row r="508" ht="15.75" customHeight="1">
      <c r="A508" s="220"/>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c r="AA508" s="220"/>
      <c r="AB508" s="220"/>
      <c r="AC508" s="220"/>
      <c r="AD508" s="220"/>
      <c r="AE508" s="220"/>
      <c r="AF508" s="220"/>
      <c r="AG508" s="220"/>
      <c r="AH508" s="220"/>
      <c r="AI508" s="220"/>
      <c r="AJ508" s="220"/>
      <c r="AK508" s="220"/>
      <c r="AL508" s="220"/>
      <c r="AM508" s="220"/>
      <c r="AN508" s="220"/>
    </row>
    <row r="509" ht="15.75" customHeight="1">
      <c r="A509" s="220"/>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c r="AA509" s="220"/>
      <c r="AB509" s="220"/>
      <c r="AC509" s="220"/>
      <c r="AD509" s="220"/>
      <c r="AE509" s="220"/>
      <c r="AF509" s="220"/>
      <c r="AG509" s="220"/>
      <c r="AH509" s="220"/>
      <c r="AI509" s="220"/>
      <c r="AJ509" s="220"/>
      <c r="AK509" s="220"/>
      <c r="AL509" s="220"/>
      <c r="AM509" s="220"/>
      <c r="AN509" s="220"/>
    </row>
    <row r="510" ht="15.75" customHeight="1">
      <c r="A510" s="220"/>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c r="AA510" s="220"/>
      <c r="AB510" s="220"/>
      <c r="AC510" s="220"/>
      <c r="AD510" s="220"/>
      <c r="AE510" s="220"/>
      <c r="AF510" s="220"/>
      <c r="AG510" s="220"/>
      <c r="AH510" s="220"/>
      <c r="AI510" s="220"/>
      <c r="AJ510" s="220"/>
      <c r="AK510" s="220"/>
      <c r="AL510" s="220"/>
      <c r="AM510" s="220"/>
      <c r="AN510" s="220"/>
    </row>
    <row r="511" ht="15.75" customHeight="1">
      <c r="A511" s="220"/>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c r="AA511" s="220"/>
      <c r="AB511" s="220"/>
      <c r="AC511" s="220"/>
      <c r="AD511" s="220"/>
      <c r="AE511" s="220"/>
      <c r="AF511" s="220"/>
      <c r="AG511" s="220"/>
      <c r="AH511" s="220"/>
      <c r="AI511" s="220"/>
      <c r="AJ511" s="220"/>
      <c r="AK511" s="220"/>
      <c r="AL511" s="220"/>
      <c r="AM511" s="220"/>
      <c r="AN511" s="220"/>
    </row>
    <row r="512" ht="15.75" customHeight="1">
      <c r="A512" s="220"/>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0"/>
      <c r="AG512" s="220"/>
      <c r="AH512" s="220"/>
      <c r="AI512" s="220"/>
      <c r="AJ512" s="220"/>
      <c r="AK512" s="220"/>
      <c r="AL512" s="220"/>
      <c r="AM512" s="220"/>
      <c r="AN512" s="220"/>
    </row>
    <row r="513" ht="15.75" customHeight="1">
      <c r="A513" s="220"/>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c r="AN513" s="220"/>
    </row>
    <row r="514" ht="15.75" customHeight="1">
      <c r="A514" s="220"/>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0"/>
      <c r="AG514" s="220"/>
      <c r="AH514" s="220"/>
      <c r="AI514" s="220"/>
      <c r="AJ514" s="220"/>
      <c r="AK514" s="220"/>
      <c r="AL514" s="220"/>
      <c r="AM514" s="220"/>
      <c r="AN514" s="220"/>
    </row>
    <row r="515" ht="15.75" customHeight="1">
      <c r="A515" s="220"/>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c r="AA515" s="220"/>
      <c r="AB515" s="220"/>
      <c r="AC515" s="220"/>
      <c r="AD515" s="220"/>
      <c r="AE515" s="220"/>
      <c r="AF515" s="220"/>
      <c r="AG515" s="220"/>
      <c r="AH515" s="220"/>
      <c r="AI515" s="220"/>
      <c r="AJ515" s="220"/>
      <c r="AK515" s="220"/>
      <c r="AL515" s="220"/>
      <c r="AM515" s="220"/>
      <c r="AN515" s="220"/>
    </row>
    <row r="516" ht="15.75" customHeight="1">
      <c r="A516" s="220"/>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c r="AA516" s="220"/>
      <c r="AB516" s="220"/>
      <c r="AC516" s="220"/>
      <c r="AD516" s="220"/>
      <c r="AE516" s="220"/>
      <c r="AF516" s="220"/>
      <c r="AG516" s="220"/>
      <c r="AH516" s="220"/>
      <c r="AI516" s="220"/>
      <c r="AJ516" s="220"/>
      <c r="AK516" s="220"/>
      <c r="AL516" s="220"/>
      <c r="AM516" s="220"/>
      <c r="AN516" s="220"/>
    </row>
    <row r="517" ht="15.75" customHeight="1">
      <c r="A517" s="220"/>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c r="AA517" s="220"/>
      <c r="AB517" s="220"/>
      <c r="AC517" s="220"/>
      <c r="AD517" s="220"/>
      <c r="AE517" s="220"/>
      <c r="AF517" s="220"/>
      <c r="AG517" s="220"/>
      <c r="AH517" s="220"/>
      <c r="AI517" s="220"/>
      <c r="AJ517" s="220"/>
      <c r="AK517" s="220"/>
      <c r="AL517" s="220"/>
      <c r="AM517" s="220"/>
      <c r="AN517" s="220"/>
    </row>
    <row r="518" ht="15.75" customHeight="1">
      <c r="A518" s="220"/>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c r="AA518" s="220"/>
      <c r="AB518" s="220"/>
      <c r="AC518" s="220"/>
      <c r="AD518" s="220"/>
      <c r="AE518" s="220"/>
      <c r="AF518" s="220"/>
      <c r="AG518" s="220"/>
      <c r="AH518" s="220"/>
      <c r="AI518" s="220"/>
      <c r="AJ518" s="220"/>
      <c r="AK518" s="220"/>
      <c r="AL518" s="220"/>
      <c r="AM518" s="220"/>
      <c r="AN518" s="220"/>
    </row>
    <row r="519" ht="15.75" customHeight="1">
      <c r="A519" s="220"/>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c r="AA519" s="220"/>
      <c r="AB519" s="220"/>
      <c r="AC519" s="220"/>
      <c r="AD519" s="220"/>
      <c r="AE519" s="220"/>
      <c r="AF519" s="220"/>
      <c r="AG519" s="220"/>
      <c r="AH519" s="220"/>
      <c r="AI519" s="220"/>
      <c r="AJ519" s="220"/>
      <c r="AK519" s="220"/>
      <c r="AL519" s="220"/>
      <c r="AM519" s="220"/>
      <c r="AN519" s="220"/>
    </row>
    <row r="520" ht="15.75" customHeight="1">
      <c r="A520" s="220"/>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c r="AA520" s="220"/>
      <c r="AB520" s="220"/>
      <c r="AC520" s="220"/>
      <c r="AD520" s="220"/>
      <c r="AE520" s="220"/>
      <c r="AF520" s="220"/>
      <c r="AG520" s="220"/>
      <c r="AH520" s="220"/>
      <c r="AI520" s="220"/>
      <c r="AJ520" s="220"/>
      <c r="AK520" s="220"/>
      <c r="AL520" s="220"/>
      <c r="AM520" s="220"/>
      <c r="AN520" s="220"/>
    </row>
    <row r="521" ht="15.75" customHeight="1">
      <c r="A521" s="220"/>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c r="AA521" s="220"/>
      <c r="AB521" s="220"/>
      <c r="AC521" s="220"/>
      <c r="AD521" s="220"/>
      <c r="AE521" s="220"/>
      <c r="AF521" s="220"/>
      <c r="AG521" s="220"/>
      <c r="AH521" s="220"/>
      <c r="AI521" s="220"/>
      <c r="AJ521" s="220"/>
      <c r="AK521" s="220"/>
      <c r="AL521" s="220"/>
      <c r="AM521" s="220"/>
      <c r="AN521" s="220"/>
    </row>
    <row r="522" ht="15.75" customHeight="1">
      <c r="A522" s="220"/>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c r="AA522" s="220"/>
      <c r="AB522" s="220"/>
      <c r="AC522" s="220"/>
      <c r="AD522" s="220"/>
      <c r="AE522" s="220"/>
      <c r="AF522" s="220"/>
      <c r="AG522" s="220"/>
      <c r="AH522" s="220"/>
      <c r="AI522" s="220"/>
      <c r="AJ522" s="220"/>
      <c r="AK522" s="220"/>
      <c r="AL522" s="220"/>
      <c r="AM522" s="220"/>
      <c r="AN522" s="220"/>
    </row>
    <row r="523" ht="15.75" customHeight="1">
      <c r="A523" s="220"/>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0"/>
      <c r="AG523" s="220"/>
      <c r="AH523" s="220"/>
      <c r="AI523" s="220"/>
      <c r="AJ523" s="220"/>
      <c r="AK523" s="220"/>
      <c r="AL523" s="220"/>
      <c r="AM523" s="220"/>
      <c r="AN523" s="220"/>
    </row>
    <row r="524" ht="15.75" customHeight="1">
      <c r="A524" s="220"/>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c r="AA524" s="220"/>
      <c r="AB524" s="220"/>
      <c r="AC524" s="220"/>
      <c r="AD524" s="220"/>
      <c r="AE524" s="220"/>
      <c r="AF524" s="220"/>
      <c r="AG524" s="220"/>
      <c r="AH524" s="220"/>
      <c r="AI524" s="220"/>
      <c r="AJ524" s="220"/>
      <c r="AK524" s="220"/>
      <c r="AL524" s="220"/>
      <c r="AM524" s="220"/>
      <c r="AN524" s="220"/>
    </row>
    <row r="525" ht="15.75" customHeight="1">
      <c r="A525" s="220"/>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c r="AA525" s="220"/>
      <c r="AB525" s="220"/>
      <c r="AC525" s="220"/>
      <c r="AD525" s="220"/>
      <c r="AE525" s="220"/>
      <c r="AF525" s="220"/>
      <c r="AG525" s="220"/>
      <c r="AH525" s="220"/>
      <c r="AI525" s="220"/>
      <c r="AJ525" s="220"/>
      <c r="AK525" s="220"/>
      <c r="AL525" s="220"/>
      <c r="AM525" s="220"/>
      <c r="AN525" s="220"/>
    </row>
    <row r="526" ht="15.75" customHeight="1">
      <c r="A526" s="220"/>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c r="AA526" s="220"/>
      <c r="AB526" s="220"/>
      <c r="AC526" s="220"/>
      <c r="AD526" s="220"/>
      <c r="AE526" s="220"/>
      <c r="AF526" s="220"/>
      <c r="AG526" s="220"/>
      <c r="AH526" s="220"/>
      <c r="AI526" s="220"/>
      <c r="AJ526" s="220"/>
      <c r="AK526" s="220"/>
      <c r="AL526" s="220"/>
      <c r="AM526" s="220"/>
      <c r="AN526" s="220"/>
    </row>
    <row r="527" ht="15.75" customHeight="1">
      <c r="A527" s="220"/>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c r="AA527" s="220"/>
      <c r="AB527" s="220"/>
      <c r="AC527" s="220"/>
      <c r="AD527" s="220"/>
      <c r="AE527" s="220"/>
      <c r="AF527" s="220"/>
      <c r="AG527" s="220"/>
      <c r="AH527" s="220"/>
      <c r="AI527" s="220"/>
      <c r="AJ527" s="220"/>
      <c r="AK527" s="220"/>
      <c r="AL527" s="220"/>
      <c r="AM527" s="220"/>
      <c r="AN527" s="220"/>
    </row>
    <row r="528" ht="15.75" customHeight="1">
      <c r="A528" s="220"/>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c r="AA528" s="220"/>
      <c r="AB528" s="220"/>
      <c r="AC528" s="220"/>
      <c r="AD528" s="220"/>
      <c r="AE528" s="220"/>
      <c r="AF528" s="220"/>
      <c r="AG528" s="220"/>
      <c r="AH528" s="220"/>
      <c r="AI528" s="220"/>
      <c r="AJ528" s="220"/>
      <c r="AK528" s="220"/>
      <c r="AL528" s="220"/>
      <c r="AM528" s="220"/>
      <c r="AN528" s="220"/>
    </row>
    <row r="529" ht="15.75" customHeight="1">
      <c r="A529" s="220"/>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c r="AA529" s="220"/>
      <c r="AB529" s="220"/>
      <c r="AC529" s="220"/>
      <c r="AD529" s="220"/>
      <c r="AE529" s="220"/>
      <c r="AF529" s="220"/>
      <c r="AG529" s="220"/>
      <c r="AH529" s="220"/>
      <c r="AI529" s="220"/>
      <c r="AJ529" s="220"/>
      <c r="AK529" s="220"/>
      <c r="AL529" s="220"/>
      <c r="AM529" s="220"/>
      <c r="AN529" s="220"/>
    </row>
    <row r="530" ht="15.75" customHeight="1">
      <c r="A530" s="220"/>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c r="AA530" s="220"/>
      <c r="AB530" s="220"/>
      <c r="AC530" s="220"/>
      <c r="AD530" s="220"/>
      <c r="AE530" s="220"/>
      <c r="AF530" s="220"/>
      <c r="AG530" s="220"/>
      <c r="AH530" s="220"/>
      <c r="AI530" s="220"/>
      <c r="AJ530" s="220"/>
      <c r="AK530" s="220"/>
      <c r="AL530" s="220"/>
      <c r="AM530" s="220"/>
      <c r="AN530" s="220"/>
    </row>
    <row r="531" ht="15.75" customHeight="1">
      <c r="A531" s="220"/>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c r="AA531" s="220"/>
      <c r="AB531" s="220"/>
      <c r="AC531" s="220"/>
      <c r="AD531" s="220"/>
      <c r="AE531" s="220"/>
      <c r="AF531" s="220"/>
      <c r="AG531" s="220"/>
      <c r="AH531" s="220"/>
      <c r="AI531" s="220"/>
      <c r="AJ531" s="220"/>
      <c r="AK531" s="220"/>
      <c r="AL531" s="220"/>
      <c r="AM531" s="220"/>
      <c r="AN531" s="220"/>
    </row>
    <row r="532" ht="15.75" customHeight="1">
      <c r="A532" s="220"/>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c r="AA532" s="220"/>
      <c r="AB532" s="220"/>
      <c r="AC532" s="220"/>
      <c r="AD532" s="220"/>
      <c r="AE532" s="220"/>
      <c r="AF532" s="220"/>
      <c r="AG532" s="220"/>
      <c r="AH532" s="220"/>
      <c r="AI532" s="220"/>
      <c r="AJ532" s="220"/>
      <c r="AK532" s="220"/>
      <c r="AL532" s="220"/>
      <c r="AM532" s="220"/>
      <c r="AN532" s="220"/>
    </row>
    <row r="533" ht="15.75" customHeight="1">
      <c r="A533" s="220"/>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c r="AA533" s="220"/>
      <c r="AB533" s="220"/>
      <c r="AC533" s="220"/>
      <c r="AD533" s="220"/>
      <c r="AE533" s="220"/>
      <c r="AF533" s="220"/>
      <c r="AG533" s="220"/>
      <c r="AH533" s="220"/>
      <c r="AI533" s="220"/>
      <c r="AJ533" s="220"/>
      <c r="AK533" s="220"/>
      <c r="AL533" s="220"/>
      <c r="AM533" s="220"/>
      <c r="AN533" s="220"/>
    </row>
    <row r="534" ht="15.75" customHeight="1">
      <c r="A534" s="220"/>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c r="AA534" s="220"/>
      <c r="AB534" s="220"/>
      <c r="AC534" s="220"/>
      <c r="AD534" s="220"/>
      <c r="AE534" s="220"/>
      <c r="AF534" s="220"/>
      <c r="AG534" s="220"/>
      <c r="AH534" s="220"/>
      <c r="AI534" s="220"/>
      <c r="AJ534" s="220"/>
      <c r="AK534" s="220"/>
      <c r="AL534" s="220"/>
      <c r="AM534" s="220"/>
      <c r="AN534" s="220"/>
    </row>
    <row r="535" ht="15.75" customHeight="1">
      <c r="A535" s="220"/>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c r="AA535" s="220"/>
      <c r="AB535" s="220"/>
      <c r="AC535" s="220"/>
      <c r="AD535" s="220"/>
      <c r="AE535" s="220"/>
      <c r="AF535" s="220"/>
      <c r="AG535" s="220"/>
      <c r="AH535" s="220"/>
      <c r="AI535" s="220"/>
      <c r="AJ535" s="220"/>
      <c r="AK535" s="220"/>
      <c r="AL535" s="220"/>
      <c r="AM535" s="220"/>
      <c r="AN535" s="220"/>
    </row>
    <row r="536" ht="15.75" customHeight="1">
      <c r="A536" s="220"/>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c r="AA536" s="220"/>
      <c r="AB536" s="220"/>
      <c r="AC536" s="220"/>
      <c r="AD536" s="220"/>
      <c r="AE536" s="220"/>
      <c r="AF536" s="220"/>
      <c r="AG536" s="220"/>
      <c r="AH536" s="220"/>
      <c r="AI536" s="220"/>
      <c r="AJ536" s="220"/>
      <c r="AK536" s="220"/>
      <c r="AL536" s="220"/>
      <c r="AM536" s="220"/>
      <c r="AN536" s="220"/>
    </row>
    <row r="537" ht="15.75" customHeight="1">
      <c r="A537" s="220"/>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c r="AA537" s="220"/>
      <c r="AB537" s="220"/>
      <c r="AC537" s="220"/>
      <c r="AD537" s="220"/>
      <c r="AE537" s="220"/>
      <c r="AF537" s="220"/>
      <c r="AG537" s="220"/>
      <c r="AH537" s="220"/>
      <c r="AI537" s="220"/>
      <c r="AJ537" s="220"/>
      <c r="AK537" s="220"/>
      <c r="AL537" s="220"/>
      <c r="AM537" s="220"/>
      <c r="AN537" s="220"/>
    </row>
    <row r="538" ht="15.75" customHeight="1">
      <c r="A538" s="220"/>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c r="AA538" s="220"/>
      <c r="AB538" s="220"/>
      <c r="AC538" s="220"/>
      <c r="AD538" s="220"/>
      <c r="AE538" s="220"/>
      <c r="AF538" s="220"/>
      <c r="AG538" s="220"/>
      <c r="AH538" s="220"/>
      <c r="AI538" s="220"/>
      <c r="AJ538" s="220"/>
      <c r="AK538" s="220"/>
      <c r="AL538" s="220"/>
      <c r="AM538" s="220"/>
      <c r="AN538" s="220"/>
    </row>
    <row r="539" ht="15.75" customHeight="1">
      <c r="A539" s="220"/>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c r="AA539" s="220"/>
      <c r="AB539" s="220"/>
      <c r="AC539" s="220"/>
      <c r="AD539" s="220"/>
      <c r="AE539" s="220"/>
      <c r="AF539" s="220"/>
      <c r="AG539" s="220"/>
      <c r="AH539" s="220"/>
      <c r="AI539" s="220"/>
      <c r="AJ539" s="220"/>
      <c r="AK539" s="220"/>
      <c r="AL539" s="220"/>
      <c r="AM539" s="220"/>
      <c r="AN539" s="220"/>
    </row>
    <row r="540" ht="15.75" customHeight="1">
      <c r="A540" s="220"/>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c r="AA540" s="220"/>
      <c r="AB540" s="220"/>
      <c r="AC540" s="220"/>
      <c r="AD540" s="220"/>
      <c r="AE540" s="220"/>
      <c r="AF540" s="220"/>
      <c r="AG540" s="220"/>
      <c r="AH540" s="220"/>
      <c r="AI540" s="220"/>
      <c r="AJ540" s="220"/>
      <c r="AK540" s="220"/>
      <c r="AL540" s="220"/>
      <c r="AM540" s="220"/>
      <c r="AN540" s="220"/>
    </row>
    <row r="541" ht="15.75" customHeight="1">
      <c r="A541" s="220"/>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c r="AA541" s="220"/>
      <c r="AB541" s="220"/>
      <c r="AC541" s="220"/>
      <c r="AD541" s="220"/>
      <c r="AE541" s="220"/>
      <c r="AF541" s="220"/>
      <c r="AG541" s="220"/>
      <c r="AH541" s="220"/>
      <c r="AI541" s="220"/>
      <c r="AJ541" s="220"/>
      <c r="AK541" s="220"/>
      <c r="AL541" s="220"/>
      <c r="AM541" s="220"/>
      <c r="AN541" s="220"/>
    </row>
    <row r="542" ht="15.75" customHeight="1">
      <c r="A542" s="220"/>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c r="AA542" s="220"/>
      <c r="AB542" s="220"/>
      <c r="AC542" s="220"/>
      <c r="AD542" s="220"/>
      <c r="AE542" s="220"/>
      <c r="AF542" s="220"/>
      <c r="AG542" s="220"/>
      <c r="AH542" s="220"/>
      <c r="AI542" s="220"/>
      <c r="AJ542" s="220"/>
      <c r="AK542" s="220"/>
      <c r="AL542" s="220"/>
      <c r="AM542" s="220"/>
      <c r="AN542" s="220"/>
    </row>
    <row r="543" ht="15.75" customHeight="1">
      <c r="A543" s="220"/>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c r="AA543" s="220"/>
      <c r="AB543" s="220"/>
      <c r="AC543" s="220"/>
      <c r="AD543" s="220"/>
      <c r="AE543" s="220"/>
      <c r="AF543" s="220"/>
      <c r="AG543" s="220"/>
      <c r="AH543" s="220"/>
      <c r="AI543" s="220"/>
      <c r="AJ543" s="220"/>
      <c r="AK543" s="220"/>
      <c r="AL543" s="220"/>
      <c r="AM543" s="220"/>
      <c r="AN543" s="220"/>
    </row>
    <row r="544" ht="15.75" customHeight="1">
      <c r="A544" s="220"/>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c r="AA544" s="220"/>
      <c r="AB544" s="220"/>
      <c r="AC544" s="220"/>
      <c r="AD544" s="220"/>
      <c r="AE544" s="220"/>
      <c r="AF544" s="220"/>
      <c r="AG544" s="220"/>
      <c r="AH544" s="220"/>
      <c r="AI544" s="220"/>
      <c r="AJ544" s="220"/>
      <c r="AK544" s="220"/>
      <c r="AL544" s="220"/>
      <c r="AM544" s="220"/>
      <c r="AN544" s="220"/>
    </row>
    <row r="545" ht="15.75" customHeight="1">
      <c r="A545" s="220"/>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c r="AA545" s="220"/>
      <c r="AB545" s="220"/>
      <c r="AC545" s="220"/>
      <c r="AD545" s="220"/>
      <c r="AE545" s="220"/>
      <c r="AF545" s="220"/>
      <c r="AG545" s="220"/>
      <c r="AH545" s="220"/>
      <c r="AI545" s="220"/>
      <c r="AJ545" s="220"/>
      <c r="AK545" s="220"/>
      <c r="AL545" s="220"/>
      <c r="AM545" s="220"/>
      <c r="AN545" s="220"/>
    </row>
    <row r="546" ht="15.75" customHeight="1">
      <c r="A546" s="220"/>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c r="AA546" s="220"/>
      <c r="AB546" s="220"/>
      <c r="AC546" s="220"/>
      <c r="AD546" s="220"/>
      <c r="AE546" s="220"/>
      <c r="AF546" s="220"/>
      <c r="AG546" s="220"/>
      <c r="AH546" s="220"/>
      <c r="AI546" s="220"/>
      <c r="AJ546" s="220"/>
      <c r="AK546" s="220"/>
      <c r="AL546" s="220"/>
      <c r="AM546" s="220"/>
      <c r="AN546" s="220"/>
    </row>
    <row r="547" ht="15.75" customHeight="1">
      <c r="A547" s="220"/>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c r="AA547" s="220"/>
      <c r="AB547" s="220"/>
      <c r="AC547" s="220"/>
      <c r="AD547" s="220"/>
      <c r="AE547" s="220"/>
      <c r="AF547" s="220"/>
      <c r="AG547" s="220"/>
      <c r="AH547" s="220"/>
      <c r="AI547" s="220"/>
      <c r="AJ547" s="220"/>
      <c r="AK547" s="220"/>
      <c r="AL547" s="220"/>
      <c r="AM547" s="220"/>
      <c r="AN547" s="220"/>
    </row>
    <row r="548" ht="15.75" customHeight="1">
      <c r="A548" s="220"/>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c r="AA548" s="220"/>
      <c r="AB548" s="220"/>
      <c r="AC548" s="220"/>
      <c r="AD548" s="220"/>
      <c r="AE548" s="220"/>
      <c r="AF548" s="220"/>
      <c r="AG548" s="220"/>
      <c r="AH548" s="220"/>
      <c r="AI548" s="220"/>
      <c r="AJ548" s="220"/>
      <c r="AK548" s="220"/>
      <c r="AL548" s="220"/>
      <c r="AM548" s="220"/>
      <c r="AN548" s="220"/>
    </row>
    <row r="549" ht="15.75" customHeight="1">
      <c r="A549" s="220"/>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c r="AN549" s="220"/>
    </row>
    <row r="550" ht="15.75" customHeight="1">
      <c r="A550" s="220"/>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c r="AA550" s="220"/>
      <c r="AB550" s="220"/>
      <c r="AC550" s="220"/>
      <c r="AD550" s="220"/>
      <c r="AE550" s="220"/>
      <c r="AF550" s="220"/>
      <c r="AG550" s="220"/>
      <c r="AH550" s="220"/>
      <c r="AI550" s="220"/>
      <c r="AJ550" s="220"/>
      <c r="AK550" s="220"/>
      <c r="AL550" s="220"/>
      <c r="AM550" s="220"/>
      <c r="AN550" s="220"/>
    </row>
    <row r="551" ht="15.75" customHeight="1">
      <c r="A551" s="220"/>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c r="AA551" s="220"/>
      <c r="AB551" s="220"/>
      <c r="AC551" s="220"/>
      <c r="AD551" s="220"/>
      <c r="AE551" s="220"/>
      <c r="AF551" s="220"/>
      <c r="AG551" s="220"/>
      <c r="AH551" s="220"/>
      <c r="AI551" s="220"/>
      <c r="AJ551" s="220"/>
      <c r="AK551" s="220"/>
      <c r="AL551" s="220"/>
      <c r="AM551" s="220"/>
      <c r="AN551" s="220"/>
    </row>
    <row r="552" ht="15.75" customHeight="1">
      <c r="A552" s="220"/>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c r="AA552" s="220"/>
      <c r="AB552" s="220"/>
      <c r="AC552" s="220"/>
      <c r="AD552" s="220"/>
      <c r="AE552" s="220"/>
      <c r="AF552" s="220"/>
      <c r="AG552" s="220"/>
      <c r="AH552" s="220"/>
      <c r="AI552" s="220"/>
      <c r="AJ552" s="220"/>
      <c r="AK552" s="220"/>
      <c r="AL552" s="220"/>
      <c r="AM552" s="220"/>
      <c r="AN552" s="220"/>
    </row>
    <row r="553" ht="15.75" customHeight="1">
      <c r="A553" s="220"/>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c r="AA553" s="220"/>
      <c r="AB553" s="220"/>
      <c r="AC553" s="220"/>
      <c r="AD553" s="220"/>
      <c r="AE553" s="220"/>
      <c r="AF553" s="220"/>
      <c r="AG553" s="220"/>
      <c r="AH553" s="220"/>
      <c r="AI553" s="220"/>
      <c r="AJ553" s="220"/>
      <c r="AK553" s="220"/>
      <c r="AL553" s="220"/>
      <c r="AM553" s="220"/>
      <c r="AN553" s="220"/>
    </row>
    <row r="554" ht="15.75" customHeight="1">
      <c r="A554" s="220"/>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c r="AA554" s="220"/>
      <c r="AB554" s="220"/>
      <c r="AC554" s="220"/>
      <c r="AD554" s="220"/>
      <c r="AE554" s="220"/>
      <c r="AF554" s="220"/>
      <c r="AG554" s="220"/>
      <c r="AH554" s="220"/>
      <c r="AI554" s="220"/>
      <c r="AJ554" s="220"/>
      <c r="AK554" s="220"/>
      <c r="AL554" s="220"/>
      <c r="AM554" s="220"/>
      <c r="AN554" s="220"/>
    </row>
    <row r="555" ht="15.75" customHeight="1">
      <c r="A555" s="220"/>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c r="AA555" s="220"/>
      <c r="AB555" s="220"/>
      <c r="AC555" s="220"/>
      <c r="AD555" s="220"/>
      <c r="AE555" s="220"/>
      <c r="AF555" s="220"/>
      <c r="AG555" s="220"/>
      <c r="AH555" s="220"/>
      <c r="AI555" s="220"/>
      <c r="AJ555" s="220"/>
      <c r="AK555" s="220"/>
      <c r="AL555" s="220"/>
      <c r="AM555" s="220"/>
      <c r="AN555" s="220"/>
    </row>
    <row r="556" ht="15.75" customHeight="1">
      <c r="A556" s="220"/>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c r="AA556" s="220"/>
      <c r="AB556" s="220"/>
      <c r="AC556" s="220"/>
      <c r="AD556" s="220"/>
      <c r="AE556" s="220"/>
      <c r="AF556" s="220"/>
      <c r="AG556" s="220"/>
      <c r="AH556" s="220"/>
      <c r="AI556" s="220"/>
      <c r="AJ556" s="220"/>
      <c r="AK556" s="220"/>
      <c r="AL556" s="220"/>
      <c r="AM556" s="220"/>
      <c r="AN556" s="220"/>
    </row>
    <row r="557" ht="15.75" customHeight="1">
      <c r="A557" s="220"/>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220"/>
      <c r="AF557" s="220"/>
      <c r="AG557" s="220"/>
      <c r="AH557" s="220"/>
      <c r="AI557" s="220"/>
      <c r="AJ557" s="220"/>
      <c r="AK557" s="220"/>
      <c r="AL557" s="220"/>
      <c r="AM557" s="220"/>
      <c r="AN557" s="220"/>
    </row>
    <row r="558" ht="15.75" customHeight="1">
      <c r="A558" s="220"/>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c r="AA558" s="220"/>
      <c r="AB558" s="220"/>
      <c r="AC558" s="220"/>
      <c r="AD558" s="220"/>
      <c r="AE558" s="220"/>
      <c r="AF558" s="220"/>
      <c r="AG558" s="220"/>
      <c r="AH558" s="220"/>
      <c r="AI558" s="220"/>
      <c r="AJ558" s="220"/>
      <c r="AK558" s="220"/>
      <c r="AL558" s="220"/>
      <c r="AM558" s="220"/>
      <c r="AN558" s="220"/>
    </row>
    <row r="559" ht="15.75" customHeight="1">
      <c r="A559" s="220"/>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c r="AA559" s="220"/>
      <c r="AB559" s="220"/>
      <c r="AC559" s="220"/>
      <c r="AD559" s="220"/>
      <c r="AE559" s="220"/>
      <c r="AF559" s="220"/>
      <c r="AG559" s="220"/>
      <c r="AH559" s="220"/>
      <c r="AI559" s="220"/>
      <c r="AJ559" s="220"/>
      <c r="AK559" s="220"/>
      <c r="AL559" s="220"/>
      <c r="AM559" s="220"/>
      <c r="AN559" s="220"/>
    </row>
    <row r="560" ht="15.75" customHeight="1">
      <c r="A560" s="220"/>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c r="AA560" s="220"/>
      <c r="AB560" s="220"/>
      <c r="AC560" s="220"/>
      <c r="AD560" s="220"/>
      <c r="AE560" s="220"/>
      <c r="AF560" s="220"/>
      <c r="AG560" s="220"/>
      <c r="AH560" s="220"/>
      <c r="AI560" s="220"/>
      <c r="AJ560" s="220"/>
      <c r="AK560" s="220"/>
      <c r="AL560" s="220"/>
      <c r="AM560" s="220"/>
      <c r="AN560" s="220"/>
    </row>
    <row r="561" ht="15.75" customHeight="1">
      <c r="A561" s="220"/>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c r="AA561" s="220"/>
      <c r="AB561" s="220"/>
      <c r="AC561" s="220"/>
      <c r="AD561" s="220"/>
      <c r="AE561" s="220"/>
      <c r="AF561" s="220"/>
      <c r="AG561" s="220"/>
      <c r="AH561" s="220"/>
      <c r="AI561" s="220"/>
      <c r="AJ561" s="220"/>
      <c r="AK561" s="220"/>
      <c r="AL561" s="220"/>
      <c r="AM561" s="220"/>
      <c r="AN561" s="220"/>
    </row>
    <row r="562" ht="15.75" customHeight="1">
      <c r="A562" s="220"/>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c r="AA562" s="220"/>
      <c r="AB562" s="220"/>
      <c r="AC562" s="220"/>
      <c r="AD562" s="220"/>
      <c r="AE562" s="220"/>
      <c r="AF562" s="220"/>
      <c r="AG562" s="220"/>
      <c r="AH562" s="220"/>
      <c r="AI562" s="220"/>
      <c r="AJ562" s="220"/>
      <c r="AK562" s="220"/>
      <c r="AL562" s="220"/>
      <c r="AM562" s="220"/>
      <c r="AN562" s="220"/>
    </row>
    <row r="563" ht="15.75" customHeight="1">
      <c r="A563" s="220"/>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c r="AA563" s="220"/>
      <c r="AB563" s="220"/>
      <c r="AC563" s="220"/>
      <c r="AD563" s="220"/>
      <c r="AE563" s="220"/>
      <c r="AF563" s="220"/>
      <c r="AG563" s="220"/>
      <c r="AH563" s="220"/>
      <c r="AI563" s="220"/>
      <c r="AJ563" s="220"/>
      <c r="AK563" s="220"/>
      <c r="AL563" s="220"/>
      <c r="AM563" s="220"/>
      <c r="AN563" s="220"/>
    </row>
    <row r="564" ht="15.75" customHeight="1">
      <c r="A564" s="220"/>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c r="AA564" s="220"/>
      <c r="AB564" s="220"/>
      <c r="AC564" s="220"/>
      <c r="AD564" s="220"/>
      <c r="AE564" s="220"/>
      <c r="AF564" s="220"/>
      <c r="AG564" s="220"/>
      <c r="AH564" s="220"/>
      <c r="AI564" s="220"/>
      <c r="AJ564" s="220"/>
      <c r="AK564" s="220"/>
      <c r="AL564" s="220"/>
      <c r="AM564" s="220"/>
      <c r="AN564" s="220"/>
    </row>
    <row r="565" ht="15.75" customHeight="1">
      <c r="A565" s="220"/>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c r="AA565" s="220"/>
      <c r="AB565" s="220"/>
      <c r="AC565" s="220"/>
      <c r="AD565" s="220"/>
      <c r="AE565" s="220"/>
      <c r="AF565" s="220"/>
      <c r="AG565" s="220"/>
      <c r="AH565" s="220"/>
      <c r="AI565" s="220"/>
      <c r="AJ565" s="220"/>
      <c r="AK565" s="220"/>
      <c r="AL565" s="220"/>
      <c r="AM565" s="220"/>
      <c r="AN565" s="220"/>
    </row>
    <row r="566" ht="15.75" customHeight="1">
      <c r="A566" s="220"/>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c r="AA566" s="220"/>
      <c r="AB566" s="220"/>
      <c r="AC566" s="220"/>
      <c r="AD566" s="220"/>
      <c r="AE566" s="220"/>
      <c r="AF566" s="220"/>
      <c r="AG566" s="220"/>
      <c r="AH566" s="220"/>
      <c r="AI566" s="220"/>
      <c r="AJ566" s="220"/>
      <c r="AK566" s="220"/>
      <c r="AL566" s="220"/>
      <c r="AM566" s="220"/>
      <c r="AN566" s="220"/>
    </row>
    <row r="567" ht="15.75" customHeight="1">
      <c r="A567" s="220"/>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c r="AA567" s="220"/>
      <c r="AB567" s="220"/>
      <c r="AC567" s="220"/>
      <c r="AD567" s="220"/>
      <c r="AE567" s="220"/>
      <c r="AF567" s="220"/>
      <c r="AG567" s="220"/>
      <c r="AH567" s="220"/>
      <c r="AI567" s="220"/>
      <c r="AJ567" s="220"/>
      <c r="AK567" s="220"/>
      <c r="AL567" s="220"/>
      <c r="AM567" s="220"/>
      <c r="AN567" s="220"/>
    </row>
    <row r="568" ht="15.75" customHeight="1">
      <c r="A568" s="220"/>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c r="AA568" s="220"/>
      <c r="AB568" s="220"/>
      <c r="AC568" s="220"/>
      <c r="AD568" s="220"/>
      <c r="AE568" s="220"/>
      <c r="AF568" s="220"/>
      <c r="AG568" s="220"/>
      <c r="AH568" s="220"/>
      <c r="AI568" s="220"/>
      <c r="AJ568" s="220"/>
      <c r="AK568" s="220"/>
      <c r="AL568" s="220"/>
      <c r="AM568" s="220"/>
      <c r="AN568" s="220"/>
    </row>
    <row r="569" ht="15.75" customHeight="1">
      <c r="A569" s="220"/>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c r="AA569" s="220"/>
      <c r="AB569" s="220"/>
      <c r="AC569" s="220"/>
      <c r="AD569" s="220"/>
      <c r="AE569" s="220"/>
      <c r="AF569" s="220"/>
      <c r="AG569" s="220"/>
      <c r="AH569" s="220"/>
      <c r="AI569" s="220"/>
      <c r="AJ569" s="220"/>
      <c r="AK569" s="220"/>
      <c r="AL569" s="220"/>
      <c r="AM569" s="220"/>
      <c r="AN569" s="220"/>
    </row>
    <row r="570" ht="15.75" customHeight="1">
      <c r="A570" s="220"/>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c r="AA570" s="220"/>
      <c r="AB570" s="220"/>
      <c r="AC570" s="220"/>
      <c r="AD570" s="220"/>
      <c r="AE570" s="220"/>
      <c r="AF570" s="220"/>
      <c r="AG570" s="220"/>
      <c r="AH570" s="220"/>
      <c r="AI570" s="220"/>
      <c r="AJ570" s="220"/>
      <c r="AK570" s="220"/>
      <c r="AL570" s="220"/>
      <c r="AM570" s="220"/>
      <c r="AN570" s="220"/>
    </row>
    <row r="571" ht="15.75" customHeight="1">
      <c r="A571" s="220"/>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c r="AA571" s="220"/>
      <c r="AB571" s="220"/>
      <c r="AC571" s="220"/>
      <c r="AD571" s="220"/>
      <c r="AE571" s="220"/>
      <c r="AF571" s="220"/>
      <c r="AG571" s="220"/>
      <c r="AH571" s="220"/>
      <c r="AI571" s="220"/>
      <c r="AJ571" s="220"/>
      <c r="AK571" s="220"/>
      <c r="AL571" s="220"/>
      <c r="AM571" s="220"/>
      <c r="AN571" s="220"/>
    </row>
    <row r="572" ht="15.75" customHeight="1">
      <c r="A572" s="220"/>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c r="AA572" s="220"/>
      <c r="AB572" s="220"/>
      <c r="AC572" s="220"/>
      <c r="AD572" s="220"/>
      <c r="AE572" s="220"/>
      <c r="AF572" s="220"/>
      <c r="AG572" s="220"/>
      <c r="AH572" s="220"/>
      <c r="AI572" s="220"/>
      <c r="AJ572" s="220"/>
      <c r="AK572" s="220"/>
      <c r="AL572" s="220"/>
      <c r="AM572" s="220"/>
      <c r="AN572" s="220"/>
    </row>
    <row r="573" ht="15.75" customHeight="1">
      <c r="A573" s="220"/>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c r="AA573" s="220"/>
      <c r="AB573" s="220"/>
      <c r="AC573" s="220"/>
      <c r="AD573" s="220"/>
      <c r="AE573" s="220"/>
      <c r="AF573" s="220"/>
      <c r="AG573" s="220"/>
      <c r="AH573" s="220"/>
      <c r="AI573" s="220"/>
      <c r="AJ573" s="220"/>
      <c r="AK573" s="220"/>
      <c r="AL573" s="220"/>
      <c r="AM573" s="220"/>
      <c r="AN573" s="220"/>
    </row>
    <row r="574" ht="15.75" customHeight="1">
      <c r="A574" s="220"/>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c r="AA574" s="220"/>
      <c r="AB574" s="220"/>
      <c r="AC574" s="220"/>
      <c r="AD574" s="220"/>
      <c r="AE574" s="220"/>
      <c r="AF574" s="220"/>
      <c r="AG574" s="220"/>
      <c r="AH574" s="220"/>
      <c r="AI574" s="220"/>
      <c r="AJ574" s="220"/>
      <c r="AK574" s="220"/>
      <c r="AL574" s="220"/>
      <c r="AM574" s="220"/>
      <c r="AN574" s="220"/>
    </row>
    <row r="575" ht="15.75" customHeight="1">
      <c r="A575" s="220"/>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c r="AA575" s="220"/>
      <c r="AB575" s="220"/>
      <c r="AC575" s="220"/>
      <c r="AD575" s="220"/>
      <c r="AE575" s="220"/>
      <c r="AF575" s="220"/>
      <c r="AG575" s="220"/>
      <c r="AH575" s="220"/>
      <c r="AI575" s="220"/>
      <c r="AJ575" s="220"/>
      <c r="AK575" s="220"/>
      <c r="AL575" s="220"/>
      <c r="AM575" s="220"/>
      <c r="AN575" s="220"/>
    </row>
    <row r="576" ht="15.75" customHeight="1">
      <c r="A576" s="220"/>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c r="AA576" s="220"/>
      <c r="AB576" s="220"/>
      <c r="AC576" s="220"/>
      <c r="AD576" s="220"/>
      <c r="AE576" s="220"/>
      <c r="AF576" s="220"/>
      <c r="AG576" s="220"/>
      <c r="AH576" s="220"/>
      <c r="AI576" s="220"/>
      <c r="AJ576" s="220"/>
      <c r="AK576" s="220"/>
      <c r="AL576" s="220"/>
      <c r="AM576" s="220"/>
      <c r="AN576" s="220"/>
    </row>
    <row r="577" ht="15.75" customHeight="1">
      <c r="A577" s="220"/>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c r="AA577" s="220"/>
      <c r="AB577" s="220"/>
      <c r="AC577" s="220"/>
      <c r="AD577" s="220"/>
      <c r="AE577" s="220"/>
      <c r="AF577" s="220"/>
      <c r="AG577" s="220"/>
      <c r="AH577" s="220"/>
      <c r="AI577" s="220"/>
      <c r="AJ577" s="220"/>
      <c r="AK577" s="220"/>
      <c r="AL577" s="220"/>
      <c r="AM577" s="220"/>
      <c r="AN577" s="220"/>
    </row>
    <row r="578" ht="15.75" customHeight="1">
      <c r="A578" s="220"/>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c r="AA578" s="220"/>
      <c r="AB578" s="220"/>
      <c r="AC578" s="220"/>
      <c r="AD578" s="220"/>
      <c r="AE578" s="220"/>
      <c r="AF578" s="220"/>
      <c r="AG578" s="220"/>
      <c r="AH578" s="220"/>
      <c r="AI578" s="220"/>
      <c r="AJ578" s="220"/>
      <c r="AK578" s="220"/>
      <c r="AL578" s="220"/>
      <c r="AM578" s="220"/>
      <c r="AN578" s="220"/>
    </row>
    <row r="579" ht="15.75" customHeight="1">
      <c r="A579" s="220"/>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c r="AA579" s="220"/>
      <c r="AB579" s="220"/>
      <c r="AC579" s="220"/>
      <c r="AD579" s="220"/>
      <c r="AE579" s="220"/>
      <c r="AF579" s="220"/>
      <c r="AG579" s="220"/>
      <c r="AH579" s="220"/>
      <c r="AI579" s="220"/>
      <c r="AJ579" s="220"/>
      <c r="AK579" s="220"/>
      <c r="AL579" s="220"/>
      <c r="AM579" s="220"/>
      <c r="AN579" s="220"/>
    </row>
    <row r="580" ht="15.75" customHeight="1">
      <c r="A580" s="220"/>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c r="AA580" s="220"/>
      <c r="AB580" s="220"/>
      <c r="AC580" s="220"/>
      <c r="AD580" s="220"/>
      <c r="AE580" s="220"/>
      <c r="AF580" s="220"/>
      <c r="AG580" s="220"/>
      <c r="AH580" s="220"/>
      <c r="AI580" s="220"/>
      <c r="AJ580" s="220"/>
      <c r="AK580" s="220"/>
      <c r="AL580" s="220"/>
      <c r="AM580" s="220"/>
      <c r="AN580" s="220"/>
    </row>
    <row r="581" ht="15.75" customHeight="1">
      <c r="A581" s="220"/>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c r="AA581" s="220"/>
      <c r="AB581" s="220"/>
      <c r="AC581" s="220"/>
      <c r="AD581" s="220"/>
      <c r="AE581" s="220"/>
      <c r="AF581" s="220"/>
      <c r="AG581" s="220"/>
      <c r="AH581" s="220"/>
      <c r="AI581" s="220"/>
      <c r="AJ581" s="220"/>
      <c r="AK581" s="220"/>
      <c r="AL581" s="220"/>
      <c r="AM581" s="220"/>
      <c r="AN581" s="220"/>
    </row>
    <row r="582" ht="15.75" customHeight="1">
      <c r="A582" s="220"/>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c r="AA582" s="220"/>
      <c r="AB582" s="220"/>
      <c r="AC582" s="220"/>
      <c r="AD582" s="220"/>
      <c r="AE582" s="220"/>
      <c r="AF582" s="220"/>
      <c r="AG582" s="220"/>
      <c r="AH582" s="220"/>
      <c r="AI582" s="220"/>
      <c r="AJ582" s="220"/>
      <c r="AK582" s="220"/>
      <c r="AL582" s="220"/>
      <c r="AM582" s="220"/>
      <c r="AN582" s="220"/>
    </row>
    <row r="583" ht="15.75" customHeight="1">
      <c r="A583" s="220"/>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c r="AA583" s="220"/>
      <c r="AB583" s="220"/>
      <c r="AC583" s="220"/>
      <c r="AD583" s="220"/>
      <c r="AE583" s="220"/>
      <c r="AF583" s="220"/>
      <c r="AG583" s="220"/>
      <c r="AH583" s="220"/>
      <c r="AI583" s="220"/>
      <c r="AJ583" s="220"/>
      <c r="AK583" s="220"/>
      <c r="AL583" s="220"/>
      <c r="AM583" s="220"/>
      <c r="AN583" s="220"/>
    </row>
    <row r="584" ht="15.75" customHeight="1">
      <c r="A584" s="220"/>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c r="AA584" s="220"/>
      <c r="AB584" s="220"/>
      <c r="AC584" s="220"/>
      <c r="AD584" s="220"/>
      <c r="AE584" s="220"/>
      <c r="AF584" s="220"/>
      <c r="AG584" s="220"/>
      <c r="AH584" s="220"/>
      <c r="AI584" s="220"/>
      <c r="AJ584" s="220"/>
      <c r="AK584" s="220"/>
      <c r="AL584" s="220"/>
      <c r="AM584" s="220"/>
      <c r="AN584" s="220"/>
    </row>
    <row r="585" ht="15.75" customHeight="1">
      <c r="A585" s="220"/>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c r="AA585" s="220"/>
      <c r="AB585" s="220"/>
      <c r="AC585" s="220"/>
      <c r="AD585" s="220"/>
      <c r="AE585" s="220"/>
      <c r="AF585" s="220"/>
      <c r="AG585" s="220"/>
      <c r="AH585" s="220"/>
      <c r="AI585" s="220"/>
      <c r="AJ585" s="220"/>
      <c r="AK585" s="220"/>
      <c r="AL585" s="220"/>
      <c r="AM585" s="220"/>
      <c r="AN585" s="220"/>
    </row>
    <row r="586" ht="15.75" customHeight="1">
      <c r="A586" s="220"/>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c r="AA586" s="220"/>
      <c r="AB586" s="220"/>
      <c r="AC586" s="220"/>
      <c r="AD586" s="220"/>
      <c r="AE586" s="220"/>
      <c r="AF586" s="220"/>
      <c r="AG586" s="220"/>
      <c r="AH586" s="220"/>
      <c r="AI586" s="220"/>
      <c r="AJ586" s="220"/>
      <c r="AK586" s="220"/>
      <c r="AL586" s="220"/>
      <c r="AM586" s="220"/>
      <c r="AN586" s="220"/>
    </row>
    <row r="587" ht="15.75" customHeight="1">
      <c r="A587" s="220"/>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c r="AA587" s="220"/>
      <c r="AB587" s="220"/>
      <c r="AC587" s="220"/>
      <c r="AD587" s="220"/>
      <c r="AE587" s="220"/>
      <c r="AF587" s="220"/>
      <c r="AG587" s="220"/>
      <c r="AH587" s="220"/>
      <c r="AI587" s="220"/>
      <c r="AJ587" s="220"/>
      <c r="AK587" s="220"/>
      <c r="AL587" s="220"/>
      <c r="AM587" s="220"/>
      <c r="AN587" s="220"/>
    </row>
    <row r="588" ht="15.75" customHeight="1">
      <c r="A588" s="220"/>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c r="AA588" s="220"/>
      <c r="AB588" s="220"/>
      <c r="AC588" s="220"/>
      <c r="AD588" s="220"/>
      <c r="AE588" s="220"/>
      <c r="AF588" s="220"/>
      <c r="AG588" s="220"/>
      <c r="AH588" s="220"/>
      <c r="AI588" s="220"/>
      <c r="AJ588" s="220"/>
      <c r="AK588" s="220"/>
      <c r="AL588" s="220"/>
      <c r="AM588" s="220"/>
      <c r="AN588" s="220"/>
    </row>
    <row r="589" ht="15.75" customHeight="1">
      <c r="A589" s="220"/>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c r="AA589" s="220"/>
      <c r="AB589" s="220"/>
      <c r="AC589" s="220"/>
      <c r="AD589" s="220"/>
      <c r="AE589" s="220"/>
      <c r="AF589" s="220"/>
      <c r="AG589" s="220"/>
      <c r="AH589" s="220"/>
      <c r="AI589" s="220"/>
      <c r="AJ589" s="220"/>
      <c r="AK589" s="220"/>
      <c r="AL589" s="220"/>
      <c r="AM589" s="220"/>
      <c r="AN589" s="220"/>
    </row>
    <row r="590" ht="15.75" customHeight="1">
      <c r="A590" s="220"/>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c r="AA590" s="220"/>
      <c r="AB590" s="220"/>
      <c r="AC590" s="220"/>
      <c r="AD590" s="220"/>
      <c r="AE590" s="220"/>
      <c r="AF590" s="220"/>
      <c r="AG590" s="220"/>
      <c r="AH590" s="220"/>
      <c r="AI590" s="220"/>
      <c r="AJ590" s="220"/>
      <c r="AK590" s="220"/>
      <c r="AL590" s="220"/>
      <c r="AM590" s="220"/>
      <c r="AN590" s="220"/>
    </row>
    <row r="591" ht="15.75" customHeight="1">
      <c r="A591" s="220"/>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c r="AA591" s="220"/>
      <c r="AB591" s="220"/>
      <c r="AC591" s="220"/>
      <c r="AD591" s="220"/>
      <c r="AE591" s="220"/>
      <c r="AF591" s="220"/>
      <c r="AG591" s="220"/>
      <c r="AH591" s="220"/>
      <c r="AI591" s="220"/>
      <c r="AJ591" s="220"/>
      <c r="AK591" s="220"/>
      <c r="AL591" s="220"/>
      <c r="AM591" s="220"/>
      <c r="AN591" s="220"/>
    </row>
    <row r="592" ht="15.75" customHeight="1">
      <c r="A592" s="220"/>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c r="AA592" s="220"/>
      <c r="AB592" s="220"/>
      <c r="AC592" s="220"/>
      <c r="AD592" s="220"/>
      <c r="AE592" s="220"/>
      <c r="AF592" s="220"/>
      <c r="AG592" s="220"/>
      <c r="AH592" s="220"/>
      <c r="AI592" s="220"/>
      <c r="AJ592" s="220"/>
      <c r="AK592" s="220"/>
      <c r="AL592" s="220"/>
      <c r="AM592" s="220"/>
      <c r="AN592" s="220"/>
    </row>
    <row r="593" ht="15.75" customHeight="1">
      <c r="A593" s="220"/>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c r="AA593" s="220"/>
      <c r="AB593" s="220"/>
      <c r="AC593" s="220"/>
      <c r="AD593" s="220"/>
      <c r="AE593" s="220"/>
      <c r="AF593" s="220"/>
      <c r="AG593" s="220"/>
      <c r="AH593" s="220"/>
      <c r="AI593" s="220"/>
      <c r="AJ593" s="220"/>
      <c r="AK593" s="220"/>
      <c r="AL593" s="220"/>
      <c r="AM593" s="220"/>
      <c r="AN593" s="220"/>
    </row>
    <row r="594" ht="15.75" customHeight="1">
      <c r="A594" s="220"/>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c r="AA594" s="220"/>
      <c r="AB594" s="220"/>
      <c r="AC594" s="220"/>
      <c r="AD594" s="220"/>
      <c r="AE594" s="220"/>
      <c r="AF594" s="220"/>
      <c r="AG594" s="220"/>
      <c r="AH594" s="220"/>
      <c r="AI594" s="220"/>
      <c r="AJ594" s="220"/>
      <c r="AK594" s="220"/>
      <c r="AL594" s="220"/>
      <c r="AM594" s="220"/>
      <c r="AN594" s="220"/>
    </row>
    <row r="595" ht="15.75" customHeight="1">
      <c r="A595" s="220"/>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c r="AA595" s="220"/>
      <c r="AB595" s="220"/>
      <c r="AC595" s="220"/>
      <c r="AD595" s="220"/>
      <c r="AE595" s="220"/>
      <c r="AF595" s="220"/>
      <c r="AG595" s="220"/>
      <c r="AH595" s="220"/>
      <c r="AI595" s="220"/>
      <c r="AJ595" s="220"/>
      <c r="AK595" s="220"/>
      <c r="AL595" s="220"/>
      <c r="AM595" s="220"/>
      <c r="AN595" s="220"/>
    </row>
    <row r="596" ht="15.75" customHeight="1">
      <c r="A596" s="220"/>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c r="AA596" s="220"/>
      <c r="AB596" s="220"/>
      <c r="AC596" s="220"/>
      <c r="AD596" s="220"/>
      <c r="AE596" s="220"/>
      <c r="AF596" s="220"/>
      <c r="AG596" s="220"/>
      <c r="AH596" s="220"/>
      <c r="AI596" s="220"/>
      <c r="AJ596" s="220"/>
      <c r="AK596" s="220"/>
      <c r="AL596" s="220"/>
      <c r="AM596" s="220"/>
      <c r="AN596" s="220"/>
    </row>
    <row r="597" ht="15.75" customHeight="1">
      <c r="A597" s="220"/>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c r="AA597" s="220"/>
      <c r="AB597" s="220"/>
      <c r="AC597" s="220"/>
      <c r="AD597" s="220"/>
      <c r="AE597" s="220"/>
      <c r="AF597" s="220"/>
      <c r="AG597" s="220"/>
      <c r="AH597" s="220"/>
      <c r="AI597" s="220"/>
      <c r="AJ597" s="220"/>
      <c r="AK597" s="220"/>
      <c r="AL597" s="220"/>
      <c r="AM597" s="220"/>
      <c r="AN597" s="220"/>
    </row>
    <row r="598" ht="15.75" customHeight="1">
      <c r="A598" s="220"/>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c r="AA598" s="220"/>
      <c r="AB598" s="220"/>
      <c r="AC598" s="220"/>
      <c r="AD598" s="220"/>
      <c r="AE598" s="220"/>
      <c r="AF598" s="220"/>
      <c r="AG598" s="220"/>
      <c r="AH598" s="220"/>
      <c r="AI598" s="220"/>
      <c r="AJ598" s="220"/>
      <c r="AK598" s="220"/>
      <c r="AL598" s="220"/>
      <c r="AM598" s="220"/>
      <c r="AN598" s="220"/>
    </row>
    <row r="599" ht="15.75" customHeight="1">
      <c r="A599" s="220"/>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c r="AA599" s="220"/>
      <c r="AB599" s="220"/>
      <c r="AC599" s="220"/>
      <c r="AD599" s="220"/>
      <c r="AE599" s="220"/>
      <c r="AF599" s="220"/>
      <c r="AG599" s="220"/>
      <c r="AH599" s="220"/>
      <c r="AI599" s="220"/>
      <c r="AJ599" s="220"/>
      <c r="AK599" s="220"/>
      <c r="AL599" s="220"/>
      <c r="AM599" s="220"/>
      <c r="AN599" s="220"/>
    </row>
    <row r="600" ht="15.75" customHeight="1">
      <c r="A600" s="220"/>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c r="AA600" s="220"/>
      <c r="AB600" s="220"/>
      <c r="AC600" s="220"/>
      <c r="AD600" s="220"/>
      <c r="AE600" s="220"/>
      <c r="AF600" s="220"/>
      <c r="AG600" s="220"/>
      <c r="AH600" s="220"/>
      <c r="AI600" s="220"/>
      <c r="AJ600" s="220"/>
      <c r="AK600" s="220"/>
      <c r="AL600" s="220"/>
      <c r="AM600" s="220"/>
      <c r="AN600" s="220"/>
    </row>
    <row r="601" ht="15.75" customHeight="1">
      <c r="A601" s="220"/>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c r="AA601" s="220"/>
      <c r="AB601" s="220"/>
      <c r="AC601" s="220"/>
      <c r="AD601" s="220"/>
      <c r="AE601" s="220"/>
      <c r="AF601" s="220"/>
      <c r="AG601" s="220"/>
      <c r="AH601" s="220"/>
      <c r="AI601" s="220"/>
      <c r="AJ601" s="220"/>
      <c r="AK601" s="220"/>
      <c r="AL601" s="220"/>
      <c r="AM601" s="220"/>
      <c r="AN601" s="220"/>
    </row>
    <row r="602" ht="15.75" customHeight="1">
      <c r="A602" s="220"/>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c r="AA602" s="220"/>
      <c r="AB602" s="220"/>
      <c r="AC602" s="220"/>
      <c r="AD602" s="220"/>
      <c r="AE602" s="220"/>
      <c r="AF602" s="220"/>
      <c r="AG602" s="220"/>
      <c r="AH602" s="220"/>
      <c r="AI602" s="220"/>
      <c r="AJ602" s="220"/>
      <c r="AK602" s="220"/>
      <c r="AL602" s="220"/>
      <c r="AM602" s="220"/>
      <c r="AN602" s="220"/>
    </row>
    <row r="603" ht="15.75" customHeight="1">
      <c r="A603" s="220"/>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c r="AA603" s="220"/>
      <c r="AB603" s="220"/>
      <c r="AC603" s="220"/>
      <c r="AD603" s="220"/>
      <c r="AE603" s="220"/>
      <c r="AF603" s="220"/>
      <c r="AG603" s="220"/>
      <c r="AH603" s="220"/>
      <c r="AI603" s="220"/>
      <c r="AJ603" s="220"/>
      <c r="AK603" s="220"/>
      <c r="AL603" s="220"/>
      <c r="AM603" s="220"/>
      <c r="AN603" s="220"/>
    </row>
    <row r="604" ht="15.75" customHeight="1">
      <c r="A604" s="220"/>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c r="AA604" s="220"/>
      <c r="AB604" s="220"/>
      <c r="AC604" s="220"/>
      <c r="AD604" s="220"/>
      <c r="AE604" s="220"/>
      <c r="AF604" s="220"/>
      <c r="AG604" s="220"/>
      <c r="AH604" s="220"/>
      <c r="AI604" s="220"/>
      <c r="AJ604" s="220"/>
      <c r="AK604" s="220"/>
      <c r="AL604" s="220"/>
      <c r="AM604" s="220"/>
      <c r="AN604" s="220"/>
    </row>
    <row r="605" ht="15.75" customHeight="1">
      <c r="A605" s="220"/>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c r="AA605" s="220"/>
      <c r="AB605" s="220"/>
      <c r="AC605" s="220"/>
      <c r="AD605" s="220"/>
      <c r="AE605" s="220"/>
      <c r="AF605" s="220"/>
      <c r="AG605" s="220"/>
      <c r="AH605" s="220"/>
      <c r="AI605" s="220"/>
      <c r="AJ605" s="220"/>
      <c r="AK605" s="220"/>
      <c r="AL605" s="220"/>
      <c r="AM605" s="220"/>
      <c r="AN605" s="220"/>
    </row>
    <row r="606" ht="15.75" customHeight="1">
      <c r="A606" s="220"/>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c r="AA606" s="220"/>
      <c r="AB606" s="220"/>
      <c r="AC606" s="220"/>
      <c r="AD606" s="220"/>
      <c r="AE606" s="220"/>
      <c r="AF606" s="220"/>
      <c r="AG606" s="220"/>
      <c r="AH606" s="220"/>
      <c r="AI606" s="220"/>
      <c r="AJ606" s="220"/>
      <c r="AK606" s="220"/>
      <c r="AL606" s="220"/>
      <c r="AM606" s="220"/>
      <c r="AN606" s="220"/>
    </row>
    <row r="607" ht="15.75" customHeight="1">
      <c r="A607" s="220"/>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c r="AA607" s="220"/>
      <c r="AB607" s="220"/>
      <c r="AC607" s="220"/>
      <c r="AD607" s="220"/>
      <c r="AE607" s="220"/>
      <c r="AF607" s="220"/>
      <c r="AG607" s="220"/>
      <c r="AH607" s="220"/>
      <c r="AI607" s="220"/>
      <c r="AJ607" s="220"/>
      <c r="AK607" s="220"/>
      <c r="AL607" s="220"/>
      <c r="AM607" s="220"/>
      <c r="AN607" s="220"/>
    </row>
    <row r="608" ht="15.75" customHeight="1">
      <c r="A608" s="220"/>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c r="AA608" s="220"/>
      <c r="AB608" s="220"/>
      <c r="AC608" s="220"/>
      <c r="AD608" s="220"/>
      <c r="AE608" s="220"/>
      <c r="AF608" s="220"/>
      <c r="AG608" s="220"/>
      <c r="AH608" s="220"/>
      <c r="AI608" s="220"/>
      <c r="AJ608" s="220"/>
      <c r="AK608" s="220"/>
      <c r="AL608" s="220"/>
      <c r="AM608" s="220"/>
      <c r="AN608" s="220"/>
    </row>
    <row r="609" ht="15.75" customHeight="1">
      <c r="A609" s="220"/>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c r="AA609" s="220"/>
      <c r="AB609" s="220"/>
      <c r="AC609" s="220"/>
      <c r="AD609" s="220"/>
      <c r="AE609" s="220"/>
      <c r="AF609" s="220"/>
      <c r="AG609" s="220"/>
      <c r="AH609" s="220"/>
      <c r="AI609" s="220"/>
      <c r="AJ609" s="220"/>
      <c r="AK609" s="220"/>
      <c r="AL609" s="220"/>
      <c r="AM609" s="220"/>
      <c r="AN609" s="220"/>
    </row>
    <row r="610" ht="15.75" customHeight="1">
      <c r="A610" s="220"/>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c r="AA610" s="220"/>
      <c r="AB610" s="220"/>
      <c r="AC610" s="220"/>
      <c r="AD610" s="220"/>
      <c r="AE610" s="220"/>
      <c r="AF610" s="220"/>
      <c r="AG610" s="220"/>
      <c r="AH610" s="220"/>
      <c r="AI610" s="220"/>
      <c r="AJ610" s="220"/>
      <c r="AK610" s="220"/>
      <c r="AL610" s="220"/>
      <c r="AM610" s="220"/>
      <c r="AN610" s="220"/>
    </row>
    <row r="611" ht="15.75" customHeight="1">
      <c r="A611" s="220"/>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c r="AA611" s="220"/>
      <c r="AB611" s="220"/>
      <c r="AC611" s="220"/>
      <c r="AD611" s="220"/>
      <c r="AE611" s="220"/>
      <c r="AF611" s="220"/>
      <c r="AG611" s="220"/>
      <c r="AH611" s="220"/>
      <c r="AI611" s="220"/>
      <c r="AJ611" s="220"/>
      <c r="AK611" s="220"/>
      <c r="AL611" s="220"/>
      <c r="AM611" s="220"/>
      <c r="AN611" s="220"/>
    </row>
    <row r="612" ht="15.75" customHeight="1">
      <c r="A612" s="220"/>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c r="AA612" s="220"/>
      <c r="AB612" s="220"/>
      <c r="AC612" s="220"/>
      <c r="AD612" s="220"/>
      <c r="AE612" s="220"/>
      <c r="AF612" s="220"/>
      <c r="AG612" s="220"/>
      <c r="AH612" s="220"/>
      <c r="AI612" s="220"/>
      <c r="AJ612" s="220"/>
      <c r="AK612" s="220"/>
      <c r="AL612" s="220"/>
      <c r="AM612" s="220"/>
      <c r="AN612" s="220"/>
    </row>
    <row r="613" ht="15.75" customHeight="1">
      <c r="A613" s="220"/>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c r="AA613" s="220"/>
      <c r="AB613" s="220"/>
      <c r="AC613" s="220"/>
      <c r="AD613" s="220"/>
      <c r="AE613" s="220"/>
      <c r="AF613" s="220"/>
      <c r="AG613" s="220"/>
      <c r="AH613" s="220"/>
      <c r="AI613" s="220"/>
      <c r="AJ613" s="220"/>
      <c r="AK613" s="220"/>
      <c r="AL613" s="220"/>
      <c r="AM613" s="220"/>
      <c r="AN613" s="220"/>
    </row>
    <row r="614" ht="15.75" customHeight="1">
      <c r="A614" s="220"/>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c r="AA614" s="220"/>
      <c r="AB614" s="220"/>
      <c r="AC614" s="220"/>
      <c r="AD614" s="220"/>
      <c r="AE614" s="220"/>
      <c r="AF614" s="220"/>
      <c r="AG614" s="220"/>
      <c r="AH614" s="220"/>
      <c r="AI614" s="220"/>
      <c r="AJ614" s="220"/>
      <c r="AK614" s="220"/>
      <c r="AL614" s="220"/>
      <c r="AM614" s="220"/>
      <c r="AN614" s="220"/>
    </row>
    <row r="615" ht="15.75" customHeight="1">
      <c r="A615" s="220"/>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c r="AA615" s="220"/>
      <c r="AB615" s="220"/>
      <c r="AC615" s="220"/>
      <c r="AD615" s="220"/>
      <c r="AE615" s="220"/>
      <c r="AF615" s="220"/>
      <c r="AG615" s="220"/>
      <c r="AH615" s="220"/>
      <c r="AI615" s="220"/>
      <c r="AJ615" s="220"/>
      <c r="AK615" s="220"/>
      <c r="AL615" s="220"/>
      <c r="AM615" s="220"/>
      <c r="AN615" s="220"/>
    </row>
    <row r="616" ht="15.75" customHeight="1">
      <c r="A616" s="220"/>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c r="AA616" s="220"/>
      <c r="AB616" s="220"/>
      <c r="AC616" s="220"/>
      <c r="AD616" s="220"/>
      <c r="AE616" s="220"/>
      <c r="AF616" s="220"/>
      <c r="AG616" s="220"/>
      <c r="AH616" s="220"/>
      <c r="AI616" s="220"/>
      <c r="AJ616" s="220"/>
      <c r="AK616" s="220"/>
      <c r="AL616" s="220"/>
      <c r="AM616" s="220"/>
      <c r="AN616" s="220"/>
    </row>
    <row r="617" ht="15.75" customHeight="1">
      <c r="A617" s="220"/>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c r="AA617" s="220"/>
      <c r="AB617" s="220"/>
      <c r="AC617" s="220"/>
      <c r="AD617" s="220"/>
      <c r="AE617" s="220"/>
      <c r="AF617" s="220"/>
      <c r="AG617" s="220"/>
      <c r="AH617" s="220"/>
      <c r="AI617" s="220"/>
      <c r="AJ617" s="220"/>
      <c r="AK617" s="220"/>
      <c r="AL617" s="220"/>
      <c r="AM617" s="220"/>
      <c r="AN617" s="220"/>
    </row>
    <row r="618" ht="15.75" customHeight="1">
      <c r="A618" s="220"/>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c r="AA618" s="220"/>
      <c r="AB618" s="220"/>
      <c r="AC618" s="220"/>
      <c r="AD618" s="220"/>
      <c r="AE618" s="220"/>
      <c r="AF618" s="220"/>
      <c r="AG618" s="220"/>
      <c r="AH618" s="220"/>
      <c r="AI618" s="220"/>
      <c r="AJ618" s="220"/>
      <c r="AK618" s="220"/>
      <c r="AL618" s="220"/>
      <c r="AM618" s="220"/>
      <c r="AN618" s="220"/>
    </row>
    <row r="619" ht="15.75" customHeight="1">
      <c r="A619" s="220"/>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c r="AA619" s="220"/>
      <c r="AB619" s="220"/>
      <c r="AC619" s="220"/>
      <c r="AD619" s="220"/>
      <c r="AE619" s="220"/>
      <c r="AF619" s="220"/>
      <c r="AG619" s="220"/>
      <c r="AH619" s="220"/>
      <c r="AI619" s="220"/>
      <c r="AJ619" s="220"/>
      <c r="AK619" s="220"/>
      <c r="AL619" s="220"/>
      <c r="AM619" s="220"/>
      <c r="AN619" s="220"/>
    </row>
    <row r="620" ht="15.75" customHeight="1">
      <c r="A620" s="220"/>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c r="AA620" s="220"/>
      <c r="AB620" s="220"/>
      <c r="AC620" s="220"/>
      <c r="AD620" s="220"/>
      <c r="AE620" s="220"/>
      <c r="AF620" s="220"/>
      <c r="AG620" s="220"/>
      <c r="AH620" s="220"/>
      <c r="AI620" s="220"/>
      <c r="AJ620" s="220"/>
      <c r="AK620" s="220"/>
      <c r="AL620" s="220"/>
      <c r="AM620" s="220"/>
      <c r="AN620" s="220"/>
    </row>
    <row r="621" ht="15.75" customHeight="1">
      <c r="A621" s="220"/>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c r="AA621" s="220"/>
      <c r="AB621" s="220"/>
      <c r="AC621" s="220"/>
      <c r="AD621" s="220"/>
      <c r="AE621" s="220"/>
      <c r="AF621" s="220"/>
      <c r="AG621" s="220"/>
      <c r="AH621" s="220"/>
      <c r="AI621" s="220"/>
      <c r="AJ621" s="220"/>
      <c r="AK621" s="220"/>
      <c r="AL621" s="220"/>
      <c r="AM621" s="220"/>
      <c r="AN621" s="220"/>
    </row>
    <row r="622" ht="15.75" customHeight="1">
      <c r="A622" s="220"/>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c r="AA622" s="220"/>
      <c r="AB622" s="220"/>
      <c r="AC622" s="220"/>
      <c r="AD622" s="220"/>
      <c r="AE622" s="220"/>
      <c r="AF622" s="220"/>
      <c r="AG622" s="220"/>
      <c r="AH622" s="220"/>
      <c r="AI622" s="220"/>
      <c r="AJ622" s="220"/>
      <c r="AK622" s="220"/>
      <c r="AL622" s="220"/>
      <c r="AM622" s="220"/>
      <c r="AN622" s="220"/>
    </row>
    <row r="623" ht="15.75" customHeight="1">
      <c r="A623" s="220"/>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c r="AA623" s="220"/>
      <c r="AB623" s="220"/>
      <c r="AC623" s="220"/>
      <c r="AD623" s="220"/>
      <c r="AE623" s="220"/>
      <c r="AF623" s="220"/>
      <c r="AG623" s="220"/>
      <c r="AH623" s="220"/>
      <c r="AI623" s="220"/>
      <c r="AJ623" s="220"/>
      <c r="AK623" s="220"/>
      <c r="AL623" s="220"/>
      <c r="AM623" s="220"/>
      <c r="AN623" s="220"/>
    </row>
    <row r="624" ht="15.75" customHeight="1">
      <c r="A624" s="220"/>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c r="AA624" s="220"/>
      <c r="AB624" s="220"/>
      <c r="AC624" s="220"/>
      <c r="AD624" s="220"/>
      <c r="AE624" s="220"/>
      <c r="AF624" s="220"/>
      <c r="AG624" s="220"/>
      <c r="AH624" s="220"/>
      <c r="AI624" s="220"/>
      <c r="AJ624" s="220"/>
      <c r="AK624" s="220"/>
      <c r="AL624" s="220"/>
      <c r="AM624" s="220"/>
      <c r="AN624" s="220"/>
    </row>
    <row r="625" ht="15.75" customHeight="1">
      <c r="A625" s="220"/>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c r="AA625" s="220"/>
      <c r="AB625" s="220"/>
      <c r="AC625" s="220"/>
      <c r="AD625" s="220"/>
      <c r="AE625" s="220"/>
      <c r="AF625" s="220"/>
      <c r="AG625" s="220"/>
      <c r="AH625" s="220"/>
      <c r="AI625" s="220"/>
      <c r="AJ625" s="220"/>
      <c r="AK625" s="220"/>
      <c r="AL625" s="220"/>
      <c r="AM625" s="220"/>
      <c r="AN625" s="220"/>
    </row>
    <row r="626" ht="15.75" customHeight="1">
      <c r="A626" s="220"/>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c r="AA626" s="220"/>
      <c r="AB626" s="220"/>
      <c r="AC626" s="220"/>
      <c r="AD626" s="220"/>
      <c r="AE626" s="220"/>
      <c r="AF626" s="220"/>
      <c r="AG626" s="220"/>
      <c r="AH626" s="220"/>
      <c r="AI626" s="220"/>
      <c r="AJ626" s="220"/>
      <c r="AK626" s="220"/>
      <c r="AL626" s="220"/>
      <c r="AM626" s="220"/>
      <c r="AN626" s="220"/>
    </row>
    <row r="627" ht="15.75" customHeight="1">
      <c r="A627" s="220"/>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c r="AA627" s="220"/>
      <c r="AB627" s="220"/>
      <c r="AC627" s="220"/>
      <c r="AD627" s="220"/>
      <c r="AE627" s="220"/>
      <c r="AF627" s="220"/>
      <c r="AG627" s="220"/>
      <c r="AH627" s="220"/>
      <c r="AI627" s="220"/>
      <c r="AJ627" s="220"/>
      <c r="AK627" s="220"/>
      <c r="AL627" s="220"/>
      <c r="AM627" s="220"/>
      <c r="AN627" s="220"/>
    </row>
    <row r="628" ht="15.75" customHeight="1">
      <c r="A628" s="220"/>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c r="AA628" s="220"/>
      <c r="AB628" s="220"/>
      <c r="AC628" s="220"/>
      <c r="AD628" s="220"/>
      <c r="AE628" s="220"/>
      <c r="AF628" s="220"/>
      <c r="AG628" s="220"/>
      <c r="AH628" s="220"/>
      <c r="AI628" s="220"/>
      <c r="AJ628" s="220"/>
      <c r="AK628" s="220"/>
      <c r="AL628" s="220"/>
      <c r="AM628" s="220"/>
      <c r="AN628" s="220"/>
    </row>
    <row r="629" ht="15.75" customHeight="1">
      <c r="A629" s="220"/>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c r="AA629" s="220"/>
      <c r="AB629" s="220"/>
      <c r="AC629" s="220"/>
      <c r="AD629" s="220"/>
      <c r="AE629" s="220"/>
      <c r="AF629" s="220"/>
      <c r="AG629" s="220"/>
      <c r="AH629" s="220"/>
      <c r="AI629" s="220"/>
      <c r="AJ629" s="220"/>
      <c r="AK629" s="220"/>
      <c r="AL629" s="220"/>
      <c r="AM629" s="220"/>
      <c r="AN629" s="220"/>
    </row>
    <row r="630" ht="15.75" customHeight="1">
      <c r="A630" s="220"/>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c r="AA630" s="220"/>
      <c r="AB630" s="220"/>
      <c r="AC630" s="220"/>
      <c r="AD630" s="220"/>
      <c r="AE630" s="220"/>
      <c r="AF630" s="220"/>
      <c r="AG630" s="220"/>
      <c r="AH630" s="220"/>
      <c r="AI630" s="220"/>
      <c r="AJ630" s="220"/>
      <c r="AK630" s="220"/>
      <c r="AL630" s="220"/>
      <c r="AM630" s="220"/>
      <c r="AN630" s="220"/>
    </row>
    <row r="631" ht="15.75" customHeight="1">
      <c r="A631" s="220"/>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c r="AA631" s="220"/>
      <c r="AB631" s="220"/>
      <c r="AC631" s="220"/>
      <c r="AD631" s="220"/>
      <c r="AE631" s="220"/>
      <c r="AF631" s="220"/>
      <c r="AG631" s="220"/>
      <c r="AH631" s="220"/>
      <c r="AI631" s="220"/>
      <c r="AJ631" s="220"/>
      <c r="AK631" s="220"/>
      <c r="AL631" s="220"/>
      <c r="AM631" s="220"/>
      <c r="AN631" s="220"/>
    </row>
    <row r="632" ht="15.75" customHeight="1">
      <c r="A632" s="220"/>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c r="AA632" s="220"/>
      <c r="AB632" s="220"/>
      <c r="AC632" s="220"/>
      <c r="AD632" s="220"/>
      <c r="AE632" s="220"/>
      <c r="AF632" s="220"/>
      <c r="AG632" s="220"/>
      <c r="AH632" s="220"/>
      <c r="AI632" s="220"/>
      <c r="AJ632" s="220"/>
      <c r="AK632" s="220"/>
      <c r="AL632" s="220"/>
      <c r="AM632" s="220"/>
      <c r="AN632" s="220"/>
    </row>
    <row r="633" ht="15.75" customHeight="1">
      <c r="A633" s="220"/>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c r="AA633" s="220"/>
      <c r="AB633" s="220"/>
      <c r="AC633" s="220"/>
      <c r="AD633" s="220"/>
      <c r="AE633" s="220"/>
      <c r="AF633" s="220"/>
      <c r="AG633" s="220"/>
      <c r="AH633" s="220"/>
      <c r="AI633" s="220"/>
      <c r="AJ633" s="220"/>
      <c r="AK633" s="220"/>
      <c r="AL633" s="220"/>
      <c r="AM633" s="220"/>
      <c r="AN633" s="220"/>
    </row>
    <row r="634" ht="15.75" customHeight="1">
      <c r="A634" s="220"/>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c r="AA634" s="220"/>
      <c r="AB634" s="220"/>
      <c r="AC634" s="220"/>
      <c r="AD634" s="220"/>
      <c r="AE634" s="220"/>
      <c r="AF634" s="220"/>
      <c r="AG634" s="220"/>
      <c r="AH634" s="220"/>
      <c r="AI634" s="220"/>
      <c r="AJ634" s="220"/>
      <c r="AK634" s="220"/>
      <c r="AL634" s="220"/>
      <c r="AM634" s="220"/>
      <c r="AN634" s="220"/>
    </row>
    <row r="635" ht="15.75" customHeight="1">
      <c r="A635" s="220"/>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c r="AA635" s="220"/>
      <c r="AB635" s="220"/>
      <c r="AC635" s="220"/>
      <c r="AD635" s="220"/>
      <c r="AE635" s="220"/>
      <c r="AF635" s="220"/>
      <c r="AG635" s="220"/>
      <c r="AH635" s="220"/>
      <c r="AI635" s="220"/>
      <c r="AJ635" s="220"/>
      <c r="AK635" s="220"/>
      <c r="AL635" s="220"/>
      <c r="AM635" s="220"/>
      <c r="AN635" s="220"/>
    </row>
    <row r="636" ht="15.75" customHeight="1">
      <c r="A636" s="220"/>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c r="AA636" s="220"/>
      <c r="AB636" s="220"/>
      <c r="AC636" s="220"/>
      <c r="AD636" s="220"/>
      <c r="AE636" s="220"/>
      <c r="AF636" s="220"/>
      <c r="AG636" s="220"/>
      <c r="AH636" s="220"/>
      <c r="AI636" s="220"/>
      <c r="AJ636" s="220"/>
      <c r="AK636" s="220"/>
      <c r="AL636" s="220"/>
      <c r="AM636" s="220"/>
      <c r="AN636" s="220"/>
    </row>
    <row r="637" ht="15.75" customHeight="1">
      <c r="A637" s="220"/>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c r="AA637" s="220"/>
      <c r="AB637" s="220"/>
      <c r="AC637" s="220"/>
      <c r="AD637" s="220"/>
      <c r="AE637" s="220"/>
      <c r="AF637" s="220"/>
      <c r="AG637" s="220"/>
      <c r="AH637" s="220"/>
      <c r="AI637" s="220"/>
      <c r="AJ637" s="220"/>
      <c r="AK637" s="220"/>
      <c r="AL637" s="220"/>
      <c r="AM637" s="220"/>
      <c r="AN637" s="220"/>
    </row>
    <row r="638" ht="15.75" customHeight="1">
      <c r="A638" s="220"/>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c r="AA638" s="220"/>
      <c r="AB638" s="220"/>
      <c r="AC638" s="220"/>
      <c r="AD638" s="220"/>
      <c r="AE638" s="220"/>
      <c r="AF638" s="220"/>
      <c r="AG638" s="220"/>
      <c r="AH638" s="220"/>
      <c r="AI638" s="220"/>
      <c r="AJ638" s="220"/>
      <c r="AK638" s="220"/>
      <c r="AL638" s="220"/>
      <c r="AM638" s="220"/>
      <c r="AN638" s="220"/>
    </row>
    <row r="639" ht="15.75" customHeight="1">
      <c r="A639" s="220"/>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c r="AA639" s="220"/>
      <c r="AB639" s="220"/>
      <c r="AC639" s="220"/>
      <c r="AD639" s="220"/>
      <c r="AE639" s="220"/>
      <c r="AF639" s="220"/>
      <c r="AG639" s="220"/>
      <c r="AH639" s="220"/>
      <c r="AI639" s="220"/>
      <c r="AJ639" s="220"/>
      <c r="AK639" s="220"/>
      <c r="AL639" s="220"/>
      <c r="AM639" s="220"/>
      <c r="AN639" s="220"/>
    </row>
    <row r="640" ht="15.75" customHeight="1">
      <c r="A640" s="220"/>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c r="AA640" s="220"/>
      <c r="AB640" s="220"/>
      <c r="AC640" s="220"/>
      <c r="AD640" s="220"/>
      <c r="AE640" s="220"/>
      <c r="AF640" s="220"/>
      <c r="AG640" s="220"/>
      <c r="AH640" s="220"/>
      <c r="AI640" s="220"/>
      <c r="AJ640" s="220"/>
      <c r="AK640" s="220"/>
      <c r="AL640" s="220"/>
      <c r="AM640" s="220"/>
      <c r="AN640" s="220"/>
    </row>
    <row r="641" ht="15.75" customHeight="1">
      <c r="A641" s="220"/>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c r="AA641" s="220"/>
      <c r="AB641" s="220"/>
      <c r="AC641" s="220"/>
      <c r="AD641" s="220"/>
      <c r="AE641" s="220"/>
      <c r="AF641" s="220"/>
      <c r="AG641" s="220"/>
      <c r="AH641" s="220"/>
      <c r="AI641" s="220"/>
      <c r="AJ641" s="220"/>
      <c r="AK641" s="220"/>
      <c r="AL641" s="220"/>
      <c r="AM641" s="220"/>
      <c r="AN641" s="220"/>
    </row>
    <row r="642" ht="15.75" customHeight="1">
      <c r="A642" s="220"/>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c r="AA642" s="220"/>
      <c r="AB642" s="220"/>
      <c r="AC642" s="220"/>
      <c r="AD642" s="220"/>
      <c r="AE642" s="220"/>
      <c r="AF642" s="220"/>
      <c r="AG642" s="220"/>
      <c r="AH642" s="220"/>
      <c r="AI642" s="220"/>
      <c r="AJ642" s="220"/>
      <c r="AK642" s="220"/>
      <c r="AL642" s="220"/>
      <c r="AM642" s="220"/>
      <c r="AN642" s="220"/>
    </row>
    <row r="643" ht="15.75" customHeight="1">
      <c r="A643" s="220"/>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c r="AA643" s="220"/>
      <c r="AB643" s="220"/>
      <c r="AC643" s="220"/>
      <c r="AD643" s="220"/>
      <c r="AE643" s="220"/>
      <c r="AF643" s="220"/>
      <c r="AG643" s="220"/>
      <c r="AH643" s="220"/>
      <c r="AI643" s="220"/>
      <c r="AJ643" s="220"/>
      <c r="AK643" s="220"/>
      <c r="AL643" s="220"/>
      <c r="AM643" s="220"/>
      <c r="AN643" s="220"/>
    </row>
    <row r="644" ht="15.75" customHeight="1">
      <c r="A644" s="220"/>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c r="AA644" s="220"/>
      <c r="AB644" s="220"/>
      <c r="AC644" s="220"/>
      <c r="AD644" s="220"/>
      <c r="AE644" s="220"/>
      <c r="AF644" s="220"/>
      <c r="AG644" s="220"/>
      <c r="AH644" s="220"/>
      <c r="AI644" s="220"/>
      <c r="AJ644" s="220"/>
      <c r="AK644" s="220"/>
      <c r="AL644" s="220"/>
      <c r="AM644" s="220"/>
      <c r="AN644" s="220"/>
    </row>
    <row r="645" ht="15.75" customHeight="1">
      <c r="A645" s="220"/>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c r="AA645" s="220"/>
      <c r="AB645" s="220"/>
      <c r="AC645" s="220"/>
      <c r="AD645" s="220"/>
      <c r="AE645" s="220"/>
      <c r="AF645" s="220"/>
      <c r="AG645" s="220"/>
      <c r="AH645" s="220"/>
      <c r="AI645" s="220"/>
      <c r="AJ645" s="220"/>
      <c r="AK645" s="220"/>
      <c r="AL645" s="220"/>
      <c r="AM645" s="220"/>
      <c r="AN645" s="220"/>
    </row>
    <row r="646" ht="15.75" customHeight="1">
      <c r="A646" s="220"/>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c r="AA646" s="220"/>
      <c r="AB646" s="220"/>
      <c r="AC646" s="220"/>
      <c r="AD646" s="220"/>
      <c r="AE646" s="220"/>
      <c r="AF646" s="220"/>
      <c r="AG646" s="220"/>
      <c r="AH646" s="220"/>
      <c r="AI646" s="220"/>
      <c r="AJ646" s="220"/>
      <c r="AK646" s="220"/>
      <c r="AL646" s="220"/>
      <c r="AM646" s="220"/>
      <c r="AN646" s="220"/>
    </row>
    <row r="647" ht="15.75" customHeight="1">
      <c r="A647" s="220"/>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c r="AA647" s="220"/>
      <c r="AB647" s="220"/>
      <c r="AC647" s="220"/>
      <c r="AD647" s="220"/>
      <c r="AE647" s="220"/>
      <c r="AF647" s="220"/>
      <c r="AG647" s="220"/>
      <c r="AH647" s="220"/>
      <c r="AI647" s="220"/>
      <c r="AJ647" s="220"/>
      <c r="AK647" s="220"/>
      <c r="AL647" s="220"/>
      <c r="AM647" s="220"/>
      <c r="AN647" s="220"/>
    </row>
    <row r="648" ht="15.75" customHeight="1">
      <c r="A648" s="220"/>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c r="AA648" s="220"/>
      <c r="AB648" s="220"/>
      <c r="AC648" s="220"/>
      <c r="AD648" s="220"/>
      <c r="AE648" s="220"/>
      <c r="AF648" s="220"/>
      <c r="AG648" s="220"/>
      <c r="AH648" s="220"/>
      <c r="AI648" s="220"/>
      <c r="AJ648" s="220"/>
      <c r="AK648" s="220"/>
      <c r="AL648" s="220"/>
      <c r="AM648" s="220"/>
      <c r="AN648" s="220"/>
    </row>
    <row r="649" ht="15.75" customHeight="1">
      <c r="A649" s="220"/>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c r="AA649" s="220"/>
      <c r="AB649" s="220"/>
      <c r="AC649" s="220"/>
      <c r="AD649" s="220"/>
      <c r="AE649" s="220"/>
      <c r="AF649" s="220"/>
      <c r="AG649" s="220"/>
      <c r="AH649" s="220"/>
      <c r="AI649" s="220"/>
      <c r="AJ649" s="220"/>
      <c r="AK649" s="220"/>
      <c r="AL649" s="220"/>
      <c r="AM649" s="220"/>
      <c r="AN649" s="220"/>
    </row>
    <row r="650" ht="15.75" customHeight="1">
      <c r="A650" s="220"/>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c r="AA650" s="220"/>
      <c r="AB650" s="220"/>
      <c r="AC650" s="220"/>
      <c r="AD650" s="220"/>
      <c r="AE650" s="220"/>
      <c r="AF650" s="220"/>
      <c r="AG650" s="220"/>
      <c r="AH650" s="220"/>
      <c r="AI650" s="220"/>
      <c r="AJ650" s="220"/>
      <c r="AK650" s="220"/>
      <c r="AL650" s="220"/>
      <c r="AM650" s="220"/>
      <c r="AN650" s="220"/>
    </row>
    <row r="651" ht="15.75" customHeight="1">
      <c r="A651" s="220"/>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c r="AA651" s="220"/>
      <c r="AB651" s="220"/>
      <c r="AC651" s="220"/>
      <c r="AD651" s="220"/>
      <c r="AE651" s="220"/>
      <c r="AF651" s="220"/>
      <c r="AG651" s="220"/>
      <c r="AH651" s="220"/>
      <c r="AI651" s="220"/>
      <c r="AJ651" s="220"/>
      <c r="AK651" s="220"/>
      <c r="AL651" s="220"/>
      <c r="AM651" s="220"/>
      <c r="AN651" s="220"/>
    </row>
    <row r="652" ht="15.75" customHeight="1">
      <c r="A652" s="220"/>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c r="AA652" s="220"/>
      <c r="AB652" s="220"/>
      <c r="AC652" s="220"/>
      <c r="AD652" s="220"/>
      <c r="AE652" s="220"/>
      <c r="AF652" s="220"/>
      <c r="AG652" s="220"/>
      <c r="AH652" s="220"/>
      <c r="AI652" s="220"/>
      <c r="AJ652" s="220"/>
      <c r="AK652" s="220"/>
      <c r="AL652" s="220"/>
      <c r="AM652" s="220"/>
      <c r="AN652" s="220"/>
    </row>
    <row r="653" ht="15.75" customHeight="1">
      <c r="A653" s="220"/>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c r="AA653" s="220"/>
      <c r="AB653" s="220"/>
      <c r="AC653" s="220"/>
      <c r="AD653" s="220"/>
      <c r="AE653" s="220"/>
      <c r="AF653" s="220"/>
      <c r="AG653" s="220"/>
      <c r="AH653" s="220"/>
      <c r="AI653" s="220"/>
      <c r="AJ653" s="220"/>
      <c r="AK653" s="220"/>
      <c r="AL653" s="220"/>
      <c r="AM653" s="220"/>
      <c r="AN653" s="220"/>
    </row>
    <row r="654" ht="15.75" customHeight="1">
      <c r="A654" s="220"/>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c r="AA654" s="220"/>
      <c r="AB654" s="220"/>
      <c r="AC654" s="220"/>
      <c r="AD654" s="220"/>
      <c r="AE654" s="220"/>
      <c r="AF654" s="220"/>
      <c r="AG654" s="220"/>
      <c r="AH654" s="220"/>
      <c r="AI654" s="220"/>
      <c r="AJ654" s="220"/>
      <c r="AK654" s="220"/>
      <c r="AL654" s="220"/>
      <c r="AM654" s="220"/>
      <c r="AN654" s="220"/>
    </row>
    <row r="655" ht="15.75" customHeight="1">
      <c r="A655" s="220"/>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c r="AA655" s="220"/>
      <c r="AB655" s="220"/>
      <c r="AC655" s="220"/>
      <c r="AD655" s="220"/>
      <c r="AE655" s="220"/>
      <c r="AF655" s="220"/>
      <c r="AG655" s="220"/>
      <c r="AH655" s="220"/>
      <c r="AI655" s="220"/>
      <c r="AJ655" s="220"/>
      <c r="AK655" s="220"/>
      <c r="AL655" s="220"/>
      <c r="AM655" s="220"/>
      <c r="AN655" s="220"/>
    </row>
    <row r="656" ht="15.75" customHeight="1">
      <c r="A656" s="220"/>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c r="AA656" s="220"/>
      <c r="AB656" s="220"/>
      <c r="AC656" s="220"/>
      <c r="AD656" s="220"/>
      <c r="AE656" s="220"/>
      <c r="AF656" s="220"/>
      <c r="AG656" s="220"/>
      <c r="AH656" s="220"/>
      <c r="AI656" s="220"/>
      <c r="AJ656" s="220"/>
      <c r="AK656" s="220"/>
      <c r="AL656" s="220"/>
      <c r="AM656" s="220"/>
      <c r="AN656" s="220"/>
    </row>
    <row r="657" ht="15.75" customHeight="1">
      <c r="A657" s="220"/>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c r="AA657" s="220"/>
      <c r="AB657" s="220"/>
      <c r="AC657" s="220"/>
      <c r="AD657" s="220"/>
      <c r="AE657" s="220"/>
      <c r="AF657" s="220"/>
      <c r="AG657" s="220"/>
      <c r="AH657" s="220"/>
      <c r="AI657" s="220"/>
      <c r="AJ657" s="220"/>
      <c r="AK657" s="220"/>
      <c r="AL657" s="220"/>
      <c r="AM657" s="220"/>
      <c r="AN657" s="220"/>
    </row>
    <row r="658" ht="15.75" customHeight="1">
      <c r="A658" s="220"/>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c r="AA658" s="220"/>
      <c r="AB658" s="220"/>
      <c r="AC658" s="220"/>
      <c r="AD658" s="220"/>
      <c r="AE658" s="220"/>
      <c r="AF658" s="220"/>
      <c r="AG658" s="220"/>
      <c r="AH658" s="220"/>
      <c r="AI658" s="220"/>
      <c r="AJ658" s="220"/>
      <c r="AK658" s="220"/>
      <c r="AL658" s="220"/>
      <c r="AM658" s="220"/>
      <c r="AN658" s="220"/>
    </row>
    <row r="659" ht="15.75" customHeight="1">
      <c r="A659" s="220"/>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c r="AA659" s="220"/>
      <c r="AB659" s="220"/>
      <c r="AC659" s="220"/>
      <c r="AD659" s="220"/>
      <c r="AE659" s="220"/>
      <c r="AF659" s="220"/>
      <c r="AG659" s="220"/>
      <c r="AH659" s="220"/>
      <c r="AI659" s="220"/>
      <c r="AJ659" s="220"/>
      <c r="AK659" s="220"/>
      <c r="AL659" s="220"/>
      <c r="AM659" s="220"/>
      <c r="AN659" s="220"/>
    </row>
    <row r="660" ht="15.75" customHeight="1">
      <c r="A660" s="220"/>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c r="AA660" s="220"/>
      <c r="AB660" s="220"/>
      <c r="AC660" s="220"/>
      <c r="AD660" s="220"/>
      <c r="AE660" s="220"/>
      <c r="AF660" s="220"/>
      <c r="AG660" s="220"/>
      <c r="AH660" s="220"/>
      <c r="AI660" s="220"/>
      <c r="AJ660" s="220"/>
      <c r="AK660" s="220"/>
      <c r="AL660" s="220"/>
      <c r="AM660" s="220"/>
      <c r="AN660" s="220"/>
    </row>
    <row r="661" ht="15.75" customHeight="1">
      <c r="A661" s="220"/>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c r="AA661" s="220"/>
      <c r="AB661" s="220"/>
      <c r="AC661" s="220"/>
      <c r="AD661" s="220"/>
      <c r="AE661" s="220"/>
      <c r="AF661" s="220"/>
      <c r="AG661" s="220"/>
      <c r="AH661" s="220"/>
      <c r="AI661" s="220"/>
      <c r="AJ661" s="220"/>
      <c r="AK661" s="220"/>
      <c r="AL661" s="220"/>
      <c r="AM661" s="220"/>
      <c r="AN661" s="220"/>
    </row>
    <row r="662" ht="15.75" customHeight="1">
      <c r="A662" s="220"/>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c r="AA662" s="220"/>
      <c r="AB662" s="220"/>
      <c r="AC662" s="220"/>
      <c r="AD662" s="220"/>
      <c r="AE662" s="220"/>
      <c r="AF662" s="220"/>
      <c r="AG662" s="220"/>
      <c r="AH662" s="220"/>
      <c r="AI662" s="220"/>
      <c r="AJ662" s="220"/>
      <c r="AK662" s="220"/>
      <c r="AL662" s="220"/>
      <c r="AM662" s="220"/>
      <c r="AN662" s="220"/>
    </row>
    <row r="663" ht="15.75" customHeight="1">
      <c r="A663" s="220"/>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c r="AA663" s="220"/>
      <c r="AB663" s="220"/>
      <c r="AC663" s="220"/>
      <c r="AD663" s="220"/>
      <c r="AE663" s="220"/>
      <c r="AF663" s="220"/>
      <c r="AG663" s="220"/>
      <c r="AH663" s="220"/>
      <c r="AI663" s="220"/>
      <c r="AJ663" s="220"/>
      <c r="AK663" s="220"/>
      <c r="AL663" s="220"/>
      <c r="AM663" s="220"/>
      <c r="AN663" s="220"/>
    </row>
    <row r="664" ht="15.75" customHeight="1">
      <c r="A664" s="220"/>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c r="AA664" s="220"/>
      <c r="AB664" s="220"/>
      <c r="AC664" s="220"/>
      <c r="AD664" s="220"/>
      <c r="AE664" s="220"/>
      <c r="AF664" s="220"/>
      <c r="AG664" s="220"/>
      <c r="AH664" s="220"/>
      <c r="AI664" s="220"/>
      <c r="AJ664" s="220"/>
      <c r="AK664" s="220"/>
      <c r="AL664" s="220"/>
      <c r="AM664" s="220"/>
      <c r="AN664" s="220"/>
    </row>
    <row r="665" ht="15.75" customHeight="1">
      <c r="A665" s="220"/>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c r="AA665" s="220"/>
      <c r="AB665" s="220"/>
      <c r="AC665" s="220"/>
      <c r="AD665" s="220"/>
      <c r="AE665" s="220"/>
      <c r="AF665" s="220"/>
      <c r="AG665" s="220"/>
      <c r="AH665" s="220"/>
      <c r="AI665" s="220"/>
      <c r="AJ665" s="220"/>
      <c r="AK665" s="220"/>
      <c r="AL665" s="220"/>
      <c r="AM665" s="220"/>
      <c r="AN665" s="220"/>
    </row>
    <row r="666" ht="15.75" customHeight="1">
      <c r="A666" s="220"/>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c r="AA666" s="220"/>
      <c r="AB666" s="220"/>
      <c r="AC666" s="220"/>
      <c r="AD666" s="220"/>
      <c r="AE666" s="220"/>
      <c r="AF666" s="220"/>
      <c r="AG666" s="220"/>
      <c r="AH666" s="220"/>
      <c r="AI666" s="220"/>
      <c r="AJ666" s="220"/>
      <c r="AK666" s="220"/>
      <c r="AL666" s="220"/>
      <c r="AM666" s="220"/>
      <c r="AN666" s="220"/>
    </row>
    <row r="667" ht="15.75" customHeight="1">
      <c r="A667" s="220"/>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c r="AA667" s="220"/>
      <c r="AB667" s="220"/>
      <c r="AC667" s="220"/>
      <c r="AD667" s="220"/>
      <c r="AE667" s="220"/>
      <c r="AF667" s="220"/>
      <c r="AG667" s="220"/>
      <c r="AH667" s="220"/>
      <c r="AI667" s="220"/>
      <c r="AJ667" s="220"/>
      <c r="AK667" s="220"/>
      <c r="AL667" s="220"/>
      <c r="AM667" s="220"/>
      <c r="AN667" s="220"/>
    </row>
    <row r="668" ht="15.75" customHeight="1">
      <c r="A668" s="220"/>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c r="AA668" s="220"/>
      <c r="AB668" s="220"/>
      <c r="AC668" s="220"/>
      <c r="AD668" s="220"/>
      <c r="AE668" s="220"/>
      <c r="AF668" s="220"/>
      <c r="AG668" s="220"/>
      <c r="AH668" s="220"/>
      <c r="AI668" s="220"/>
      <c r="AJ668" s="220"/>
      <c r="AK668" s="220"/>
      <c r="AL668" s="220"/>
      <c r="AM668" s="220"/>
      <c r="AN668" s="220"/>
    </row>
    <row r="669" ht="15.75" customHeight="1">
      <c r="A669" s="220"/>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c r="AA669" s="220"/>
      <c r="AB669" s="220"/>
      <c r="AC669" s="220"/>
      <c r="AD669" s="220"/>
      <c r="AE669" s="220"/>
      <c r="AF669" s="220"/>
      <c r="AG669" s="220"/>
      <c r="AH669" s="220"/>
      <c r="AI669" s="220"/>
      <c r="AJ669" s="220"/>
      <c r="AK669" s="220"/>
      <c r="AL669" s="220"/>
      <c r="AM669" s="220"/>
      <c r="AN669" s="220"/>
    </row>
    <row r="670" ht="15.75" customHeight="1">
      <c r="A670" s="220"/>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c r="AA670" s="220"/>
      <c r="AB670" s="220"/>
      <c r="AC670" s="220"/>
      <c r="AD670" s="220"/>
      <c r="AE670" s="220"/>
      <c r="AF670" s="220"/>
      <c r="AG670" s="220"/>
      <c r="AH670" s="220"/>
      <c r="AI670" s="220"/>
      <c r="AJ670" s="220"/>
      <c r="AK670" s="220"/>
      <c r="AL670" s="220"/>
      <c r="AM670" s="220"/>
      <c r="AN670" s="220"/>
    </row>
    <row r="671" ht="15.75" customHeight="1">
      <c r="A671" s="220"/>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c r="AA671" s="220"/>
      <c r="AB671" s="220"/>
      <c r="AC671" s="220"/>
      <c r="AD671" s="220"/>
      <c r="AE671" s="220"/>
      <c r="AF671" s="220"/>
      <c r="AG671" s="220"/>
      <c r="AH671" s="220"/>
      <c r="AI671" s="220"/>
      <c r="AJ671" s="220"/>
      <c r="AK671" s="220"/>
      <c r="AL671" s="220"/>
      <c r="AM671" s="220"/>
      <c r="AN671" s="220"/>
    </row>
    <row r="672" ht="15.75" customHeight="1">
      <c r="A672" s="220"/>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c r="AA672" s="220"/>
      <c r="AB672" s="220"/>
      <c r="AC672" s="220"/>
      <c r="AD672" s="220"/>
      <c r="AE672" s="220"/>
      <c r="AF672" s="220"/>
      <c r="AG672" s="220"/>
      <c r="AH672" s="220"/>
      <c r="AI672" s="220"/>
      <c r="AJ672" s="220"/>
      <c r="AK672" s="220"/>
      <c r="AL672" s="220"/>
      <c r="AM672" s="220"/>
      <c r="AN672" s="220"/>
    </row>
    <row r="673" ht="15.75" customHeight="1">
      <c r="A673" s="220"/>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c r="AA673" s="220"/>
      <c r="AB673" s="220"/>
      <c r="AC673" s="220"/>
      <c r="AD673" s="220"/>
      <c r="AE673" s="220"/>
      <c r="AF673" s="220"/>
      <c r="AG673" s="220"/>
      <c r="AH673" s="220"/>
      <c r="AI673" s="220"/>
      <c r="AJ673" s="220"/>
      <c r="AK673" s="220"/>
      <c r="AL673" s="220"/>
      <c r="AM673" s="220"/>
      <c r="AN673" s="220"/>
    </row>
    <row r="674" ht="15.75" customHeight="1">
      <c r="A674" s="220"/>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c r="AA674" s="220"/>
      <c r="AB674" s="220"/>
      <c r="AC674" s="220"/>
      <c r="AD674" s="220"/>
      <c r="AE674" s="220"/>
      <c r="AF674" s="220"/>
      <c r="AG674" s="220"/>
      <c r="AH674" s="220"/>
      <c r="AI674" s="220"/>
      <c r="AJ674" s="220"/>
      <c r="AK674" s="220"/>
      <c r="AL674" s="220"/>
      <c r="AM674" s="220"/>
      <c r="AN674" s="220"/>
    </row>
    <row r="675" ht="15.75" customHeight="1">
      <c r="A675" s="220"/>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c r="AA675" s="220"/>
      <c r="AB675" s="220"/>
      <c r="AC675" s="220"/>
      <c r="AD675" s="220"/>
      <c r="AE675" s="220"/>
      <c r="AF675" s="220"/>
      <c r="AG675" s="220"/>
      <c r="AH675" s="220"/>
      <c r="AI675" s="220"/>
      <c r="AJ675" s="220"/>
      <c r="AK675" s="220"/>
      <c r="AL675" s="220"/>
      <c r="AM675" s="220"/>
      <c r="AN675" s="220"/>
    </row>
    <row r="676" ht="15.75" customHeight="1">
      <c r="A676" s="220"/>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c r="AA676" s="220"/>
      <c r="AB676" s="220"/>
      <c r="AC676" s="220"/>
      <c r="AD676" s="220"/>
      <c r="AE676" s="220"/>
      <c r="AF676" s="220"/>
      <c r="AG676" s="220"/>
      <c r="AH676" s="220"/>
      <c r="AI676" s="220"/>
      <c r="AJ676" s="220"/>
      <c r="AK676" s="220"/>
      <c r="AL676" s="220"/>
      <c r="AM676" s="220"/>
      <c r="AN676" s="220"/>
    </row>
    <row r="677" ht="15.75" customHeight="1">
      <c r="A677" s="220"/>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c r="AA677" s="220"/>
      <c r="AB677" s="220"/>
      <c r="AC677" s="220"/>
      <c r="AD677" s="220"/>
      <c r="AE677" s="220"/>
      <c r="AF677" s="220"/>
      <c r="AG677" s="220"/>
      <c r="AH677" s="220"/>
      <c r="AI677" s="220"/>
      <c r="AJ677" s="220"/>
      <c r="AK677" s="220"/>
      <c r="AL677" s="220"/>
      <c r="AM677" s="220"/>
      <c r="AN677" s="220"/>
    </row>
    <row r="678" ht="15.75" customHeight="1">
      <c r="A678" s="220"/>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c r="AA678" s="220"/>
      <c r="AB678" s="220"/>
      <c r="AC678" s="220"/>
      <c r="AD678" s="220"/>
      <c r="AE678" s="220"/>
      <c r="AF678" s="220"/>
      <c r="AG678" s="220"/>
      <c r="AH678" s="220"/>
      <c r="AI678" s="220"/>
      <c r="AJ678" s="220"/>
      <c r="AK678" s="220"/>
      <c r="AL678" s="220"/>
      <c r="AM678" s="220"/>
      <c r="AN678" s="220"/>
    </row>
    <row r="679" ht="15.75" customHeight="1">
      <c r="A679" s="220"/>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c r="AA679" s="220"/>
      <c r="AB679" s="220"/>
      <c r="AC679" s="220"/>
      <c r="AD679" s="220"/>
      <c r="AE679" s="220"/>
      <c r="AF679" s="220"/>
      <c r="AG679" s="220"/>
      <c r="AH679" s="220"/>
      <c r="AI679" s="220"/>
      <c r="AJ679" s="220"/>
      <c r="AK679" s="220"/>
      <c r="AL679" s="220"/>
      <c r="AM679" s="220"/>
      <c r="AN679" s="220"/>
    </row>
    <row r="680" ht="15.75" customHeight="1">
      <c r="A680" s="220"/>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c r="AA680" s="220"/>
      <c r="AB680" s="220"/>
      <c r="AC680" s="220"/>
      <c r="AD680" s="220"/>
      <c r="AE680" s="220"/>
      <c r="AF680" s="220"/>
      <c r="AG680" s="220"/>
      <c r="AH680" s="220"/>
      <c r="AI680" s="220"/>
      <c r="AJ680" s="220"/>
      <c r="AK680" s="220"/>
      <c r="AL680" s="220"/>
      <c r="AM680" s="220"/>
      <c r="AN680" s="220"/>
    </row>
    <row r="681" ht="15.75" customHeight="1">
      <c r="A681" s="220"/>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c r="AA681" s="220"/>
      <c r="AB681" s="220"/>
      <c r="AC681" s="220"/>
      <c r="AD681" s="220"/>
      <c r="AE681" s="220"/>
      <c r="AF681" s="220"/>
      <c r="AG681" s="220"/>
      <c r="AH681" s="220"/>
      <c r="AI681" s="220"/>
      <c r="AJ681" s="220"/>
      <c r="AK681" s="220"/>
      <c r="AL681" s="220"/>
      <c r="AM681" s="220"/>
      <c r="AN681" s="220"/>
    </row>
    <row r="682" ht="15.75" customHeight="1">
      <c r="A682" s="220"/>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c r="AA682" s="220"/>
      <c r="AB682" s="220"/>
      <c r="AC682" s="220"/>
      <c r="AD682" s="220"/>
      <c r="AE682" s="220"/>
      <c r="AF682" s="220"/>
      <c r="AG682" s="220"/>
      <c r="AH682" s="220"/>
      <c r="AI682" s="220"/>
      <c r="AJ682" s="220"/>
      <c r="AK682" s="220"/>
      <c r="AL682" s="220"/>
      <c r="AM682" s="220"/>
      <c r="AN682" s="220"/>
    </row>
    <row r="683" ht="15.75" customHeight="1">
      <c r="A683" s="220"/>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220"/>
      <c r="AM683" s="220"/>
      <c r="AN683" s="220"/>
    </row>
    <row r="684" ht="15.75" customHeight="1">
      <c r="A684" s="220"/>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c r="AA684" s="220"/>
      <c r="AB684" s="220"/>
      <c r="AC684" s="220"/>
      <c r="AD684" s="220"/>
      <c r="AE684" s="220"/>
      <c r="AF684" s="220"/>
      <c r="AG684" s="220"/>
      <c r="AH684" s="220"/>
      <c r="AI684" s="220"/>
      <c r="AJ684" s="220"/>
      <c r="AK684" s="220"/>
      <c r="AL684" s="220"/>
      <c r="AM684" s="220"/>
      <c r="AN684" s="220"/>
    </row>
    <row r="685" ht="15.75" customHeight="1">
      <c r="A685" s="220"/>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c r="AA685" s="220"/>
      <c r="AB685" s="220"/>
      <c r="AC685" s="220"/>
      <c r="AD685" s="220"/>
      <c r="AE685" s="220"/>
      <c r="AF685" s="220"/>
      <c r="AG685" s="220"/>
      <c r="AH685" s="220"/>
      <c r="AI685" s="220"/>
      <c r="AJ685" s="220"/>
      <c r="AK685" s="220"/>
      <c r="AL685" s="220"/>
      <c r="AM685" s="220"/>
      <c r="AN685" s="220"/>
    </row>
    <row r="686" ht="15.75" customHeight="1">
      <c r="A686" s="220"/>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c r="AA686" s="220"/>
      <c r="AB686" s="220"/>
      <c r="AC686" s="220"/>
      <c r="AD686" s="220"/>
      <c r="AE686" s="220"/>
      <c r="AF686" s="220"/>
      <c r="AG686" s="220"/>
      <c r="AH686" s="220"/>
      <c r="AI686" s="220"/>
      <c r="AJ686" s="220"/>
      <c r="AK686" s="220"/>
      <c r="AL686" s="220"/>
      <c r="AM686" s="220"/>
      <c r="AN686" s="220"/>
    </row>
    <row r="687" ht="15.75" customHeight="1">
      <c r="A687" s="220"/>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c r="AA687" s="220"/>
      <c r="AB687" s="220"/>
      <c r="AC687" s="220"/>
      <c r="AD687" s="220"/>
      <c r="AE687" s="220"/>
      <c r="AF687" s="220"/>
      <c r="AG687" s="220"/>
      <c r="AH687" s="220"/>
      <c r="AI687" s="220"/>
      <c r="AJ687" s="220"/>
      <c r="AK687" s="220"/>
      <c r="AL687" s="220"/>
      <c r="AM687" s="220"/>
      <c r="AN687" s="220"/>
    </row>
    <row r="688" ht="15.75" customHeight="1">
      <c r="A688" s="220"/>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c r="AA688" s="220"/>
      <c r="AB688" s="220"/>
      <c r="AC688" s="220"/>
      <c r="AD688" s="220"/>
      <c r="AE688" s="220"/>
      <c r="AF688" s="220"/>
      <c r="AG688" s="220"/>
      <c r="AH688" s="220"/>
      <c r="AI688" s="220"/>
      <c r="AJ688" s="220"/>
      <c r="AK688" s="220"/>
      <c r="AL688" s="220"/>
      <c r="AM688" s="220"/>
      <c r="AN688" s="220"/>
    </row>
    <row r="689" ht="15.75" customHeight="1">
      <c r="A689" s="220"/>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c r="AA689" s="220"/>
      <c r="AB689" s="220"/>
      <c r="AC689" s="220"/>
      <c r="AD689" s="220"/>
      <c r="AE689" s="220"/>
      <c r="AF689" s="220"/>
      <c r="AG689" s="220"/>
      <c r="AH689" s="220"/>
      <c r="AI689" s="220"/>
      <c r="AJ689" s="220"/>
      <c r="AK689" s="220"/>
      <c r="AL689" s="220"/>
      <c r="AM689" s="220"/>
      <c r="AN689" s="220"/>
    </row>
    <row r="690" ht="15.75" customHeight="1">
      <c r="A690" s="220"/>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c r="AA690" s="220"/>
      <c r="AB690" s="220"/>
      <c r="AC690" s="220"/>
      <c r="AD690" s="220"/>
      <c r="AE690" s="220"/>
      <c r="AF690" s="220"/>
      <c r="AG690" s="220"/>
      <c r="AH690" s="220"/>
      <c r="AI690" s="220"/>
      <c r="AJ690" s="220"/>
      <c r="AK690" s="220"/>
      <c r="AL690" s="220"/>
      <c r="AM690" s="220"/>
      <c r="AN690" s="220"/>
    </row>
    <row r="691" ht="15.75" customHeight="1">
      <c r="A691" s="220"/>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c r="AA691" s="220"/>
      <c r="AB691" s="220"/>
      <c r="AC691" s="220"/>
      <c r="AD691" s="220"/>
      <c r="AE691" s="220"/>
      <c r="AF691" s="220"/>
      <c r="AG691" s="220"/>
      <c r="AH691" s="220"/>
      <c r="AI691" s="220"/>
      <c r="AJ691" s="220"/>
      <c r="AK691" s="220"/>
      <c r="AL691" s="220"/>
      <c r="AM691" s="220"/>
      <c r="AN691" s="220"/>
    </row>
    <row r="692" ht="15.75" customHeight="1">
      <c r="A692" s="220"/>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c r="AA692" s="220"/>
      <c r="AB692" s="220"/>
      <c r="AC692" s="220"/>
      <c r="AD692" s="220"/>
      <c r="AE692" s="220"/>
      <c r="AF692" s="220"/>
      <c r="AG692" s="220"/>
      <c r="AH692" s="220"/>
      <c r="AI692" s="220"/>
      <c r="AJ692" s="220"/>
      <c r="AK692" s="220"/>
      <c r="AL692" s="220"/>
      <c r="AM692" s="220"/>
      <c r="AN692" s="220"/>
    </row>
    <row r="693" ht="15.75" customHeight="1">
      <c r="A693" s="220"/>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c r="AA693" s="220"/>
      <c r="AB693" s="220"/>
      <c r="AC693" s="220"/>
      <c r="AD693" s="220"/>
      <c r="AE693" s="220"/>
      <c r="AF693" s="220"/>
      <c r="AG693" s="220"/>
      <c r="AH693" s="220"/>
      <c r="AI693" s="220"/>
      <c r="AJ693" s="220"/>
      <c r="AK693" s="220"/>
      <c r="AL693" s="220"/>
      <c r="AM693" s="220"/>
      <c r="AN693" s="220"/>
    </row>
    <row r="694" ht="15.75" customHeight="1">
      <c r="A694" s="220"/>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c r="AA694" s="220"/>
      <c r="AB694" s="220"/>
      <c r="AC694" s="220"/>
      <c r="AD694" s="220"/>
      <c r="AE694" s="220"/>
      <c r="AF694" s="220"/>
      <c r="AG694" s="220"/>
      <c r="AH694" s="220"/>
      <c r="AI694" s="220"/>
      <c r="AJ694" s="220"/>
      <c r="AK694" s="220"/>
      <c r="AL694" s="220"/>
      <c r="AM694" s="220"/>
      <c r="AN694" s="220"/>
    </row>
    <row r="695" ht="15.75" customHeight="1">
      <c r="A695" s="220"/>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c r="AA695" s="220"/>
      <c r="AB695" s="220"/>
      <c r="AC695" s="220"/>
      <c r="AD695" s="220"/>
      <c r="AE695" s="220"/>
      <c r="AF695" s="220"/>
      <c r="AG695" s="220"/>
      <c r="AH695" s="220"/>
      <c r="AI695" s="220"/>
      <c r="AJ695" s="220"/>
      <c r="AK695" s="220"/>
      <c r="AL695" s="220"/>
      <c r="AM695" s="220"/>
      <c r="AN695" s="220"/>
    </row>
    <row r="696" ht="15.75" customHeight="1">
      <c r="A696" s="220"/>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c r="AA696" s="220"/>
      <c r="AB696" s="220"/>
      <c r="AC696" s="220"/>
      <c r="AD696" s="220"/>
      <c r="AE696" s="220"/>
      <c r="AF696" s="220"/>
      <c r="AG696" s="220"/>
      <c r="AH696" s="220"/>
      <c r="AI696" s="220"/>
      <c r="AJ696" s="220"/>
      <c r="AK696" s="220"/>
      <c r="AL696" s="220"/>
      <c r="AM696" s="220"/>
      <c r="AN696" s="220"/>
    </row>
    <row r="697" ht="15.75" customHeight="1">
      <c r="A697" s="220"/>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c r="AA697" s="220"/>
      <c r="AB697" s="220"/>
      <c r="AC697" s="220"/>
      <c r="AD697" s="220"/>
      <c r="AE697" s="220"/>
      <c r="AF697" s="220"/>
      <c r="AG697" s="220"/>
      <c r="AH697" s="220"/>
      <c r="AI697" s="220"/>
      <c r="AJ697" s="220"/>
      <c r="AK697" s="220"/>
      <c r="AL697" s="220"/>
      <c r="AM697" s="220"/>
      <c r="AN697" s="220"/>
    </row>
    <row r="698" ht="15.75" customHeight="1">
      <c r="A698" s="220"/>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c r="AA698" s="220"/>
      <c r="AB698" s="220"/>
      <c r="AC698" s="220"/>
      <c r="AD698" s="220"/>
      <c r="AE698" s="220"/>
      <c r="AF698" s="220"/>
      <c r="AG698" s="220"/>
      <c r="AH698" s="220"/>
      <c r="AI698" s="220"/>
      <c r="AJ698" s="220"/>
      <c r="AK698" s="220"/>
      <c r="AL698" s="220"/>
      <c r="AM698" s="220"/>
      <c r="AN698" s="220"/>
    </row>
    <row r="699" ht="15.75" customHeight="1">
      <c r="A699" s="220"/>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c r="AA699" s="220"/>
      <c r="AB699" s="220"/>
      <c r="AC699" s="220"/>
      <c r="AD699" s="220"/>
      <c r="AE699" s="220"/>
      <c r="AF699" s="220"/>
      <c r="AG699" s="220"/>
      <c r="AH699" s="220"/>
      <c r="AI699" s="220"/>
      <c r="AJ699" s="220"/>
      <c r="AK699" s="220"/>
      <c r="AL699" s="220"/>
      <c r="AM699" s="220"/>
      <c r="AN699" s="220"/>
    </row>
    <row r="700" ht="15.75" customHeight="1">
      <c r="A700" s="220"/>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c r="AA700" s="220"/>
      <c r="AB700" s="220"/>
      <c r="AC700" s="220"/>
      <c r="AD700" s="220"/>
      <c r="AE700" s="220"/>
      <c r="AF700" s="220"/>
      <c r="AG700" s="220"/>
      <c r="AH700" s="220"/>
      <c r="AI700" s="220"/>
      <c r="AJ700" s="220"/>
      <c r="AK700" s="220"/>
      <c r="AL700" s="220"/>
      <c r="AM700" s="220"/>
      <c r="AN700" s="220"/>
    </row>
    <row r="701" ht="15.75" customHeight="1">
      <c r="A701" s="220"/>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c r="AA701" s="220"/>
      <c r="AB701" s="220"/>
      <c r="AC701" s="220"/>
      <c r="AD701" s="220"/>
      <c r="AE701" s="220"/>
      <c r="AF701" s="220"/>
      <c r="AG701" s="220"/>
      <c r="AH701" s="220"/>
      <c r="AI701" s="220"/>
      <c r="AJ701" s="220"/>
      <c r="AK701" s="220"/>
      <c r="AL701" s="220"/>
      <c r="AM701" s="220"/>
      <c r="AN701" s="220"/>
    </row>
    <row r="702" ht="15.75" customHeight="1">
      <c r="A702" s="220"/>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c r="AA702" s="220"/>
      <c r="AB702" s="220"/>
      <c r="AC702" s="220"/>
      <c r="AD702" s="220"/>
      <c r="AE702" s="220"/>
      <c r="AF702" s="220"/>
      <c r="AG702" s="220"/>
      <c r="AH702" s="220"/>
      <c r="AI702" s="220"/>
      <c r="AJ702" s="220"/>
      <c r="AK702" s="220"/>
      <c r="AL702" s="220"/>
      <c r="AM702" s="220"/>
      <c r="AN702" s="220"/>
    </row>
    <row r="703" ht="15.75" customHeight="1">
      <c r="A703" s="220"/>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c r="AA703" s="220"/>
      <c r="AB703" s="220"/>
      <c r="AC703" s="220"/>
      <c r="AD703" s="220"/>
      <c r="AE703" s="220"/>
      <c r="AF703" s="220"/>
      <c r="AG703" s="220"/>
      <c r="AH703" s="220"/>
      <c r="AI703" s="220"/>
      <c r="AJ703" s="220"/>
      <c r="AK703" s="220"/>
      <c r="AL703" s="220"/>
      <c r="AM703" s="220"/>
      <c r="AN703" s="220"/>
    </row>
    <row r="704" ht="15.75" customHeight="1">
      <c r="A704" s="220"/>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c r="AA704" s="220"/>
      <c r="AB704" s="220"/>
      <c r="AC704" s="220"/>
      <c r="AD704" s="220"/>
      <c r="AE704" s="220"/>
      <c r="AF704" s="220"/>
      <c r="AG704" s="220"/>
      <c r="AH704" s="220"/>
      <c r="AI704" s="220"/>
      <c r="AJ704" s="220"/>
      <c r="AK704" s="220"/>
      <c r="AL704" s="220"/>
      <c r="AM704" s="220"/>
      <c r="AN704" s="220"/>
    </row>
    <row r="705" ht="15.75" customHeight="1">
      <c r="A705" s="220"/>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c r="AA705" s="220"/>
      <c r="AB705" s="220"/>
      <c r="AC705" s="220"/>
      <c r="AD705" s="220"/>
      <c r="AE705" s="220"/>
      <c r="AF705" s="220"/>
      <c r="AG705" s="220"/>
      <c r="AH705" s="220"/>
      <c r="AI705" s="220"/>
      <c r="AJ705" s="220"/>
      <c r="AK705" s="220"/>
      <c r="AL705" s="220"/>
      <c r="AM705" s="220"/>
      <c r="AN705" s="220"/>
    </row>
    <row r="706" ht="15.75" customHeight="1">
      <c r="A706" s="220"/>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c r="AA706" s="220"/>
      <c r="AB706" s="220"/>
      <c r="AC706" s="220"/>
      <c r="AD706" s="220"/>
      <c r="AE706" s="220"/>
      <c r="AF706" s="220"/>
      <c r="AG706" s="220"/>
      <c r="AH706" s="220"/>
      <c r="AI706" s="220"/>
      <c r="AJ706" s="220"/>
      <c r="AK706" s="220"/>
      <c r="AL706" s="220"/>
      <c r="AM706" s="220"/>
      <c r="AN706" s="220"/>
    </row>
    <row r="707" ht="15.75" customHeight="1">
      <c r="A707" s="220"/>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c r="AA707" s="220"/>
      <c r="AB707" s="220"/>
      <c r="AC707" s="220"/>
      <c r="AD707" s="220"/>
      <c r="AE707" s="220"/>
      <c r="AF707" s="220"/>
      <c r="AG707" s="220"/>
      <c r="AH707" s="220"/>
      <c r="AI707" s="220"/>
      <c r="AJ707" s="220"/>
      <c r="AK707" s="220"/>
      <c r="AL707" s="220"/>
      <c r="AM707" s="220"/>
      <c r="AN707" s="220"/>
    </row>
    <row r="708" ht="15.75" customHeight="1">
      <c r="A708" s="220"/>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c r="AA708" s="220"/>
      <c r="AB708" s="220"/>
      <c r="AC708" s="220"/>
      <c r="AD708" s="220"/>
      <c r="AE708" s="220"/>
      <c r="AF708" s="220"/>
      <c r="AG708" s="220"/>
      <c r="AH708" s="220"/>
      <c r="AI708" s="220"/>
      <c r="AJ708" s="220"/>
      <c r="AK708" s="220"/>
      <c r="AL708" s="220"/>
      <c r="AM708" s="220"/>
      <c r="AN708" s="220"/>
    </row>
    <row r="709" ht="15.75" customHeight="1">
      <c r="A709" s="220"/>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c r="AA709" s="220"/>
      <c r="AB709" s="220"/>
      <c r="AC709" s="220"/>
      <c r="AD709" s="220"/>
      <c r="AE709" s="220"/>
      <c r="AF709" s="220"/>
      <c r="AG709" s="220"/>
      <c r="AH709" s="220"/>
      <c r="AI709" s="220"/>
      <c r="AJ709" s="220"/>
      <c r="AK709" s="220"/>
      <c r="AL709" s="220"/>
      <c r="AM709" s="220"/>
      <c r="AN709" s="220"/>
    </row>
    <row r="710" ht="15.75" customHeight="1">
      <c r="A710" s="220"/>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c r="AA710" s="220"/>
      <c r="AB710" s="220"/>
      <c r="AC710" s="220"/>
      <c r="AD710" s="220"/>
      <c r="AE710" s="220"/>
      <c r="AF710" s="220"/>
      <c r="AG710" s="220"/>
      <c r="AH710" s="220"/>
      <c r="AI710" s="220"/>
      <c r="AJ710" s="220"/>
      <c r="AK710" s="220"/>
      <c r="AL710" s="220"/>
      <c r="AM710" s="220"/>
      <c r="AN710" s="220"/>
    </row>
    <row r="711" ht="15.75" customHeight="1">
      <c r="A711" s="220"/>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c r="AA711" s="220"/>
      <c r="AB711" s="220"/>
      <c r="AC711" s="220"/>
      <c r="AD711" s="220"/>
      <c r="AE711" s="220"/>
      <c r="AF711" s="220"/>
      <c r="AG711" s="220"/>
      <c r="AH711" s="220"/>
      <c r="AI711" s="220"/>
      <c r="AJ711" s="220"/>
      <c r="AK711" s="220"/>
      <c r="AL711" s="220"/>
      <c r="AM711" s="220"/>
      <c r="AN711" s="220"/>
    </row>
    <row r="712" ht="15.75" customHeight="1">
      <c r="A712" s="220"/>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c r="AA712" s="220"/>
      <c r="AB712" s="220"/>
      <c r="AC712" s="220"/>
      <c r="AD712" s="220"/>
      <c r="AE712" s="220"/>
      <c r="AF712" s="220"/>
      <c r="AG712" s="220"/>
      <c r="AH712" s="220"/>
      <c r="AI712" s="220"/>
      <c r="AJ712" s="220"/>
      <c r="AK712" s="220"/>
      <c r="AL712" s="220"/>
      <c r="AM712" s="220"/>
      <c r="AN712" s="220"/>
    </row>
    <row r="713" ht="15.75" customHeight="1">
      <c r="A713" s="220"/>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c r="AA713" s="220"/>
      <c r="AB713" s="220"/>
      <c r="AC713" s="220"/>
      <c r="AD713" s="220"/>
      <c r="AE713" s="220"/>
      <c r="AF713" s="220"/>
      <c r="AG713" s="220"/>
      <c r="AH713" s="220"/>
      <c r="AI713" s="220"/>
      <c r="AJ713" s="220"/>
      <c r="AK713" s="220"/>
      <c r="AL713" s="220"/>
      <c r="AM713" s="220"/>
      <c r="AN713" s="220"/>
    </row>
    <row r="714" ht="15.75" customHeight="1">
      <c r="A714" s="220"/>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c r="AA714" s="220"/>
      <c r="AB714" s="220"/>
      <c r="AC714" s="220"/>
      <c r="AD714" s="220"/>
      <c r="AE714" s="220"/>
      <c r="AF714" s="220"/>
      <c r="AG714" s="220"/>
      <c r="AH714" s="220"/>
      <c r="AI714" s="220"/>
      <c r="AJ714" s="220"/>
      <c r="AK714" s="220"/>
      <c r="AL714" s="220"/>
      <c r="AM714" s="220"/>
      <c r="AN714" s="220"/>
    </row>
    <row r="715" ht="15.75" customHeight="1">
      <c r="A715" s="220"/>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c r="AA715" s="220"/>
      <c r="AB715" s="220"/>
      <c r="AC715" s="220"/>
      <c r="AD715" s="220"/>
      <c r="AE715" s="220"/>
      <c r="AF715" s="220"/>
      <c r="AG715" s="220"/>
      <c r="AH715" s="220"/>
      <c r="AI715" s="220"/>
      <c r="AJ715" s="220"/>
      <c r="AK715" s="220"/>
      <c r="AL715" s="220"/>
      <c r="AM715" s="220"/>
      <c r="AN715" s="220"/>
    </row>
    <row r="716" ht="15.75" customHeight="1">
      <c r="A716" s="220"/>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c r="AA716" s="220"/>
      <c r="AB716" s="220"/>
      <c r="AC716" s="220"/>
      <c r="AD716" s="220"/>
      <c r="AE716" s="220"/>
      <c r="AF716" s="220"/>
      <c r="AG716" s="220"/>
      <c r="AH716" s="220"/>
      <c r="AI716" s="220"/>
      <c r="AJ716" s="220"/>
      <c r="AK716" s="220"/>
      <c r="AL716" s="220"/>
      <c r="AM716" s="220"/>
      <c r="AN716" s="220"/>
    </row>
    <row r="717" ht="15.75" customHeight="1">
      <c r="A717" s="220"/>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c r="AA717" s="220"/>
      <c r="AB717" s="220"/>
      <c r="AC717" s="220"/>
      <c r="AD717" s="220"/>
      <c r="AE717" s="220"/>
      <c r="AF717" s="220"/>
      <c r="AG717" s="220"/>
      <c r="AH717" s="220"/>
      <c r="AI717" s="220"/>
      <c r="AJ717" s="220"/>
      <c r="AK717" s="220"/>
      <c r="AL717" s="220"/>
      <c r="AM717" s="220"/>
      <c r="AN717" s="220"/>
    </row>
    <row r="718" ht="15.75" customHeight="1">
      <c r="A718" s="220"/>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c r="AA718" s="220"/>
      <c r="AB718" s="220"/>
      <c r="AC718" s="220"/>
      <c r="AD718" s="220"/>
      <c r="AE718" s="220"/>
      <c r="AF718" s="220"/>
      <c r="AG718" s="220"/>
      <c r="AH718" s="220"/>
      <c r="AI718" s="220"/>
      <c r="AJ718" s="220"/>
      <c r="AK718" s="220"/>
      <c r="AL718" s="220"/>
      <c r="AM718" s="220"/>
      <c r="AN718" s="220"/>
    </row>
    <row r="719" ht="15.75" customHeight="1">
      <c r="A719" s="220"/>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c r="AA719" s="220"/>
      <c r="AB719" s="220"/>
      <c r="AC719" s="220"/>
      <c r="AD719" s="220"/>
      <c r="AE719" s="220"/>
      <c r="AF719" s="220"/>
      <c r="AG719" s="220"/>
      <c r="AH719" s="220"/>
      <c r="AI719" s="220"/>
      <c r="AJ719" s="220"/>
      <c r="AK719" s="220"/>
      <c r="AL719" s="220"/>
      <c r="AM719" s="220"/>
      <c r="AN719" s="220"/>
    </row>
    <row r="720" ht="15.75" customHeight="1">
      <c r="A720" s="220"/>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c r="AA720" s="220"/>
      <c r="AB720" s="220"/>
      <c r="AC720" s="220"/>
      <c r="AD720" s="220"/>
      <c r="AE720" s="220"/>
      <c r="AF720" s="220"/>
      <c r="AG720" s="220"/>
      <c r="AH720" s="220"/>
      <c r="AI720" s="220"/>
      <c r="AJ720" s="220"/>
      <c r="AK720" s="220"/>
      <c r="AL720" s="220"/>
      <c r="AM720" s="220"/>
      <c r="AN720" s="220"/>
    </row>
    <row r="721" ht="15.75" customHeight="1">
      <c r="A721" s="220"/>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c r="AA721" s="220"/>
      <c r="AB721" s="220"/>
      <c r="AC721" s="220"/>
      <c r="AD721" s="220"/>
      <c r="AE721" s="220"/>
      <c r="AF721" s="220"/>
      <c r="AG721" s="220"/>
      <c r="AH721" s="220"/>
      <c r="AI721" s="220"/>
      <c r="AJ721" s="220"/>
      <c r="AK721" s="220"/>
      <c r="AL721" s="220"/>
      <c r="AM721" s="220"/>
      <c r="AN721" s="220"/>
    </row>
    <row r="722" ht="15.75" customHeight="1">
      <c r="A722" s="220"/>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c r="AA722" s="220"/>
      <c r="AB722" s="220"/>
      <c r="AC722" s="220"/>
      <c r="AD722" s="220"/>
      <c r="AE722" s="220"/>
      <c r="AF722" s="220"/>
      <c r="AG722" s="220"/>
      <c r="AH722" s="220"/>
      <c r="AI722" s="220"/>
      <c r="AJ722" s="220"/>
      <c r="AK722" s="220"/>
      <c r="AL722" s="220"/>
      <c r="AM722" s="220"/>
      <c r="AN722" s="220"/>
    </row>
    <row r="723" ht="15.75" customHeight="1">
      <c r="A723" s="220"/>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c r="AA723" s="220"/>
      <c r="AB723" s="220"/>
      <c r="AC723" s="220"/>
      <c r="AD723" s="220"/>
      <c r="AE723" s="220"/>
      <c r="AF723" s="220"/>
      <c r="AG723" s="220"/>
      <c r="AH723" s="220"/>
      <c r="AI723" s="220"/>
      <c r="AJ723" s="220"/>
      <c r="AK723" s="220"/>
      <c r="AL723" s="220"/>
      <c r="AM723" s="220"/>
      <c r="AN723" s="220"/>
    </row>
    <row r="724" ht="15.75" customHeight="1">
      <c r="A724" s="220"/>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c r="AA724" s="220"/>
      <c r="AB724" s="220"/>
      <c r="AC724" s="220"/>
      <c r="AD724" s="220"/>
      <c r="AE724" s="220"/>
      <c r="AF724" s="220"/>
      <c r="AG724" s="220"/>
      <c r="AH724" s="220"/>
      <c r="AI724" s="220"/>
      <c r="AJ724" s="220"/>
      <c r="AK724" s="220"/>
      <c r="AL724" s="220"/>
      <c r="AM724" s="220"/>
      <c r="AN724" s="220"/>
    </row>
    <row r="725" ht="15.75" customHeight="1">
      <c r="A725" s="220"/>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c r="AA725" s="220"/>
      <c r="AB725" s="220"/>
      <c r="AC725" s="220"/>
      <c r="AD725" s="220"/>
      <c r="AE725" s="220"/>
      <c r="AF725" s="220"/>
      <c r="AG725" s="220"/>
      <c r="AH725" s="220"/>
      <c r="AI725" s="220"/>
      <c r="AJ725" s="220"/>
      <c r="AK725" s="220"/>
      <c r="AL725" s="220"/>
      <c r="AM725" s="220"/>
      <c r="AN725" s="220"/>
    </row>
    <row r="726" ht="15.75" customHeight="1">
      <c r="A726" s="220"/>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c r="AA726" s="220"/>
      <c r="AB726" s="220"/>
      <c r="AC726" s="220"/>
      <c r="AD726" s="220"/>
      <c r="AE726" s="220"/>
      <c r="AF726" s="220"/>
      <c r="AG726" s="220"/>
      <c r="AH726" s="220"/>
      <c r="AI726" s="220"/>
      <c r="AJ726" s="220"/>
      <c r="AK726" s="220"/>
      <c r="AL726" s="220"/>
      <c r="AM726" s="220"/>
      <c r="AN726" s="220"/>
    </row>
    <row r="727" ht="15.75" customHeight="1">
      <c r="A727" s="220"/>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c r="AA727" s="220"/>
      <c r="AB727" s="220"/>
      <c r="AC727" s="220"/>
      <c r="AD727" s="220"/>
      <c r="AE727" s="220"/>
      <c r="AF727" s="220"/>
      <c r="AG727" s="220"/>
      <c r="AH727" s="220"/>
      <c r="AI727" s="220"/>
      <c r="AJ727" s="220"/>
      <c r="AK727" s="220"/>
      <c r="AL727" s="220"/>
      <c r="AM727" s="220"/>
      <c r="AN727" s="220"/>
    </row>
    <row r="728" ht="15.75" customHeight="1">
      <c r="A728" s="220"/>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row>
    <row r="729" ht="15.75" customHeight="1">
      <c r="A729" s="220"/>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c r="AA729" s="220"/>
      <c r="AB729" s="220"/>
      <c r="AC729" s="220"/>
      <c r="AD729" s="220"/>
      <c r="AE729" s="220"/>
      <c r="AF729" s="220"/>
      <c r="AG729" s="220"/>
      <c r="AH729" s="220"/>
      <c r="AI729" s="220"/>
      <c r="AJ729" s="220"/>
      <c r="AK729" s="220"/>
      <c r="AL729" s="220"/>
      <c r="AM729" s="220"/>
      <c r="AN729" s="220"/>
    </row>
    <row r="730" ht="15.75" customHeight="1">
      <c r="A730" s="220"/>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c r="AA730" s="220"/>
      <c r="AB730" s="220"/>
      <c r="AC730" s="220"/>
      <c r="AD730" s="220"/>
      <c r="AE730" s="220"/>
      <c r="AF730" s="220"/>
      <c r="AG730" s="220"/>
      <c r="AH730" s="220"/>
      <c r="AI730" s="220"/>
      <c r="AJ730" s="220"/>
      <c r="AK730" s="220"/>
      <c r="AL730" s="220"/>
      <c r="AM730" s="220"/>
      <c r="AN730" s="220"/>
    </row>
    <row r="731" ht="15.75" customHeight="1">
      <c r="A731" s="220"/>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c r="AA731" s="220"/>
      <c r="AB731" s="220"/>
      <c r="AC731" s="220"/>
      <c r="AD731" s="220"/>
      <c r="AE731" s="220"/>
      <c r="AF731" s="220"/>
      <c r="AG731" s="220"/>
      <c r="AH731" s="220"/>
      <c r="AI731" s="220"/>
      <c r="AJ731" s="220"/>
      <c r="AK731" s="220"/>
      <c r="AL731" s="220"/>
      <c r="AM731" s="220"/>
      <c r="AN731" s="220"/>
    </row>
    <row r="732" ht="15.75" customHeight="1">
      <c r="A732" s="220"/>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c r="AA732" s="220"/>
      <c r="AB732" s="220"/>
      <c r="AC732" s="220"/>
      <c r="AD732" s="220"/>
      <c r="AE732" s="220"/>
      <c r="AF732" s="220"/>
      <c r="AG732" s="220"/>
      <c r="AH732" s="220"/>
      <c r="AI732" s="220"/>
      <c r="AJ732" s="220"/>
      <c r="AK732" s="220"/>
      <c r="AL732" s="220"/>
      <c r="AM732" s="220"/>
      <c r="AN732" s="220"/>
    </row>
    <row r="733" ht="15.75" customHeight="1">
      <c r="A733" s="220"/>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c r="AA733" s="220"/>
      <c r="AB733" s="220"/>
      <c r="AC733" s="220"/>
      <c r="AD733" s="220"/>
      <c r="AE733" s="220"/>
      <c r="AF733" s="220"/>
      <c r="AG733" s="220"/>
      <c r="AH733" s="220"/>
      <c r="AI733" s="220"/>
      <c r="AJ733" s="220"/>
      <c r="AK733" s="220"/>
      <c r="AL733" s="220"/>
      <c r="AM733" s="220"/>
      <c r="AN733" s="220"/>
    </row>
    <row r="734" ht="15.75" customHeight="1">
      <c r="A734" s="220"/>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c r="AA734" s="220"/>
      <c r="AB734" s="220"/>
      <c r="AC734" s="220"/>
      <c r="AD734" s="220"/>
      <c r="AE734" s="220"/>
      <c r="AF734" s="220"/>
      <c r="AG734" s="220"/>
      <c r="AH734" s="220"/>
      <c r="AI734" s="220"/>
      <c r="AJ734" s="220"/>
      <c r="AK734" s="220"/>
      <c r="AL734" s="220"/>
      <c r="AM734" s="220"/>
      <c r="AN734" s="220"/>
    </row>
    <row r="735" ht="15.75" customHeight="1">
      <c r="A735" s="220"/>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c r="AA735" s="220"/>
      <c r="AB735" s="220"/>
      <c r="AC735" s="220"/>
      <c r="AD735" s="220"/>
      <c r="AE735" s="220"/>
      <c r="AF735" s="220"/>
      <c r="AG735" s="220"/>
      <c r="AH735" s="220"/>
      <c r="AI735" s="220"/>
      <c r="AJ735" s="220"/>
      <c r="AK735" s="220"/>
      <c r="AL735" s="220"/>
      <c r="AM735" s="220"/>
      <c r="AN735" s="220"/>
    </row>
    <row r="736" ht="15.75" customHeight="1">
      <c r="A736" s="220"/>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c r="AA736" s="220"/>
      <c r="AB736" s="220"/>
      <c r="AC736" s="220"/>
      <c r="AD736" s="220"/>
      <c r="AE736" s="220"/>
      <c r="AF736" s="220"/>
      <c r="AG736" s="220"/>
      <c r="AH736" s="220"/>
      <c r="AI736" s="220"/>
      <c r="AJ736" s="220"/>
      <c r="AK736" s="220"/>
      <c r="AL736" s="220"/>
      <c r="AM736" s="220"/>
      <c r="AN736" s="220"/>
    </row>
    <row r="737" ht="15.75" customHeight="1">
      <c r="A737" s="220"/>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c r="AA737" s="220"/>
      <c r="AB737" s="220"/>
      <c r="AC737" s="220"/>
      <c r="AD737" s="220"/>
      <c r="AE737" s="220"/>
      <c r="AF737" s="220"/>
      <c r="AG737" s="220"/>
      <c r="AH737" s="220"/>
      <c r="AI737" s="220"/>
      <c r="AJ737" s="220"/>
      <c r="AK737" s="220"/>
      <c r="AL737" s="220"/>
      <c r="AM737" s="220"/>
      <c r="AN737" s="220"/>
    </row>
    <row r="738" ht="15.75" customHeight="1">
      <c r="A738" s="220"/>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c r="AA738" s="220"/>
      <c r="AB738" s="220"/>
      <c r="AC738" s="220"/>
      <c r="AD738" s="220"/>
      <c r="AE738" s="220"/>
      <c r="AF738" s="220"/>
      <c r="AG738" s="220"/>
      <c r="AH738" s="220"/>
      <c r="AI738" s="220"/>
      <c r="AJ738" s="220"/>
      <c r="AK738" s="220"/>
      <c r="AL738" s="220"/>
      <c r="AM738" s="220"/>
      <c r="AN738" s="220"/>
    </row>
    <row r="739" ht="15.75" customHeight="1">
      <c r="A739" s="220"/>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row>
    <row r="740" ht="15.75" customHeight="1">
      <c r="A740" s="220"/>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row>
    <row r="741" ht="15.75" customHeight="1">
      <c r="A741" s="220"/>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220"/>
      <c r="AN741" s="220"/>
    </row>
    <row r="742" ht="15.75" customHeight="1">
      <c r="A742" s="220"/>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220"/>
      <c r="AN742" s="220"/>
    </row>
    <row r="743" ht="15.75" customHeight="1">
      <c r="A743" s="220"/>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c r="AA743" s="220"/>
      <c r="AB743" s="220"/>
      <c r="AC743" s="220"/>
      <c r="AD743" s="220"/>
      <c r="AE743" s="220"/>
      <c r="AF743" s="220"/>
      <c r="AG743" s="220"/>
      <c r="AH743" s="220"/>
      <c r="AI743" s="220"/>
      <c r="AJ743" s="220"/>
      <c r="AK743" s="220"/>
      <c r="AL743" s="220"/>
      <c r="AM743" s="220"/>
      <c r="AN743" s="220"/>
    </row>
    <row r="744" ht="15.75" customHeight="1">
      <c r="A744" s="220"/>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c r="AA744" s="220"/>
      <c r="AB744" s="220"/>
      <c r="AC744" s="220"/>
      <c r="AD744" s="220"/>
      <c r="AE744" s="220"/>
      <c r="AF744" s="220"/>
      <c r="AG744" s="220"/>
      <c r="AH744" s="220"/>
      <c r="AI744" s="220"/>
      <c r="AJ744" s="220"/>
      <c r="AK744" s="220"/>
      <c r="AL744" s="220"/>
      <c r="AM744" s="220"/>
      <c r="AN744" s="220"/>
    </row>
    <row r="745" ht="15.75" customHeight="1">
      <c r="A745" s="220"/>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c r="AA745" s="220"/>
      <c r="AB745" s="220"/>
      <c r="AC745" s="220"/>
      <c r="AD745" s="220"/>
      <c r="AE745" s="220"/>
      <c r="AF745" s="220"/>
      <c r="AG745" s="220"/>
      <c r="AH745" s="220"/>
      <c r="AI745" s="220"/>
      <c r="AJ745" s="220"/>
      <c r="AK745" s="220"/>
      <c r="AL745" s="220"/>
      <c r="AM745" s="220"/>
      <c r="AN745" s="220"/>
    </row>
    <row r="746" ht="15.75" customHeight="1">
      <c r="A746" s="220"/>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c r="AA746" s="220"/>
      <c r="AB746" s="220"/>
      <c r="AC746" s="220"/>
      <c r="AD746" s="220"/>
      <c r="AE746" s="220"/>
      <c r="AF746" s="220"/>
      <c r="AG746" s="220"/>
      <c r="AH746" s="220"/>
      <c r="AI746" s="220"/>
      <c r="AJ746" s="220"/>
      <c r="AK746" s="220"/>
      <c r="AL746" s="220"/>
      <c r="AM746" s="220"/>
      <c r="AN746" s="220"/>
    </row>
    <row r="747" ht="15.75" customHeight="1">
      <c r="A747" s="220"/>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c r="AA747" s="220"/>
      <c r="AB747" s="220"/>
      <c r="AC747" s="220"/>
      <c r="AD747" s="220"/>
      <c r="AE747" s="220"/>
      <c r="AF747" s="220"/>
      <c r="AG747" s="220"/>
      <c r="AH747" s="220"/>
      <c r="AI747" s="220"/>
      <c r="AJ747" s="220"/>
      <c r="AK747" s="220"/>
      <c r="AL747" s="220"/>
      <c r="AM747" s="220"/>
      <c r="AN747" s="220"/>
    </row>
    <row r="748" ht="15.75" customHeight="1">
      <c r="A748" s="220"/>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c r="AA748" s="220"/>
      <c r="AB748" s="220"/>
      <c r="AC748" s="220"/>
      <c r="AD748" s="220"/>
      <c r="AE748" s="220"/>
      <c r="AF748" s="220"/>
      <c r="AG748" s="220"/>
      <c r="AH748" s="220"/>
      <c r="AI748" s="220"/>
      <c r="AJ748" s="220"/>
      <c r="AK748" s="220"/>
      <c r="AL748" s="220"/>
      <c r="AM748" s="220"/>
      <c r="AN748" s="220"/>
    </row>
    <row r="749" ht="15.75" customHeight="1">
      <c r="A749" s="220"/>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c r="AA749" s="220"/>
      <c r="AB749" s="220"/>
      <c r="AC749" s="220"/>
      <c r="AD749" s="220"/>
      <c r="AE749" s="220"/>
      <c r="AF749" s="220"/>
      <c r="AG749" s="220"/>
      <c r="AH749" s="220"/>
      <c r="AI749" s="220"/>
      <c r="AJ749" s="220"/>
      <c r="AK749" s="220"/>
      <c r="AL749" s="220"/>
      <c r="AM749" s="220"/>
      <c r="AN749" s="220"/>
    </row>
    <row r="750" ht="15.75" customHeight="1">
      <c r="A750" s="220"/>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c r="AA750" s="220"/>
      <c r="AB750" s="220"/>
      <c r="AC750" s="220"/>
      <c r="AD750" s="220"/>
      <c r="AE750" s="220"/>
      <c r="AF750" s="220"/>
      <c r="AG750" s="220"/>
      <c r="AH750" s="220"/>
      <c r="AI750" s="220"/>
      <c r="AJ750" s="220"/>
      <c r="AK750" s="220"/>
      <c r="AL750" s="220"/>
      <c r="AM750" s="220"/>
      <c r="AN750" s="220"/>
    </row>
    <row r="751" ht="15.75" customHeight="1">
      <c r="A751" s="220"/>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c r="AA751" s="220"/>
      <c r="AB751" s="220"/>
      <c r="AC751" s="220"/>
      <c r="AD751" s="220"/>
      <c r="AE751" s="220"/>
      <c r="AF751" s="220"/>
      <c r="AG751" s="220"/>
      <c r="AH751" s="220"/>
      <c r="AI751" s="220"/>
      <c r="AJ751" s="220"/>
      <c r="AK751" s="220"/>
      <c r="AL751" s="220"/>
      <c r="AM751" s="220"/>
      <c r="AN751" s="220"/>
    </row>
    <row r="752" ht="15.75" customHeight="1">
      <c r="A752" s="220"/>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c r="AA752" s="220"/>
      <c r="AB752" s="220"/>
      <c r="AC752" s="220"/>
      <c r="AD752" s="220"/>
      <c r="AE752" s="220"/>
      <c r="AF752" s="220"/>
      <c r="AG752" s="220"/>
      <c r="AH752" s="220"/>
      <c r="AI752" s="220"/>
      <c r="AJ752" s="220"/>
      <c r="AK752" s="220"/>
      <c r="AL752" s="220"/>
      <c r="AM752" s="220"/>
      <c r="AN752" s="220"/>
    </row>
    <row r="753" ht="15.75" customHeight="1">
      <c r="A753" s="220"/>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c r="AA753" s="220"/>
      <c r="AB753" s="220"/>
      <c r="AC753" s="220"/>
      <c r="AD753" s="220"/>
      <c r="AE753" s="220"/>
      <c r="AF753" s="220"/>
      <c r="AG753" s="220"/>
      <c r="AH753" s="220"/>
      <c r="AI753" s="220"/>
      <c r="AJ753" s="220"/>
      <c r="AK753" s="220"/>
      <c r="AL753" s="220"/>
      <c r="AM753" s="220"/>
      <c r="AN753" s="220"/>
    </row>
    <row r="754" ht="15.75" customHeight="1">
      <c r="A754" s="220"/>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c r="AA754" s="220"/>
      <c r="AB754" s="220"/>
      <c r="AC754" s="220"/>
      <c r="AD754" s="220"/>
      <c r="AE754" s="220"/>
      <c r="AF754" s="220"/>
      <c r="AG754" s="220"/>
      <c r="AH754" s="220"/>
      <c r="AI754" s="220"/>
      <c r="AJ754" s="220"/>
      <c r="AK754" s="220"/>
      <c r="AL754" s="220"/>
      <c r="AM754" s="220"/>
      <c r="AN754" s="220"/>
    </row>
    <row r="755" ht="15.75" customHeight="1">
      <c r="A755" s="220"/>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c r="AA755" s="220"/>
      <c r="AB755" s="220"/>
      <c r="AC755" s="220"/>
      <c r="AD755" s="220"/>
      <c r="AE755" s="220"/>
      <c r="AF755" s="220"/>
      <c r="AG755" s="220"/>
      <c r="AH755" s="220"/>
      <c r="AI755" s="220"/>
      <c r="AJ755" s="220"/>
      <c r="AK755" s="220"/>
      <c r="AL755" s="220"/>
      <c r="AM755" s="220"/>
      <c r="AN755" s="220"/>
    </row>
    <row r="756" ht="15.75" customHeight="1">
      <c r="A756" s="220"/>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c r="AA756" s="220"/>
      <c r="AB756" s="220"/>
      <c r="AC756" s="220"/>
      <c r="AD756" s="220"/>
      <c r="AE756" s="220"/>
      <c r="AF756" s="220"/>
      <c r="AG756" s="220"/>
      <c r="AH756" s="220"/>
      <c r="AI756" s="220"/>
      <c r="AJ756" s="220"/>
      <c r="AK756" s="220"/>
      <c r="AL756" s="220"/>
      <c r="AM756" s="220"/>
      <c r="AN756" s="220"/>
    </row>
    <row r="757" ht="15.75" customHeight="1">
      <c r="A757" s="220"/>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c r="AA757" s="220"/>
      <c r="AB757" s="220"/>
      <c r="AC757" s="220"/>
      <c r="AD757" s="220"/>
      <c r="AE757" s="220"/>
      <c r="AF757" s="220"/>
      <c r="AG757" s="220"/>
      <c r="AH757" s="220"/>
      <c r="AI757" s="220"/>
      <c r="AJ757" s="220"/>
      <c r="AK757" s="220"/>
      <c r="AL757" s="220"/>
      <c r="AM757" s="220"/>
      <c r="AN757" s="220"/>
    </row>
    <row r="758" ht="15.75" customHeight="1">
      <c r="A758" s="220"/>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c r="AA758" s="220"/>
      <c r="AB758" s="220"/>
      <c r="AC758" s="220"/>
      <c r="AD758" s="220"/>
      <c r="AE758" s="220"/>
      <c r="AF758" s="220"/>
      <c r="AG758" s="220"/>
      <c r="AH758" s="220"/>
      <c r="AI758" s="220"/>
      <c r="AJ758" s="220"/>
      <c r="AK758" s="220"/>
      <c r="AL758" s="220"/>
      <c r="AM758" s="220"/>
      <c r="AN758" s="220"/>
    </row>
    <row r="759" ht="15.75" customHeight="1">
      <c r="A759" s="220"/>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c r="AA759" s="220"/>
      <c r="AB759" s="220"/>
      <c r="AC759" s="220"/>
      <c r="AD759" s="220"/>
      <c r="AE759" s="220"/>
      <c r="AF759" s="220"/>
      <c r="AG759" s="220"/>
      <c r="AH759" s="220"/>
      <c r="AI759" s="220"/>
      <c r="AJ759" s="220"/>
      <c r="AK759" s="220"/>
      <c r="AL759" s="220"/>
      <c r="AM759" s="220"/>
      <c r="AN759" s="220"/>
    </row>
    <row r="760" ht="15.75" customHeight="1">
      <c r="A760" s="220"/>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c r="AA760" s="220"/>
      <c r="AB760" s="220"/>
      <c r="AC760" s="220"/>
      <c r="AD760" s="220"/>
      <c r="AE760" s="220"/>
      <c r="AF760" s="220"/>
      <c r="AG760" s="220"/>
      <c r="AH760" s="220"/>
      <c r="AI760" s="220"/>
      <c r="AJ760" s="220"/>
      <c r="AK760" s="220"/>
      <c r="AL760" s="220"/>
      <c r="AM760" s="220"/>
      <c r="AN760" s="220"/>
    </row>
    <row r="761" ht="15.75" customHeight="1">
      <c r="A761" s="220"/>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c r="AA761" s="220"/>
      <c r="AB761" s="220"/>
      <c r="AC761" s="220"/>
      <c r="AD761" s="220"/>
      <c r="AE761" s="220"/>
      <c r="AF761" s="220"/>
      <c r="AG761" s="220"/>
      <c r="AH761" s="220"/>
      <c r="AI761" s="220"/>
      <c r="AJ761" s="220"/>
      <c r="AK761" s="220"/>
      <c r="AL761" s="220"/>
      <c r="AM761" s="220"/>
      <c r="AN761" s="220"/>
    </row>
    <row r="762" ht="15.75" customHeight="1">
      <c r="A762" s="220"/>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c r="AA762" s="220"/>
      <c r="AB762" s="220"/>
      <c r="AC762" s="220"/>
      <c r="AD762" s="220"/>
      <c r="AE762" s="220"/>
      <c r="AF762" s="220"/>
      <c r="AG762" s="220"/>
      <c r="AH762" s="220"/>
      <c r="AI762" s="220"/>
      <c r="AJ762" s="220"/>
      <c r="AK762" s="220"/>
      <c r="AL762" s="220"/>
      <c r="AM762" s="220"/>
      <c r="AN762" s="220"/>
    </row>
    <row r="763" ht="15.75" customHeight="1">
      <c r="A763" s="220"/>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c r="AA763" s="220"/>
      <c r="AB763" s="220"/>
      <c r="AC763" s="220"/>
      <c r="AD763" s="220"/>
      <c r="AE763" s="220"/>
      <c r="AF763" s="220"/>
      <c r="AG763" s="220"/>
      <c r="AH763" s="220"/>
      <c r="AI763" s="220"/>
      <c r="AJ763" s="220"/>
      <c r="AK763" s="220"/>
      <c r="AL763" s="220"/>
      <c r="AM763" s="220"/>
      <c r="AN763" s="220"/>
    </row>
    <row r="764" ht="15.75" customHeight="1">
      <c r="A764" s="220"/>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c r="AA764" s="220"/>
      <c r="AB764" s="220"/>
      <c r="AC764" s="220"/>
      <c r="AD764" s="220"/>
      <c r="AE764" s="220"/>
      <c r="AF764" s="220"/>
      <c r="AG764" s="220"/>
      <c r="AH764" s="220"/>
      <c r="AI764" s="220"/>
      <c r="AJ764" s="220"/>
      <c r="AK764" s="220"/>
      <c r="AL764" s="220"/>
      <c r="AM764" s="220"/>
      <c r="AN764" s="220"/>
    </row>
    <row r="765" ht="15.75" customHeight="1">
      <c r="A765" s="220"/>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c r="AA765" s="220"/>
      <c r="AB765" s="220"/>
      <c r="AC765" s="220"/>
      <c r="AD765" s="220"/>
      <c r="AE765" s="220"/>
      <c r="AF765" s="220"/>
      <c r="AG765" s="220"/>
      <c r="AH765" s="220"/>
      <c r="AI765" s="220"/>
      <c r="AJ765" s="220"/>
      <c r="AK765" s="220"/>
      <c r="AL765" s="220"/>
      <c r="AM765" s="220"/>
      <c r="AN765" s="220"/>
    </row>
    <row r="766" ht="15.75" customHeight="1">
      <c r="A766" s="220"/>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c r="AA766" s="220"/>
      <c r="AB766" s="220"/>
      <c r="AC766" s="220"/>
      <c r="AD766" s="220"/>
      <c r="AE766" s="220"/>
      <c r="AF766" s="220"/>
      <c r="AG766" s="220"/>
      <c r="AH766" s="220"/>
      <c r="AI766" s="220"/>
      <c r="AJ766" s="220"/>
      <c r="AK766" s="220"/>
      <c r="AL766" s="220"/>
      <c r="AM766" s="220"/>
      <c r="AN766" s="220"/>
    </row>
    <row r="767" ht="15.75" customHeight="1">
      <c r="A767" s="220"/>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row>
    <row r="768" ht="15.75" customHeight="1">
      <c r="A768" s="220"/>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c r="AA768" s="220"/>
      <c r="AB768" s="220"/>
      <c r="AC768" s="220"/>
      <c r="AD768" s="220"/>
      <c r="AE768" s="220"/>
      <c r="AF768" s="220"/>
      <c r="AG768" s="220"/>
      <c r="AH768" s="220"/>
      <c r="AI768" s="220"/>
      <c r="AJ768" s="220"/>
      <c r="AK768" s="220"/>
      <c r="AL768" s="220"/>
      <c r="AM768" s="220"/>
      <c r="AN768" s="220"/>
    </row>
    <row r="769" ht="15.75" customHeight="1">
      <c r="A769" s="220"/>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c r="AA769" s="220"/>
      <c r="AB769" s="220"/>
      <c r="AC769" s="220"/>
      <c r="AD769" s="220"/>
      <c r="AE769" s="220"/>
      <c r="AF769" s="220"/>
      <c r="AG769" s="220"/>
      <c r="AH769" s="220"/>
      <c r="AI769" s="220"/>
      <c r="AJ769" s="220"/>
      <c r="AK769" s="220"/>
      <c r="AL769" s="220"/>
      <c r="AM769" s="220"/>
      <c r="AN769" s="220"/>
    </row>
    <row r="770" ht="15.75" customHeight="1">
      <c r="A770" s="220"/>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c r="AA770" s="220"/>
      <c r="AB770" s="220"/>
      <c r="AC770" s="220"/>
      <c r="AD770" s="220"/>
      <c r="AE770" s="220"/>
      <c r="AF770" s="220"/>
      <c r="AG770" s="220"/>
      <c r="AH770" s="220"/>
      <c r="AI770" s="220"/>
      <c r="AJ770" s="220"/>
      <c r="AK770" s="220"/>
      <c r="AL770" s="220"/>
      <c r="AM770" s="220"/>
      <c r="AN770" s="220"/>
    </row>
    <row r="771" ht="15.75" customHeight="1">
      <c r="A771" s="220"/>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c r="AA771" s="220"/>
      <c r="AB771" s="220"/>
      <c r="AC771" s="220"/>
      <c r="AD771" s="220"/>
      <c r="AE771" s="220"/>
      <c r="AF771" s="220"/>
      <c r="AG771" s="220"/>
      <c r="AH771" s="220"/>
      <c r="AI771" s="220"/>
      <c r="AJ771" s="220"/>
      <c r="AK771" s="220"/>
      <c r="AL771" s="220"/>
      <c r="AM771" s="220"/>
      <c r="AN771" s="220"/>
    </row>
    <row r="772" ht="15.75" customHeight="1">
      <c r="A772" s="220"/>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c r="AA772" s="220"/>
      <c r="AB772" s="220"/>
      <c r="AC772" s="220"/>
      <c r="AD772" s="220"/>
      <c r="AE772" s="220"/>
      <c r="AF772" s="220"/>
      <c r="AG772" s="220"/>
      <c r="AH772" s="220"/>
      <c r="AI772" s="220"/>
      <c r="AJ772" s="220"/>
      <c r="AK772" s="220"/>
      <c r="AL772" s="220"/>
      <c r="AM772" s="220"/>
      <c r="AN772" s="220"/>
    </row>
    <row r="773" ht="15.75" customHeight="1">
      <c r="A773" s="220"/>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c r="AA773" s="220"/>
      <c r="AB773" s="220"/>
      <c r="AC773" s="220"/>
      <c r="AD773" s="220"/>
      <c r="AE773" s="220"/>
      <c r="AF773" s="220"/>
      <c r="AG773" s="220"/>
      <c r="AH773" s="220"/>
      <c r="AI773" s="220"/>
      <c r="AJ773" s="220"/>
      <c r="AK773" s="220"/>
      <c r="AL773" s="220"/>
      <c r="AM773" s="220"/>
      <c r="AN773" s="220"/>
    </row>
    <row r="774" ht="15.75" customHeight="1">
      <c r="A774" s="220"/>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c r="AA774" s="220"/>
      <c r="AB774" s="220"/>
      <c r="AC774" s="220"/>
      <c r="AD774" s="220"/>
      <c r="AE774" s="220"/>
      <c r="AF774" s="220"/>
      <c r="AG774" s="220"/>
      <c r="AH774" s="220"/>
      <c r="AI774" s="220"/>
      <c r="AJ774" s="220"/>
      <c r="AK774" s="220"/>
      <c r="AL774" s="220"/>
      <c r="AM774" s="220"/>
      <c r="AN774" s="220"/>
    </row>
    <row r="775" ht="15.75" customHeight="1">
      <c r="A775" s="220"/>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c r="AA775" s="220"/>
      <c r="AB775" s="220"/>
      <c r="AC775" s="220"/>
      <c r="AD775" s="220"/>
      <c r="AE775" s="220"/>
      <c r="AF775" s="220"/>
      <c r="AG775" s="220"/>
      <c r="AH775" s="220"/>
      <c r="AI775" s="220"/>
      <c r="AJ775" s="220"/>
      <c r="AK775" s="220"/>
      <c r="AL775" s="220"/>
      <c r="AM775" s="220"/>
      <c r="AN775" s="220"/>
    </row>
    <row r="776" ht="15.75" customHeight="1">
      <c r="A776" s="220"/>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c r="AA776" s="220"/>
      <c r="AB776" s="220"/>
      <c r="AC776" s="220"/>
      <c r="AD776" s="220"/>
      <c r="AE776" s="220"/>
      <c r="AF776" s="220"/>
      <c r="AG776" s="220"/>
      <c r="AH776" s="220"/>
      <c r="AI776" s="220"/>
      <c r="AJ776" s="220"/>
      <c r="AK776" s="220"/>
      <c r="AL776" s="220"/>
      <c r="AM776" s="220"/>
      <c r="AN776" s="220"/>
    </row>
    <row r="777" ht="15.75" customHeight="1">
      <c r="A777" s="220"/>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c r="AA777" s="220"/>
      <c r="AB777" s="220"/>
      <c r="AC777" s="220"/>
      <c r="AD777" s="220"/>
      <c r="AE777" s="220"/>
      <c r="AF777" s="220"/>
      <c r="AG777" s="220"/>
      <c r="AH777" s="220"/>
      <c r="AI777" s="220"/>
      <c r="AJ777" s="220"/>
      <c r="AK777" s="220"/>
      <c r="AL777" s="220"/>
      <c r="AM777" s="220"/>
      <c r="AN777" s="220"/>
    </row>
    <row r="778" ht="15.75" customHeight="1">
      <c r="A778" s="220"/>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c r="AA778" s="220"/>
      <c r="AB778" s="220"/>
      <c r="AC778" s="220"/>
      <c r="AD778" s="220"/>
      <c r="AE778" s="220"/>
      <c r="AF778" s="220"/>
      <c r="AG778" s="220"/>
      <c r="AH778" s="220"/>
      <c r="AI778" s="220"/>
      <c r="AJ778" s="220"/>
      <c r="AK778" s="220"/>
      <c r="AL778" s="220"/>
      <c r="AM778" s="220"/>
      <c r="AN778" s="220"/>
    </row>
    <row r="779" ht="15.75" customHeight="1">
      <c r="A779" s="220"/>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c r="AA779" s="220"/>
      <c r="AB779" s="220"/>
      <c r="AC779" s="220"/>
      <c r="AD779" s="220"/>
      <c r="AE779" s="220"/>
      <c r="AF779" s="220"/>
      <c r="AG779" s="220"/>
      <c r="AH779" s="220"/>
      <c r="AI779" s="220"/>
      <c r="AJ779" s="220"/>
      <c r="AK779" s="220"/>
      <c r="AL779" s="220"/>
      <c r="AM779" s="220"/>
      <c r="AN779" s="220"/>
    </row>
    <row r="780" ht="15.75" customHeight="1">
      <c r="A780" s="220"/>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c r="AA780" s="220"/>
      <c r="AB780" s="220"/>
      <c r="AC780" s="220"/>
      <c r="AD780" s="220"/>
      <c r="AE780" s="220"/>
      <c r="AF780" s="220"/>
      <c r="AG780" s="220"/>
      <c r="AH780" s="220"/>
      <c r="AI780" s="220"/>
      <c r="AJ780" s="220"/>
      <c r="AK780" s="220"/>
      <c r="AL780" s="220"/>
      <c r="AM780" s="220"/>
      <c r="AN780" s="220"/>
    </row>
    <row r="781" ht="15.75" customHeight="1">
      <c r="A781" s="220"/>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c r="AA781" s="220"/>
      <c r="AB781" s="220"/>
      <c r="AC781" s="220"/>
      <c r="AD781" s="220"/>
      <c r="AE781" s="220"/>
      <c r="AF781" s="220"/>
      <c r="AG781" s="220"/>
      <c r="AH781" s="220"/>
      <c r="AI781" s="220"/>
      <c r="AJ781" s="220"/>
      <c r="AK781" s="220"/>
      <c r="AL781" s="220"/>
      <c r="AM781" s="220"/>
      <c r="AN781" s="220"/>
    </row>
    <row r="782" ht="15.75" customHeight="1">
      <c r="A782" s="220"/>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c r="AA782" s="220"/>
      <c r="AB782" s="220"/>
      <c r="AC782" s="220"/>
      <c r="AD782" s="220"/>
      <c r="AE782" s="220"/>
      <c r="AF782" s="220"/>
      <c r="AG782" s="220"/>
      <c r="AH782" s="220"/>
      <c r="AI782" s="220"/>
      <c r="AJ782" s="220"/>
      <c r="AK782" s="220"/>
      <c r="AL782" s="220"/>
      <c r="AM782" s="220"/>
      <c r="AN782" s="220"/>
    </row>
    <row r="783" ht="15.75" customHeight="1">
      <c r="A783" s="220"/>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c r="AA783" s="220"/>
      <c r="AB783" s="220"/>
      <c r="AC783" s="220"/>
      <c r="AD783" s="220"/>
      <c r="AE783" s="220"/>
      <c r="AF783" s="220"/>
      <c r="AG783" s="220"/>
      <c r="AH783" s="220"/>
      <c r="AI783" s="220"/>
      <c r="AJ783" s="220"/>
      <c r="AK783" s="220"/>
      <c r="AL783" s="220"/>
      <c r="AM783" s="220"/>
      <c r="AN783" s="220"/>
    </row>
    <row r="784" ht="15.75" customHeight="1">
      <c r="A784" s="220"/>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c r="AA784" s="220"/>
      <c r="AB784" s="220"/>
      <c r="AC784" s="220"/>
      <c r="AD784" s="220"/>
      <c r="AE784" s="220"/>
      <c r="AF784" s="220"/>
      <c r="AG784" s="220"/>
      <c r="AH784" s="220"/>
      <c r="AI784" s="220"/>
      <c r="AJ784" s="220"/>
      <c r="AK784" s="220"/>
      <c r="AL784" s="220"/>
      <c r="AM784" s="220"/>
      <c r="AN784" s="220"/>
    </row>
    <row r="785" ht="15.75" customHeight="1">
      <c r="A785" s="220"/>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c r="AA785" s="220"/>
      <c r="AB785" s="220"/>
      <c r="AC785" s="220"/>
      <c r="AD785" s="220"/>
      <c r="AE785" s="220"/>
      <c r="AF785" s="220"/>
      <c r="AG785" s="220"/>
      <c r="AH785" s="220"/>
      <c r="AI785" s="220"/>
      <c r="AJ785" s="220"/>
      <c r="AK785" s="220"/>
      <c r="AL785" s="220"/>
      <c r="AM785" s="220"/>
      <c r="AN785" s="220"/>
    </row>
    <row r="786" ht="15.75" customHeight="1">
      <c r="A786" s="220"/>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c r="AA786" s="220"/>
      <c r="AB786" s="220"/>
      <c r="AC786" s="220"/>
      <c r="AD786" s="220"/>
      <c r="AE786" s="220"/>
      <c r="AF786" s="220"/>
      <c r="AG786" s="220"/>
      <c r="AH786" s="220"/>
      <c r="AI786" s="220"/>
      <c r="AJ786" s="220"/>
      <c r="AK786" s="220"/>
      <c r="AL786" s="220"/>
      <c r="AM786" s="220"/>
      <c r="AN786" s="220"/>
    </row>
    <row r="787" ht="15.75" customHeight="1">
      <c r="A787" s="220"/>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c r="AA787" s="220"/>
      <c r="AB787" s="220"/>
      <c r="AC787" s="220"/>
      <c r="AD787" s="220"/>
      <c r="AE787" s="220"/>
      <c r="AF787" s="220"/>
      <c r="AG787" s="220"/>
      <c r="AH787" s="220"/>
      <c r="AI787" s="220"/>
      <c r="AJ787" s="220"/>
      <c r="AK787" s="220"/>
      <c r="AL787" s="220"/>
      <c r="AM787" s="220"/>
      <c r="AN787" s="220"/>
    </row>
    <row r="788" ht="15.75" customHeight="1">
      <c r="A788" s="220"/>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c r="AA788" s="220"/>
      <c r="AB788" s="220"/>
      <c r="AC788" s="220"/>
      <c r="AD788" s="220"/>
      <c r="AE788" s="220"/>
      <c r="AF788" s="220"/>
      <c r="AG788" s="220"/>
      <c r="AH788" s="220"/>
      <c r="AI788" s="220"/>
      <c r="AJ788" s="220"/>
      <c r="AK788" s="220"/>
      <c r="AL788" s="220"/>
      <c r="AM788" s="220"/>
      <c r="AN788" s="220"/>
    </row>
    <row r="789" ht="15.75" customHeight="1">
      <c r="A789" s="220"/>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row>
    <row r="790" ht="15.75" customHeight="1">
      <c r="A790" s="220"/>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row>
    <row r="791" ht="15.75" customHeight="1">
      <c r="A791" s="220"/>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c r="AA791" s="220"/>
      <c r="AB791" s="220"/>
      <c r="AC791" s="220"/>
      <c r="AD791" s="220"/>
      <c r="AE791" s="220"/>
      <c r="AF791" s="220"/>
      <c r="AG791" s="220"/>
      <c r="AH791" s="220"/>
      <c r="AI791" s="220"/>
      <c r="AJ791" s="220"/>
      <c r="AK791" s="220"/>
      <c r="AL791" s="220"/>
      <c r="AM791" s="220"/>
      <c r="AN791" s="220"/>
    </row>
    <row r="792" ht="15.75" customHeight="1">
      <c r="A792" s="220"/>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c r="AA792" s="220"/>
      <c r="AB792" s="220"/>
      <c r="AC792" s="220"/>
      <c r="AD792" s="220"/>
      <c r="AE792" s="220"/>
      <c r="AF792" s="220"/>
      <c r="AG792" s="220"/>
      <c r="AH792" s="220"/>
      <c r="AI792" s="220"/>
      <c r="AJ792" s="220"/>
      <c r="AK792" s="220"/>
      <c r="AL792" s="220"/>
      <c r="AM792" s="220"/>
      <c r="AN792" s="220"/>
    </row>
    <row r="793" ht="15.75" customHeight="1">
      <c r="A793" s="220"/>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c r="AA793" s="220"/>
      <c r="AB793" s="220"/>
      <c r="AC793" s="220"/>
      <c r="AD793" s="220"/>
      <c r="AE793" s="220"/>
      <c r="AF793" s="220"/>
      <c r="AG793" s="220"/>
      <c r="AH793" s="220"/>
      <c r="AI793" s="220"/>
      <c r="AJ793" s="220"/>
      <c r="AK793" s="220"/>
      <c r="AL793" s="220"/>
      <c r="AM793" s="220"/>
      <c r="AN793" s="220"/>
    </row>
    <row r="794" ht="15.75" customHeight="1">
      <c r="A794" s="220"/>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c r="AA794" s="220"/>
      <c r="AB794" s="220"/>
      <c r="AC794" s="220"/>
      <c r="AD794" s="220"/>
      <c r="AE794" s="220"/>
      <c r="AF794" s="220"/>
      <c r="AG794" s="220"/>
      <c r="AH794" s="220"/>
      <c r="AI794" s="220"/>
      <c r="AJ794" s="220"/>
      <c r="AK794" s="220"/>
      <c r="AL794" s="220"/>
      <c r="AM794" s="220"/>
      <c r="AN794" s="220"/>
    </row>
    <row r="795" ht="15.75" customHeight="1">
      <c r="A795" s="220"/>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c r="AA795" s="220"/>
      <c r="AB795" s="220"/>
      <c r="AC795" s="220"/>
      <c r="AD795" s="220"/>
      <c r="AE795" s="220"/>
      <c r="AF795" s="220"/>
      <c r="AG795" s="220"/>
      <c r="AH795" s="220"/>
      <c r="AI795" s="220"/>
      <c r="AJ795" s="220"/>
      <c r="AK795" s="220"/>
      <c r="AL795" s="220"/>
      <c r="AM795" s="220"/>
      <c r="AN795" s="220"/>
    </row>
    <row r="796" ht="15.75" customHeight="1">
      <c r="A796" s="220"/>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c r="AA796" s="220"/>
      <c r="AB796" s="220"/>
      <c r="AC796" s="220"/>
      <c r="AD796" s="220"/>
      <c r="AE796" s="220"/>
      <c r="AF796" s="220"/>
      <c r="AG796" s="220"/>
      <c r="AH796" s="220"/>
      <c r="AI796" s="220"/>
      <c r="AJ796" s="220"/>
      <c r="AK796" s="220"/>
      <c r="AL796" s="220"/>
      <c r="AM796" s="220"/>
      <c r="AN796" s="220"/>
    </row>
    <row r="797" ht="15.75" customHeight="1">
      <c r="A797" s="220"/>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c r="AA797" s="220"/>
      <c r="AB797" s="220"/>
      <c r="AC797" s="220"/>
      <c r="AD797" s="220"/>
      <c r="AE797" s="220"/>
      <c r="AF797" s="220"/>
      <c r="AG797" s="220"/>
      <c r="AH797" s="220"/>
      <c r="AI797" s="220"/>
      <c r="AJ797" s="220"/>
      <c r="AK797" s="220"/>
      <c r="AL797" s="220"/>
      <c r="AM797" s="220"/>
      <c r="AN797" s="220"/>
    </row>
    <row r="798" ht="15.75" customHeight="1">
      <c r="A798" s="220"/>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c r="AA798" s="220"/>
      <c r="AB798" s="220"/>
      <c r="AC798" s="220"/>
      <c r="AD798" s="220"/>
      <c r="AE798" s="220"/>
      <c r="AF798" s="220"/>
      <c r="AG798" s="220"/>
      <c r="AH798" s="220"/>
      <c r="AI798" s="220"/>
      <c r="AJ798" s="220"/>
      <c r="AK798" s="220"/>
      <c r="AL798" s="220"/>
      <c r="AM798" s="220"/>
      <c r="AN798" s="220"/>
    </row>
    <row r="799" ht="15.75" customHeight="1">
      <c r="A799" s="220"/>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c r="AA799" s="220"/>
      <c r="AB799" s="220"/>
      <c r="AC799" s="220"/>
      <c r="AD799" s="220"/>
      <c r="AE799" s="220"/>
      <c r="AF799" s="220"/>
      <c r="AG799" s="220"/>
      <c r="AH799" s="220"/>
      <c r="AI799" s="220"/>
      <c r="AJ799" s="220"/>
      <c r="AK799" s="220"/>
      <c r="AL799" s="220"/>
      <c r="AM799" s="220"/>
      <c r="AN799" s="220"/>
    </row>
    <row r="800" ht="15.75" customHeight="1">
      <c r="A800" s="220"/>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c r="AA800" s="220"/>
      <c r="AB800" s="220"/>
      <c r="AC800" s="220"/>
      <c r="AD800" s="220"/>
      <c r="AE800" s="220"/>
      <c r="AF800" s="220"/>
      <c r="AG800" s="220"/>
      <c r="AH800" s="220"/>
      <c r="AI800" s="220"/>
      <c r="AJ800" s="220"/>
      <c r="AK800" s="220"/>
      <c r="AL800" s="220"/>
      <c r="AM800" s="220"/>
      <c r="AN800" s="220"/>
    </row>
    <row r="801" ht="15.75" customHeight="1">
      <c r="A801" s="220"/>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c r="AA801" s="220"/>
      <c r="AB801" s="220"/>
      <c r="AC801" s="220"/>
      <c r="AD801" s="220"/>
      <c r="AE801" s="220"/>
      <c r="AF801" s="220"/>
      <c r="AG801" s="220"/>
      <c r="AH801" s="220"/>
      <c r="AI801" s="220"/>
      <c r="AJ801" s="220"/>
      <c r="AK801" s="220"/>
      <c r="AL801" s="220"/>
      <c r="AM801" s="220"/>
      <c r="AN801" s="220"/>
    </row>
    <row r="802" ht="15.75" customHeight="1">
      <c r="A802" s="220"/>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c r="AA802" s="220"/>
      <c r="AB802" s="220"/>
      <c r="AC802" s="220"/>
      <c r="AD802" s="220"/>
      <c r="AE802" s="220"/>
      <c r="AF802" s="220"/>
      <c r="AG802" s="220"/>
      <c r="AH802" s="220"/>
      <c r="AI802" s="220"/>
      <c r="AJ802" s="220"/>
      <c r="AK802" s="220"/>
      <c r="AL802" s="220"/>
      <c r="AM802" s="220"/>
      <c r="AN802" s="220"/>
    </row>
    <row r="803" ht="15.75" customHeight="1">
      <c r="A803" s="220"/>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c r="AA803" s="220"/>
      <c r="AB803" s="220"/>
      <c r="AC803" s="220"/>
      <c r="AD803" s="220"/>
      <c r="AE803" s="220"/>
      <c r="AF803" s="220"/>
      <c r="AG803" s="220"/>
      <c r="AH803" s="220"/>
      <c r="AI803" s="220"/>
      <c r="AJ803" s="220"/>
      <c r="AK803" s="220"/>
      <c r="AL803" s="220"/>
      <c r="AM803" s="220"/>
      <c r="AN803" s="220"/>
    </row>
    <row r="804" ht="15.75" customHeight="1">
      <c r="A804" s="220"/>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c r="AA804" s="220"/>
      <c r="AB804" s="220"/>
      <c r="AC804" s="220"/>
      <c r="AD804" s="220"/>
      <c r="AE804" s="220"/>
      <c r="AF804" s="220"/>
      <c r="AG804" s="220"/>
      <c r="AH804" s="220"/>
      <c r="AI804" s="220"/>
      <c r="AJ804" s="220"/>
      <c r="AK804" s="220"/>
      <c r="AL804" s="220"/>
      <c r="AM804" s="220"/>
      <c r="AN804" s="220"/>
    </row>
    <row r="805" ht="15.75" customHeight="1">
      <c r="A805" s="220"/>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c r="AA805" s="220"/>
      <c r="AB805" s="220"/>
      <c r="AC805" s="220"/>
      <c r="AD805" s="220"/>
      <c r="AE805" s="220"/>
      <c r="AF805" s="220"/>
      <c r="AG805" s="220"/>
      <c r="AH805" s="220"/>
      <c r="AI805" s="220"/>
      <c r="AJ805" s="220"/>
      <c r="AK805" s="220"/>
      <c r="AL805" s="220"/>
      <c r="AM805" s="220"/>
      <c r="AN805" s="220"/>
    </row>
    <row r="806" ht="15.75" customHeight="1">
      <c r="A806" s="220"/>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c r="AA806" s="220"/>
      <c r="AB806" s="220"/>
      <c r="AC806" s="220"/>
      <c r="AD806" s="220"/>
      <c r="AE806" s="220"/>
      <c r="AF806" s="220"/>
      <c r="AG806" s="220"/>
      <c r="AH806" s="220"/>
      <c r="AI806" s="220"/>
      <c r="AJ806" s="220"/>
      <c r="AK806" s="220"/>
      <c r="AL806" s="220"/>
      <c r="AM806" s="220"/>
      <c r="AN806" s="220"/>
    </row>
    <row r="807" ht="15.75" customHeight="1">
      <c r="A807" s="220"/>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c r="AA807" s="220"/>
      <c r="AB807" s="220"/>
      <c r="AC807" s="220"/>
      <c r="AD807" s="220"/>
      <c r="AE807" s="220"/>
      <c r="AF807" s="220"/>
      <c r="AG807" s="220"/>
      <c r="AH807" s="220"/>
      <c r="AI807" s="220"/>
      <c r="AJ807" s="220"/>
      <c r="AK807" s="220"/>
      <c r="AL807" s="220"/>
      <c r="AM807" s="220"/>
      <c r="AN807" s="220"/>
    </row>
    <row r="808" ht="15.75" customHeight="1">
      <c r="A808" s="220"/>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c r="AA808" s="220"/>
      <c r="AB808" s="220"/>
      <c r="AC808" s="220"/>
      <c r="AD808" s="220"/>
      <c r="AE808" s="220"/>
      <c r="AF808" s="220"/>
      <c r="AG808" s="220"/>
      <c r="AH808" s="220"/>
      <c r="AI808" s="220"/>
      <c r="AJ808" s="220"/>
      <c r="AK808" s="220"/>
      <c r="AL808" s="220"/>
      <c r="AM808" s="220"/>
      <c r="AN808" s="220"/>
    </row>
    <row r="809" ht="15.75" customHeight="1">
      <c r="A809" s="220"/>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c r="AA809" s="220"/>
      <c r="AB809" s="220"/>
      <c r="AC809" s="220"/>
      <c r="AD809" s="220"/>
      <c r="AE809" s="220"/>
      <c r="AF809" s="220"/>
      <c r="AG809" s="220"/>
      <c r="AH809" s="220"/>
      <c r="AI809" s="220"/>
      <c r="AJ809" s="220"/>
      <c r="AK809" s="220"/>
      <c r="AL809" s="220"/>
      <c r="AM809" s="220"/>
      <c r="AN809" s="220"/>
    </row>
    <row r="810" ht="15.75" customHeight="1">
      <c r="A810" s="220"/>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c r="AA810" s="220"/>
      <c r="AB810" s="220"/>
      <c r="AC810" s="220"/>
      <c r="AD810" s="220"/>
      <c r="AE810" s="220"/>
      <c r="AF810" s="220"/>
      <c r="AG810" s="220"/>
      <c r="AH810" s="220"/>
      <c r="AI810" s="220"/>
      <c r="AJ810" s="220"/>
      <c r="AK810" s="220"/>
      <c r="AL810" s="220"/>
      <c r="AM810" s="220"/>
      <c r="AN810" s="220"/>
    </row>
    <row r="811" ht="15.75" customHeight="1">
      <c r="A811" s="220"/>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c r="AA811" s="220"/>
      <c r="AB811" s="220"/>
      <c r="AC811" s="220"/>
      <c r="AD811" s="220"/>
      <c r="AE811" s="220"/>
      <c r="AF811" s="220"/>
      <c r="AG811" s="220"/>
      <c r="AH811" s="220"/>
      <c r="AI811" s="220"/>
      <c r="AJ811" s="220"/>
      <c r="AK811" s="220"/>
      <c r="AL811" s="220"/>
      <c r="AM811" s="220"/>
      <c r="AN811" s="220"/>
    </row>
    <row r="812" ht="15.75" customHeight="1">
      <c r="A812" s="220"/>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c r="AA812" s="220"/>
      <c r="AB812" s="220"/>
      <c r="AC812" s="220"/>
      <c r="AD812" s="220"/>
      <c r="AE812" s="220"/>
      <c r="AF812" s="220"/>
      <c r="AG812" s="220"/>
      <c r="AH812" s="220"/>
      <c r="AI812" s="220"/>
      <c r="AJ812" s="220"/>
      <c r="AK812" s="220"/>
      <c r="AL812" s="220"/>
      <c r="AM812" s="220"/>
      <c r="AN812" s="220"/>
    </row>
    <row r="813" ht="15.75" customHeight="1">
      <c r="A813" s="220"/>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c r="AA813" s="220"/>
      <c r="AB813" s="220"/>
      <c r="AC813" s="220"/>
      <c r="AD813" s="220"/>
      <c r="AE813" s="220"/>
      <c r="AF813" s="220"/>
      <c r="AG813" s="220"/>
      <c r="AH813" s="220"/>
      <c r="AI813" s="220"/>
      <c r="AJ813" s="220"/>
      <c r="AK813" s="220"/>
      <c r="AL813" s="220"/>
      <c r="AM813" s="220"/>
      <c r="AN813" s="220"/>
    </row>
    <row r="814" ht="15.75" customHeight="1">
      <c r="A814" s="220"/>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c r="AA814" s="220"/>
      <c r="AB814" s="220"/>
      <c r="AC814" s="220"/>
      <c r="AD814" s="220"/>
      <c r="AE814" s="220"/>
      <c r="AF814" s="220"/>
      <c r="AG814" s="220"/>
      <c r="AH814" s="220"/>
      <c r="AI814" s="220"/>
      <c r="AJ814" s="220"/>
      <c r="AK814" s="220"/>
      <c r="AL814" s="220"/>
      <c r="AM814" s="220"/>
      <c r="AN814" s="220"/>
    </row>
    <row r="815" ht="15.75" customHeight="1">
      <c r="A815" s="220"/>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c r="AA815" s="220"/>
      <c r="AB815" s="220"/>
      <c r="AC815" s="220"/>
      <c r="AD815" s="220"/>
      <c r="AE815" s="220"/>
      <c r="AF815" s="220"/>
      <c r="AG815" s="220"/>
      <c r="AH815" s="220"/>
      <c r="AI815" s="220"/>
      <c r="AJ815" s="220"/>
      <c r="AK815" s="220"/>
      <c r="AL815" s="220"/>
      <c r="AM815" s="220"/>
      <c r="AN815" s="220"/>
    </row>
    <row r="816" ht="15.75" customHeight="1">
      <c r="A816" s="220"/>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c r="AA816" s="220"/>
      <c r="AB816" s="220"/>
      <c r="AC816" s="220"/>
      <c r="AD816" s="220"/>
      <c r="AE816" s="220"/>
      <c r="AF816" s="220"/>
      <c r="AG816" s="220"/>
      <c r="AH816" s="220"/>
      <c r="AI816" s="220"/>
      <c r="AJ816" s="220"/>
      <c r="AK816" s="220"/>
      <c r="AL816" s="220"/>
      <c r="AM816" s="220"/>
      <c r="AN816" s="220"/>
    </row>
    <row r="817" ht="15.75" customHeight="1">
      <c r="A817" s="220"/>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c r="AA817" s="220"/>
      <c r="AB817" s="220"/>
      <c r="AC817" s="220"/>
      <c r="AD817" s="220"/>
      <c r="AE817" s="220"/>
      <c r="AF817" s="220"/>
      <c r="AG817" s="220"/>
      <c r="AH817" s="220"/>
      <c r="AI817" s="220"/>
      <c r="AJ817" s="220"/>
      <c r="AK817" s="220"/>
      <c r="AL817" s="220"/>
      <c r="AM817" s="220"/>
      <c r="AN817" s="220"/>
    </row>
    <row r="818" ht="15.75" customHeight="1">
      <c r="A818" s="220"/>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c r="AA818" s="220"/>
      <c r="AB818" s="220"/>
      <c r="AC818" s="220"/>
      <c r="AD818" s="220"/>
      <c r="AE818" s="220"/>
      <c r="AF818" s="220"/>
      <c r="AG818" s="220"/>
      <c r="AH818" s="220"/>
      <c r="AI818" s="220"/>
      <c r="AJ818" s="220"/>
      <c r="AK818" s="220"/>
      <c r="AL818" s="220"/>
      <c r="AM818" s="220"/>
      <c r="AN818" s="220"/>
    </row>
    <row r="819" ht="15.75" customHeight="1">
      <c r="A819" s="220"/>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c r="AA819" s="220"/>
      <c r="AB819" s="220"/>
      <c r="AC819" s="220"/>
      <c r="AD819" s="220"/>
      <c r="AE819" s="220"/>
      <c r="AF819" s="220"/>
      <c r="AG819" s="220"/>
      <c r="AH819" s="220"/>
      <c r="AI819" s="220"/>
      <c r="AJ819" s="220"/>
      <c r="AK819" s="220"/>
      <c r="AL819" s="220"/>
      <c r="AM819" s="220"/>
      <c r="AN819" s="220"/>
    </row>
    <row r="820" ht="15.75" customHeight="1">
      <c r="A820" s="220"/>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c r="AA820" s="220"/>
      <c r="AB820" s="220"/>
      <c r="AC820" s="220"/>
      <c r="AD820" s="220"/>
      <c r="AE820" s="220"/>
      <c r="AF820" s="220"/>
      <c r="AG820" s="220"/>
      <c r="AH820" s="220"/>
      <c r="AI820" s="220"/>
      <c r="AJ820" s="220"/>
      <c r="AK820" s="220"/>
      <c r="AL820" s="220"/>
      <c r="AM820" s="220"/>
      <c r="AN820" s="220"/>
    </row>
    <row r="821" ht="15.75" customHeight="1">
      <c r="A821" s="220"/>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c r="AA821" s="220"/>
      <c r="AB821" s="220"/>
      <c r="AC821" s="220"/>
      <c r="AD821" s="220"/>
      <c r="AE821" s="220"/>
      <c r="AF821" s="220"/>
      <c r="AG821" s="220"/>
      <c r="AH821" s="220"/>
      <c r="AI821" s="220"/>
      <c r="AJ821" s="220"/>
      <c r="AK821" s="220"/>
      <c r="AL821" s="220"/>
      <c r="AM821" s="220"/>
      <c r="AN821" s="220"/>
    </row>
    <row r="822" ht="15.75" customHeight="1">
      <c r="A822" s="220"/>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c r="AA822" s="220"/>
      <c r="AB822" s="220"/>
      <c r="AC822" s="220"/>
      <c r="AD822" s="220"/>
      <c r="AE822" s="220"/>
      <c r="AF822" s="220"/>
      <c r="AG822" s="220"/>
      <c r="AH822" s="220"/>
      <c r="AI822" s="220"/>
      <c r="AJ822" s="220"/>
      <c r="AK822" s="220"/>
      <c r="AL822" s="220"/>
      <c r="AM822" s="220"/>
      <c r="AN822" s="220"/>
    </row>
    <row r="823" ht="15.75" customHeight="1">
      <c r="A823" s="220"/>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c r="AA823" s="220"/>
      <c r="AB823" s="220"/>
      <c r="AC823" s="220"/>
      <c r="AD823" s="220"/>
      <c r="AE823" s="220"/>
      <c r="AF823" s="220"/>
      <c r="AG823" s="220"/>
      <c r="AH823" s="220"/>
      <c r="AI823" s="220"/>
      <c r="AJ823" s="220"/>
      <c r="AK823" s="220"/>
      <c r="AL823" s="220"/>
      <c r="AM823" s="220"/>
      <c r="AN823" s="220"/>
    </row>
    <row r="824" ht="15.75" customHeight="1">
      <c r="A824" s="220"/>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c r="AA824" s="220"/>
      <c r="AB824" s="220"/>
      <c r="AC824" s="220"/>
      <c r="AD824" s="220"/>
      <c r="AE824" s="220"/>
      <c r="AF824" s="220"/>
      <c r="AG824" s="220"/>
      <c r="AH824" s="220"/>
      <c r="AI824" s="220"/>
      <c r="AJ824" s="220"/>
      <c r="AK824" s="220"/>
      <c r="AL824" s="220"/>
      <c r="AM824" s="220"/>
      <c r="AN824" s="220"/>
    </row>
    <row r="825" ht="15.75" customHeight="1">
      <c r="A825" s="220"/>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c r="AA825" s="220"/>
      <c r="AB825" s="220"/>
      <c r="AC825" s="220"/>
      <c r="AD825" s="220"/>
      <c r="AE825" s="220"/>
      <c r="AF825" s="220"/>
      <c r="AG825" s="220"/>
      <c r="AH825" s="220"/>
      <c r="AI825" s="220"/>
      <c r="AJ825" s="220"/>
      <c r="AK825" s="220"/>
      <c r="AL825" s="220"/>
      <c r="AM825" s="220"/>
      <c r="AN825" s="220"/>
    </row>
    <row r="826" ht="15.75" customHeight="1">
      <c r="A826" s="220"/>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c r="AA826" s="220"/>
      <c r="AB826" s="220"/>
      <c r="AC826" s="220"/>
      <c r="AD826" s="220"/>
      <c r="AE826" s="220"/>
      <c r="AF826" s="220"/>
      <c r="AG826" s="220"/>
      <c r="AH826" s="220"/>
      <c r="AI826" s="220"/>
      <c r="AJ826" s="220"/>
      <c r="AK826" s="220"/>
      <c r="AL826" s="220"/>
      <c r="AM826" s="220"/>
      <c r="AN826" s="220"/>
    </row>
    <row r="827" ht="15.75" customHeight="1">
      <c r="A827" s="220"/>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c r="AA827" s="220"/>
      <c r="AB827" s="220"/>
      <c r="AC827" s="220"/>
      <c r="AD827" s="220"/>
      <c r="AE827" s="220"/>
      <c r="AF827" s="220"/>
      <c r="AG827" s="220"/>
      <c r="AH827" s="220"/>
      <c r="AI827" s="220"/>
      <c r="AJ827" s="220"/>
      <c r="AK827" s="220"/>
      <c r="AL827" s="220"/>
      <c r="AM827" s="220"/>
      <c r="AN827" s="220"/>
    </row>
    <row r="828" ht="15.75" customHeight="1">
      <c r="A828" s="220"/>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c r="AA828" s="220"/>
      <c r="AB828" s="220"/>
      <c r="AC828" s="220"/>
      <c r="AD828" s="220"/>
      <c r="AE828" s="220"/>
      <c r="AF828" s="220"/>
      <c r="AG828" s="220"/>
      <c r="AH828" s="220"/>
      <c r="AI828" s="220"/>
      <c r="AJ828" s="220"/>
      <c r="AK828" s="220"/>
      <c r="AL828" s="220"/>
      <c r="AM828" s="220"/>
      <c r="AN828" s="220"/>
    </row>
    <row r="829" ht="15.75" customHeight="1">
      <c r="A829" s="220"/>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c r="AA829" s="220"/>
      <c r="AB829" s="220"/>
      <c r="AC829" s="220"/>
      <c r="AD829" s="220"/>
      <c r="AE829" s="220"/>
      <c r="AF829" s="220"/>
      <c r="AG829" s="220"/>
      <c r="AH829" s="220"/>
      <c r="AI829" s="220"/>
      <c r="AJ829" s="220"/>
      <c r="AK829" s="220"/>
      <c r="AL829" s="220"/>
      <c r="AM829" s="220"/>
      <c r="AN829" s="220"/>
    </row>
    <row r="830" ht="15.75" customHeight="1">
      <c r="A830" s="220"/>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c r="AA830" s="220"/>
      <c r="AB830" s="220"/>
      <c r="AC830" s="220"/>
      <c r="AD830" s="220"/>
      <c r="AE830" s="220"/>
      <c r="AF830" s="220"/>
      <c r="AG830" s="220"/>
      <c r="AH830" s="220"/>
      <c r="AI830" s="220"/>
      <c r="AJ830" s="220"/>
      <c r="AK830" s="220"/>
      <c r="AL830" s="220"/>
      <c r="AM830" s="220"/>
      <c r="AN830" s="220"/>
    </row>
    <row r="831" ht="15.75" customHeight="1">
      <c r="A831" s="220"/>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c r="AA831" s="220"/>
      <c r="AB831" s="220"/>
      <c r="AC831" s="220"/>
      <c r="AD831" s="220"/>
      <c r="AE831" s="220"/>
      <c r="AF831" s="220"/>
      <c r="AG831" s="220"/>
      <c r="AH831" s="220"/>
      <c r="AI831" s="220"/>
      <c r="AJ831" s="220"/>
      <c r="AK831" s="220"/>
      <c r="AL831" s="220"/>
      <c r="AM831" s="220"/>
      <c r="AN831" s="220"/>
    </row>
    <row r="832" ht="15.75" customHeight="1">
      <c r="A832" s="220"/>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c r="AA832" s="220"/>
      <c r="AB832" s="220"/>
      <c r="AC832" s="220"/>
      <c r="AD832" s="220"/>
      <c r="AE832" s="220"/>
      <c r="AF832" s="220"/>
      <c r="AG832" s="220"/>
      <c r="AH832" s="220"/>
      <c r="AI832" s="220"/>
      <c r="AJ832" s="220"/>
      <c r="AK832" s="220"/>
      <c r="AL832" s="220"/>
      <c r="AM832" s="220"/>
      <c r="AN832" s="220"/>
    </row>
    <row r="833" ht="15.75" customHeight="1">
      <c r="A833" s="220"/>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c r="AA833" s="220"/>
      <c r="AB833" s="220"/>
      <c r="AC833" s="220"/>
      <c r="AD833" s="220"/>
      <c r="AE833" s="220"/>
      <c r="AF833" s="220"/>
      <c r="AG833" s="220"/>
      <c r="AH833" s="220"/>
      <c r="AI833" s="220"/>
      <c r="AJ833" s="220"/>
      <c r="AK833" s="220"/>
      <c r="AL833" s="220"/>
      <c r="AM833" s="220"/>
      <c r="AN833" s="220"/>
    </row>
    <row r="834" ht="15.75" customHeight="1">
      <c r="A834" s="220"/>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c r="AA834" s="220"/>
      <c r="AB834" s="220"/>
      <c r="AC834" s="220"/>
      <c r="AD834" s="220"/>
      <c r="AE834" s="220"/>
      <c r="AF834" s="220"/>
      <c r="AG834" s="220"/>
      <c r="AH834" s="220"/>
      <c r="AI834" s="220"/>
      <c r="AJ834" s="220"/>
      <c r="AK834" s="220"/>
      <c r="AL834" s="220"/>
      <c r="AM834" s="220"/>
      <c r="AN834" s="220"/>
    </row>
    <row r="835" ht="15.75" customHeight="1">
      <c r="A835" s="220"/>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c r="AA835" s="220"/>
      <c r="AB835" s="220"/>
      <c r="AC835" s="220"/>
      <c r="AD835" s="220"/>
      <c r="AE835" s="220"/>
      <c r="AF835" s="220"/>
      <c r="AG835" s="220"/>
      <c r="AH835" s="220"/>
      <c r="AI835" s="220"/>
      <c r="AJ835" s="220"/>
      <c r="AK835" s="220"/>
      <c r="AL835" s="220"/>
      <c r="AM835" s="220"/>
      <c r="AN835" s="220"/>
    </row>
    <row r="836" ht="15.75" customHeight="1">
      <c r="A836" s="220"/>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c r="AA836" s="220"/>
      <c r="AB836" s="220"/>
      <c r="AC836" s="220"/>
      <c r="AD836" s="220"/>
      <c r="AE836" s="220"/>
      <c r="AF836" s="220"/>
      <c r="AG836" s="220"/>
      <c r="AH836" s="220"/>
      <c r="AI836" s="220"/>
      <c r="AJ836" s="220"/>
      <c r="AK836" s="220"/>
      <c r="AL836" s="220"/>
      <c r="AM836" s="220"/>
      <c r="AN836" s="220"/>
    </row>
    <row r="837" ht="15.75" customHeight="1">
      <c r="A837" s="220"/>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c r="AA837" s="220"/>
      <c r="AB837" s="220"/>
      <c r="AC837" s="220"/>
      <c r="AD837" s="220"/>
      <c r="AE837" s="220"/>
      <c r="AF837" s="220"/>
      <c r="AG837" s="220"/>
      <c r="AH837" s="220"/>
      <c r="AI837" s="220"/>
      <c r="AJ837" s="220"/>
      <c r="AK837" s="220"/>
      <c r="AL837" s="220"/>
      <c r="AM837" s="220"/>
      <c r="AN837" s="220"/>
    </row>
    <row r="838" ht="15.75" customHeight="1">
      <c r="A838" s="220"/>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c r="AA838" s="220"/>
      <c r="AB838" s="220"/>
      <c r="AC838" s="220"/>
      <c r="AD838" s="220"/>
      <c r="AE838" s="220"/>
      <c r="AF838" s="220"/>
      <c r="AG838" s="220"/>
      <c r="AH838" s="220"/>
      <c r="AI838" s="220"/>
      <c r="AJ838" s="220"/>
      <c r="AK838" s="220"/>
      <c r="AL838" s="220"/>
      <c r="AM838" s="220"/>
      <c r="AN838" s="220"/>
    </row>
    <row r="839" ht="15.75" customHeight="1">
      <c r="A839" s="220"/>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c r="AA839" s="220"/>
      <c r="AB839" s="220"/>
      <c r="AC839" s="220"/>
      <c r="AD839" s="220"/>
      <c r="AE839" s="220"/>
      <c r="AF839" s="220"/>
      <c r="AG839" s="220"/>
      <c r="AH839" s="220"/>
      <c r="AI839" s="220"/>
      <c r="AJ839" s="220"/>
      <c r="AK839" s="220"/>
      <c r="AL839" s="220"/>
      <c r="AM839" s="220"/>
      <c r="AN839" s="220"/>
    </row>
    <row r="840" ht="15.75" customHeight="1">
      <c r="A840" s="220"/>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c r="AA840" s="220"/>
      <c r="AB840" s="220"/>
      <c r="AC840" s="220"/>
      <c r="AD840" s="220"/>
      <c r="AE840" s="220"/>
      <c r="AF840" s="220"/>
      <c r="AG840" s="220"/>
      <c r="AH840" s="220"/>
      <c r="AI840" s="220"/>
      <c r="AJ840" s="220"/>
      <c r="AK840" s="220"/>
      <c r="AL840" s="220"/>
      <c r="AM840" s="220"/>
      <c r="AN840" s="220"/>
    </row>
    <row r="841" ht="15.75" customHeight="1">
      <c r="A841" s="220"/>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c r="AA841" s="220"/>
      <c r="AB841" s="220"/>
      <c r="AC841" s="220"/>
      <c r="AD841" s="220"/>
      <c r="AE841" s="220"/>
      <c r="AF841" s="220"/>
      <c r="AG841" s="220"/>
      <c r="AH841" s="220"/>
      <c r="AI841" s="220"/>
      <c r="AJ841" s="220"/>
      <c r="AK841" s="220"/>
      <c r="AL841" s="220"/>
      <c r="AM841" s="220"/>
      <c r="AN841" s="220"/>
    </row>
    <row r="842" ht="15.75" customHeight="1">
      <c r="A842" s="220"/>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c r="AA842" s="220"/>
      <c r="AB842" s="220"/>
      <c r="AC842" s="220"/>
      <c r="AD842" s="220"/>
      <c r="AE842" s="220"/>
      <c r="AF842" s="220"/>
      <c r="AG842" s="220"/>
      <c r="AH842" s="220"/>
      <c r="AI842" s="220"/>
      <c r="AJ842" s="220"/>
      <c r="AK842" s="220"/>
      <c r="AL842" s="220"/>
      <c r="AM842" s="220"/>
      <c r="AN842" s="220"/>
    </row>
    <row r="843" ht="15.75" customHeight="1">
      <c r="A843" s="220"/>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c r="AA843" s="220"/>
      <c r="AB843" s="220"/>
      <c r="AC843" s="220"/>
      <c r="AD843" s="220"/>
      <c r="AE843" s="220"/>
      <c r="AF843" s="220"/>
      <c r="AG843" s="220"/>
      <c r="AH843" s="220"/>
      <c r="AI843" s="220"/>
      <c r="AJ843" s="220"/>
      <c r="AK843" s="220"/>
      <c r="AL843" s="220"/>
      <c r="AM843" s="220"/>
      <c r="AN843" s="220"/>
    </row>
    <row r="844" ht="15.75" customHeight="1">
      <c r="A844" s="220"/>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c r="AA844" s="220"/>
      <c r="AB844" s="220"/>
      <c r="AC844" s="220"/>
      <c r="AD844" s="220"/>
      <c r="AE844" s="220"/>
      <c r="AF844" s="220"/>
      <c r="AG844" s="220"/>
      <c r="AH844" s="220"/>
      <c r="AI844" s="220"/>
      <c r="AJ844" s="220"/>
      <c r="AK844" s="220"/>
      <c r="AL844" s="220"/>
      <c r="AM844" s="220"/>
      <c r="AN844" s="220"/>
    </row>
    <row r="845" ht="15.75" customHeight="1">
      <c r="A845" s="220"/>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c r="AA845" s="220"/>
      <c r="AB845" s="220"/>
      <c r="AC845" s="220"/>
      <c r="AD845" s="220"/>
      <c r="AE845" s="220"/>
      <c r="AF845" s="220"/>
      <c r="AG845" s="220"/>
      <c r="AH845" s="220"/>
      <c r="AI845" s="220"/>
      <c r="AJ845" s="220"/>
      <c r="AK845" s="220"/>
      <c r="AL845" s="220"/>
      <c r="AM845" s="220"/>
      <c r="AN845" s="220"/>
    </row>
    <row r="846" ht="15.75" customHeight="1">
      <c r="A846" s="220"/>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c r="AA846" s="220"/>
      <c r="AB846" s="220"/>
      <c r="AC846" s="220"/>
      <c r="AD846" s="220"/>
      <c r="AE846" s="220"/>
      <c r="AF846" s="220"/>
      <c r="AG846" s="220"/>
      <c r="AH846" s="220"/>
      <c r="AI846" s="220"/>
      <c r="AJ846" s="220"/>
      <c r="AK846" s="220"/>
      <c r="AL846" s="220"/>
      <c r="AM846" s="220"/>
      <c r="AN846" s="220"/>
    </row>
    <row r="847" ht="15.75" customHeight="1">
      <c r="A847" s="220"/>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c r="AA847" s="220"/>
      <c r="AB847" s="220"/>
      <c r="AC847" s="220"/>
      <c r="AD847" s="220"/>
      <c r="AE847" s="220"/>
      <c r="AF847" s="220"/>
      <c r="AG847" s="220"/>
      <c r="AH847" s="220"/>
      <c r="AI847" s="220"/>
      <c r="AJ847" s="220"/>
      <c r="AK847" s="220"/>
      <c r="AL847" s="220"/>
      <c r="AM847" s="220"/>
      <c r="AN847" s="220"/>
    </row>
    <row r="848" ht="15.75" customHeight="1">
      <c r="A848" s="220"/>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c r="AA848" s="220"/>
      <c r="AB848" s="220"/>
      <c r="AC848" s="220"/>
      <c r="AD848" s="220"/>
      <c r="AE848" s="220"/>
      <c r="AF848" s="220"/>
      <c r="AG848" s="220"/>
      <c r="AH848" s="220"/>
      <c r="AI848" s="220"/>
      <c r="AJ848" s="220"/>
      <c r="AK848" s="220"/>
      <c r="AL848" s="220"/>
      <c r="AM848" s="220"/>
      <c r="AN848" s="220"/>
    </row>
    <row r="849" ht="15.75" customHeight="1">
      <c r="A849" s="220"/>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c r="AA849" s="220"/>
      <c r="AB849" s="220"/>
      <c r="AC849" s="220"/>
      <c r="AD849" s="220"/>
      <c r="AE849" s="220"/>
      <c r="AF849" s="220"/>
      <c r="AG849" s="220"/>
      <c r="AH849" s="220"/>
      <c r="AI849" s="220"/>
      <c r="AJ849" s="220"/>
      <c r="AK849" s="220"/>
      <c r="AL849" s="220"/>
      <c r="AM849" s="220"/>
      <c r="AN849" s="220"/>
    </row>
    <row r="850" ht="15.75" customHeight="1">
      <c r="A850" s="220"/>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c r="AA850" s="220"/>
      <c r="AB850" s="220"/>
      <c r="AC850" s="220"/>
      <c r="AD850" s="220"/>
      <c r="AE850" s="220"/>
      <c r="AF850" s="220"/>
      <c r="AG850" s="220"/>
      <c r="AH850" s="220"/>
      <c r="AI850" s="220"/>
      <c r="AJ850" s="220"/>
      <c r="AK850" s="220"/>
      <c r="AL850" s="220"/>
      <c r="AM850" s="220"/>
      <c r="AN850" s="220"/>
    </row>
    <row r="851" ht="15.75" customHeight="1">
      <c r="A851" s="220"/>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c r="AA851" s="220"/>
      <c r="AB851" s="220"/>
      <c r="AC851" s="220"/>
      <c r="AD851" s="220"/>
      <c r="AE851" s="220"/>
      <c r="AF851" s="220"/>
      <c r="AG851" s="220"/>
      <c r="AH851" s="220"/>
      <c r="AI851" s="220"/>
      <c r="AJ851" s="220"/>
      <c r="AK851" s="220"/>
      <c r="AL851" s="220"/>
      <c r="AM851" s="220"/>
      <c r="AN851" s="220"/>
    </row>
    <row r="852" ht="15.75" customHeight="1">
      <c r="A852" s="220"/>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c r="AA852" s="220"/>
      <c r="AB852" s="220"/>
      <c r="AC852" s="220"/>
      <c r="AD852" s="220"/>
      <c r="AE852" s="220"/>
      <c r="AF852" s="220"/>
      <c r="AG852" s="220"/>
      <c r="AH852" s="220"/>
      <c r="AI852" s="220"/>
      <c r="AJ852" s="220"/>
      <c r="AK852" s="220"/>
      <c r="AL852" s="220"/>
      <c r="AM852" s="220"/>
      <c r="AN852" s="220"/>
    </row>
    <row r="853" ht="15.75" customHeight="1">
      <c r="A853" s="220"/>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c r="AA853" s="220"/>
      <c r="AB853" s="220"/>
      <c r="AC853" s="220"/>
      <c r="AD853" s="220"/>
      <c r="AE853" s="220"/>
      <c r="AF853" s="220"/>
      <c r="AG853" s="220"/>
      <c r="AH853" s="220"/>
      <c r="AI853" s="220"/>
      <c r="AJ853" s="220"/>
      <c r="AK853" s="220"/>
      <c r="AL853" s="220"/>
      <c r="AM853" s="220"/>
      <c r="AN853" s="220"/>
    </row>
    <row r="854" ht="15.75" customHeight="1">
      <c r="A854" s="220"/>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c r="AA854" s="220"/>
      <c r="AB854" s="220"/>
      <c r="AC854" s="220"/>
      <c r="AD854" s="220"/>
      <c r="AE854" s="220"/>
      <c r="AF854" s="220"/>
      <c r="AG854" s="220"/>
      <c r="AH854" s="220"/>
      <c r="AI854" s="220"/>
      <c r="AJ854" s="220"/>
      <c r="AK854" s="220"/>
      <c r="AL854" s="220"/>
      <c r="AM854" s="220"/>
      <c r="AN854" s="220"/>
    </row>
    <row r="855" ht="15.75" customHeight="1">
      <c r="A855" s="220"/>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c r="AA855" s="220"/>
      <c r="AB855" s="220"/>
      <c r="AC855" s="220"/>
      <c r="AD855" s="220"/>
      <c r="AE855" s="220"/>
      <c r="AF855" s="220"/>
      <c r="AG855" s="220"/>
      <c r="AH855" s="220"/>
      <c r="AI855" s="220"/>
      <c r="AJ855" s="220"/>
      <c r="AK855" s="220"/>
      <c r="AL855" s="220"/>
      <c r="AM855" s="220"/>
      <c r="AN855" s="220"/>
    </row>
    <row r="856" ht="15.75" customHeight="1">
      <c r="A856" s="220"/>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c r="AA856" s="220"/>
      <c r="AB856" s="220"/>
      <c r="AC856" s="220"/>
      <c r="AD856" s="220"/>
      <c r="AE856" s="220"/>
      <c r="AF856" s="220"/>
      <c r="AG856" s="220"/>
      <c r="AH856" s="220"/>
      <c r="AI856" s="220"/>
      <c r="AJ856" s="220"/>
      <c r="AK856" s="220"/>
      <c r="AL856" s="220"/>
      <c r="AM856" s="220"/>
      <c r="AN856" s="220"/>
    </row>
    <row r="857" ht="15.75" customHeight="1">
      <c r="A857" s="220"/>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c r="AA857" s="220"/>
      <c r="AB857" s="220"/>
      <c r="AC857" s="220"/>
      <c r="AD857" s="220"/>
      <c r="AE857" s="220"/>
      <c r="AF857" s="220"/>
      <c r="AG857" s="220"/>
      <c r="AH857" s="220"/>
      <c r="AI857" s="220"/>
      <c r="AJ857" s="220"/>
      <c r="AK857" s="220"/>
      <c r="AL857" s="220"/>
      <c r="AM857" s="220"/>
      <c r="AN857" s="220"/>
    </row>
    <row r="858" ht="15.75" customHeight="1">
      <c r="A858" s="220"/>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c r="AA858" s="220"/>
      <c r="AB858" s="220"/>
      <c r="AC858" s="220"/>
      <c r="AD858" s="220"/>
      <c r="AE858" s="220"/>
      <c r="AF858" s="220"/>
      <c r="AG858" s="220"/>
      <c r="AH858" s="220"/>
      <c r="AI858" s="220"/>
      <c r="AJ858" s="220"/>
      <c r="AK858" s="220"/>
      <c r="AL858" s="220"/>
      <c r="AM858" s="220"/>
      <c r="AN858" s="220"/>
    </row>
    <row r="859" ht="15.75" customHeight="1">
      <c r="A859" s="220"/>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c r="AA859" s="220"/>
      <c r="AB859" s="220"/>
      <c r="AC859" s="220"/>
      <c r="AD859" s="220"/>
      <c r="AE859" s="220"/>
      <c r="AF859" s="220"/>
      <c r="AG859" s="220"/>
      <c r="AH859" s="220"/>
      <c r="AI859" s="220"/>
      <c r="AJ859" s="220"/>
      <c r="AK859" s="220"/>
      <c r="AL859" s="220"/>
      <c r="AM859" s="220"/>
      <c r="AN859" s="220"/>
    </row>
    <row r="860" ht="15.75" customHeight="1">
      <c r="A860" s="220"/>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c r="AA860" s="220"/>
      <c r="AB860" s="220"/>
      <c r="AC860" s="220"/>
      <c r="AD860" s="220"/>
      <c r="AE860" s="220"/>
      <c r="AF860" s="220"/>
      <c r="AG860" s="220"/>
      <c r="AH860" s="220"/>
      <c r="AI860" s="220"/>
      <c r="AJ860" s="220"/>
      <c r="AK860" s="220"/>
      <c r="AL860" s="220"/>
      <c r="AM860" s="220"/>
      <c r="AN860" s="220"/>
    </row>
    <row r="861" ht="15.75" customHeight="1">
      <c r="A861" s="220"/>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c r="AA861" s="220"/>
      <c r="AB861" s="220"/>
      <c r="AC861" s="220"/>
      <c r="AD861" s="220"/>
      <c r="AE861" s="220"/>
      <c r="AF861" s="220"/>
      <c r="AG861" s="220"/>
      <c r="AH861" s="220"/>
      <c r="AI861" s="220"/>
      <c r="AJ861" s="220"/>
      <c r="AK861" s="220"/>
      <c r="AL861" s="220"/>
      <c r="AM861" s="220"/>
      <c r="AN861" s="220"/>
    </row>
    <row r="862" ht="15.75" customHeight="1">
      <c r="A862" s="220"/>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c r="AA862" s="220"/>
      <c r="AB862" s="220"/>
      <c r="AC862" s="220"/>
      <c r="AD862" s="220"/>
      <c r="AE862" s="220"/>
      <c r="AF862" s="220"/>
      <c r="AG862" s="220"/>
      <c r="AH862" s="220"/>
      <c r="AI862" s="220"/>
      <c r="AJ862" s="220"/>
      <c r="AK862" s="220"/>
      <c r="AL862" s="220"/>
      <c r="AM862" s="220"/>
      <c r="AN862" s="220"/>
    </row>
    <row r="863" ht="15.75" customHeight="1">
      <c r="A863" s="220"/>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c r="AA863" s="220"/>
      <c r="AB863" s="220"/>
      <c r="AC863" s="220"/>
      <c r="AD863" s="220"/>
      <c r="AE863" s="220"/>
      <c r="AF863" s="220"/>
      <c r="AG863" s="220"/>
      <c r="AH863" s="220"/>
      <c r="AI863" s="220"/>
      <c r="AJ863" s="220"/>
      <c r="AK863" s="220"/>
      <c r="AL863" s="220"/>
      <c r="AM863" s="220"/>
      <c r="AN863" s="220"/>
    </row>
    <row r="864" ht="15.75" customHeight="1">
      <c r="A864" s="220"/>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c r="AA864" s="220"/>
      <c r="AB864" s="220"/>
      <c r="AC864" s="220"/>
      <c r="AD864" s="220"/>
      <c r="AE864" s="220"/>
      <c r="AF864" s="220"/>
      <c r="AG864" s="220"/>
      <c r="AH864" s="220"/>
      <c r="AI864" s="220"/>
      <c r="AJ864" s="220"/>
      <c r="AK864" s="220"/>
      <c r="AL864" s="220"/>
      <c r="AM864" s="220"/>
      <c r="AN864" s="220"/>
    </row>
    <row r="865" ht="15.75" customHeight="1">
      <c r="A865" s="220"/>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c r="AA865" s="220"/>
      <c r="AB865" s="220"/>
      <c r="AC865" s="220"/>
      <c r="AD865" s="220"/>
      <c r="AE865" s="220"/>
      <c r="AF865" s="220"/>
      <c r="AG865" s="220"/>
      <c r="AH865" s="220"/>
      <c r="AI865" s="220"/>
      <c r="AJ865" s="220"/>
      <c r="AK865" s="220"/>
      <c r="AL865" s="220"/>
      <c r="AM865" s="220"/>
      <c r="AN865" s="220"/>
    </row>
    <row r="866" ht="15.75" customHeight="1">
      <c r="A866" s="220"/>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c r="AA866" s="220"/>
      <c r="AB866" s="220"/>
      <c r="AC866" s="220"/>
      <c r="AD866" s="220"/>
      <c r="AE866" s="220"/>
      <c r="AF866" s="220"/>
      <c r="AG866" s="220"/>
      <c r="AH866" s="220"/>
      <c r="AI866" s="220"/>
      <c r="AJ866" s="220"/>
      <c r="AK866" s="220"/>
      <c r="AL866" s="220"/>
      <c r="AM866" s="220"/>
      <c r="AN866" s="220"/>
    </row>
    <row r="867" ht="15.75" customHeight="1">
      <c r="A867" s="220"/>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c r="AA867" s="220"/>
      <c r="AB867" s="220"/>
      <c r="AC867" s="220"/>
      <c r="AD867" s="220"/>
      <c r="AE867" s="220"/>
      <c r="AF867" s="220"/>
      <c r="AG867" s="220"/>
      <c r="AH867" s="220"/>
      <c r="AI867" s="220"/>
      <c r="AJ867" s="220"/>
      <c r="AK867" s="220"/>
      <c r="AL867" s="220"/>
      <c r="AM867" s="220"/>
      <c r="AN867" s="220"/>
    </row>
    <row r="868" ht="15.75" customHeight="1">
      <c r="A868" s="220"/>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c r="AA868" s="220"/>
      <c r="AB868" s="220"/>
      <c r="AC868" s="220"/>
      <c r="AD868" s="220"/>
      <c r="AE868" s="220"/>
      <c r="AF868" s="220"/>
      <c r="AG868" s="220"/>
      <c r="AH868" s="220"/>
      <c r="AI868" s="220"/>
      <c r="AJ868" s="220"/>
      <c r="AK868" s="220"/>
      <c r="AL868" s="220"/>
      <c r="AM868" s="220"/>
      <c r="AN868" s="220"/>
    </row>
    <row r="869" ht="15.75" customHeight="1">
      <c r="A869" s="220"/>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c r="AA869" s="220"/>
      <c r="AB869" s="220"/>
      <c r="AC869" s="220"/>
      <c r="AD869" s="220"/>
      <c r="AE869" s="220"/>
      <c r="AF869" s="220"/>
      <c r="AG869" s="220"/>
      <c r="AH869" s="220"/>
      <c r="AI869" s="220"/>
      <c r="AJ869" s="220"/>
      <c r="AK869" s="220"/>
      <c r="AL869" s="220"/>
      <c r="AM869" s="220"/>
      <c r="AN869" s="220"/>
    </row>
    <row r="870" ht="15.75" customHeight="1">
      <c r="A870" s="220"/>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c r="AA870" s="220"/>
      <c r="AB870" s="220"/>
      <c r="AC870" s="220"/>
      <c r="AD870" s="220"/>
      <c r="AE870" s="220"/>
      <c r="AF870" s="220"/>
      <c r="AG870" s="220"/>
      <c r="AH870" s="220"/>
      <c r="AI870" s="220"/>
      <c r="AJ870" s="220"/>
      <c r="AK870" s="220"/>
      <c r="AL870" s="220"/>
      <c r="AM870" s="220"/>
      <c r="AN870" s="220"/>
    </row>
    <row r="871" ht="15.75" customHeight="1">
      <c r="A871" s="220"/>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c r="AA871" s="220"/>
      <c r="AB871" s="220"/>
      <c r="AC871" s="220"/>
      <c r="AD871" s="220"/>
      <c r="AE871" s="220"/>
      <c r="AF871" s="220"/>
      <c r="AG871" s="220"/>
      <c r="AH871" s="220"/>
      <c r="AI871" s="220"/>
      <c r="AJ871" s="220"/>
      <c r="AK871" s="220"/>
      <c r="AL871" s="220"/>
      <c r="AM871" s="220"/>
      <c r="AN871" s="220"/>
    </row>
    <row r="872" ht="15.75" customHeight="1">
      <c r="A872" s="220"/>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c r="AA872" s="220"/>
      <c r="AB872" s="220"/>
      <c r="AC872" s="220"/>
      <c r="AD872" s="220"/>
      <c r="AE872" s="220"/>
      <c r="AF872" s="220"/>
      <c r="AG872" s="220"/>
      <c r="AH872" s="220"/>
      <c r="AI872" s="220"/>
      <c r="AJ872" s="220"/>
      <c r="AK872" s="220"/>
      <c r="AL872" s="220"/>
      <c r="AM872" s="220"/>
      <c r="AN872" s="220"/>
    </row>
    <row r="873" ht="15.75" customHeight="1">
      <c r="A873" s="220"/>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c r="AA873" s="220"/>
      <c r="AB873" s="220"/>
      <c r="AC873" s="220"/>
      <c r="AD873" s="220"/>
      <c r="AE873" s="220"/>
      <c r="AF873" s="220"/>
      <c r="AG873" s="220"/>
      <c r="AH873" s="220"/>
      <c r="AI873" s="220"/>
      <c r="AJ873" s="220"/>
      <c r="AK873" s="220"/>
      <c r="AL873" s="220"/>
      <c r="AM873" s="220"/>
      <c r="AN873" s="220"/>
    </row>
    <row r="874" ht="15.75" customHeight="1">
      <c r="A874" s="220"/>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c r="AA874" s="220"/>
      <c r="AB874" s="220"/>
      <c r="AC874" s="220"/>
      <c r="AD874" s="220"/>
      <c r="AE874" s="220"/>
      <c r="AF874" s="220"/>
      <c r="AG874" s="220"/>
      <c r="AH874" s="220"/>
      <c r="AI874" s="220"/>
      <c r="AJ874" s="220"/>
      <c r="AK874" s="220"/>
      <c r="AL874" s="220"/>
      <c r="AM874" s="220"/>
      <c r="AN874" s="220"/>
    </row>
    <row r="875" ht="15.75" customHeight="1">
      <c r="A875" s="220"/>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c r="AA875" s="220"/>
      <c r="AB875" s="220"/>
      <c r="AC875" s="220"/>
      <c r="AD875" s="220"/>
      <c r="AE875" s="220"/>
      <c r="AF875" s="220"/>
      <c r="AG875" s="220"/>
      <c r="AH875" s="220"/>
      <c r="AI875" s="220"/>
      <c r="AJ875" s="220"/>
      <c r="AK875" s="220"/>
      <c r="AL875" s="220"/>
      <c r="AM875" s="220"/>
      <c r="AN875" s="220"/>
    </row>
    <row r="876" ht="15.75" customHeight="1">
      <c r="A876" s="220"/>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c r="AA876" s="220"/>
      <c r="AB876" s="220"/>
      <c r="AC876" s="220"/>
      <c r="AD876" s="220"/>
      <c r="AE876" s="220"/>
      <c r="AF876" s="220"/>
      <c r="AG876" s="220"/>
      <c r="AH876" s="220"/>
      <c r="AI876" s="220"/>
      <c r="AJ876" s="220"/>
      <c r="AK876" s="220"/>
      <c r="AL876" s="220"/>
      <c r="AM876" s="220"/>
      <c r="AN876" s="220"/>
    </row>
    <row r="877" ht="15.75" customHeight="1">
      <c r="A877" s="220"/>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c r="AA877" s="220"/>
      <c r="AB877" s="220"/>
      <c r="AC877" s="220"/>
      <c r="AD877" s="220"/>
      <c r="AE877" s="220"/>
      <c r="AF877" s="220"/>
      <c r="AG877" s="220"/>
      <c r="AH877" s="220"/>
      <c r="AI877" s="220"/>
      <c r="AJ877" s="220"/>
      <c r="AK877" s="220"/>
      <c r="AL877" s="220"/>
      <c r="AM877" s="220"/>
      <c r="AN877" s="220"/>
    </row>
    <row r="878" ht="15.75" customHeight="1">
      <c r="A878" s="220"/>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c r="AA878" s="220"/>
      <c r="AB878" s="220"/>
      <c r="AC878" s="220"/>
      <c r="AD878" s="220"/>
      <c r="AE878" s="220"/>
      <c r="AF878" s="220"/>
      <c r="AG878" s="220"/>
      <c r="AH878" s="220"/>
      <c r="AI878" s="220"/>
      <c r="AJ878" s="220"/>
      <c r="AK878" s="220"/>
      <c r="AL878" s="220"/>
      <c r="AM878" s="220"/>
      <c r="AN878" s="220"/>
    </row>
    <row r="879" ht="15.75" customHeight="1">
      <c r="A879" s="220"/>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c r="AA879" s="220"/>
      <c r="AB879" s="220"/>
      <c r="AC879" s="220"/>
      <c r="AD879" s="220"/>
      <c r="AE879" s="220"/>
      <c r="AF879" s="220"/>
      <c r="AG879" s="220"/>
      <c r="AH879" s="220"/>
      <c r="AI879" s="220"/>
      <c r="AJ879" s="220"/>
      <c r="AK879" s="220"/>
      <c r="AL879" s="220"/>
      <c r="AM879" s="220"/>
      <c r="AN879" s="220"/>
    </row>
    <row r="880" ht="15.75" customHeight="1">
      <c r="A880" s="220"/>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c r="AA880" s="220"/>
      <c r="AB880" s="220"/>
      <c r="AC880" s="220"/>
      <c r="AD880" s="220"/>
      <c r="AE880" s="220"/>
      <c r="AF880" s="220"/>
      <c r="AG880" s="220"/>
      <c r="AH880" s="220"/>
      <c r="AI880" s="220"/>
      <c r="AJ880" s="220"/>
      <c r="AK880" s="220"/>
      <c r="AL880" s="220"/>
      <c r="AM880" s="220"/>
      <c r="AN880" s="220"/>
    </row>
    <row r="881" ht="15.75" customHeight="1">
      <c r="A881" s="220"/>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c r="AA881" s="220"/>
      <c r="AB881" s="220"/>
      <c r="AC881" s="220"/>
      <c r="AD881" s="220"/>
      <c r="AE881" s="220"/>
      <c r="AF881" s="220"/>
      <c r="AG881" s="220"/>
      <c r="AH881" s="220"/>
      <c r="AI881" s="220"/>
      <c r="AJ881" s="220"/>
      <c r="AK881" s="220"/>
      <c r="AL881" s="220"/>
      <c r="AM881" s="220"/>
      <c r="AN881" s="220"/>
    </row>
    <row r="882" ht="15.75" customHeight="1">
      <c r="A882" s="220"/>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c r="AA882" s="220"/>
      <c r="AB882" s="220"/>
      <c r="AC882" s="220"/>
      <c r="AD882" s="220"/>
      <c r="AE882" s="220"/>
      <c r="AF882" s="220"/>
      <c r="AG882" s="220"/>
      <c r="AH882" s="220"/>
      <c r="AI882" s="220"/>
      <c r="AJ882" s="220"/>
      <c r="AK882" s="220"/>
      <c r="AL882" s="220"/>
      <c r="AM882" s="220"/>
      <c r="AN882" s="220"/>
    </row>
    <row r="883" ht="15.75" customHeight="1">
      <c r="A883" s="220"/>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c r="AA883" s="220"/>
      <c r="AB883" s="220"/>
      <c r="AC883" s="220"/>
      <c r="AD883" s="220"/>
      <c r="AE883" s="220"/>
      <c r="AF883" s="220"/>
      <c r="AG883" s="220"/>
      <c r="AH883" s="220"/>
      <c r="AI883" s="220"/>
      <c r="AJ883" s="220"/>
      <c r="AK883" s="220"/>
      <c r="AL883" s="220"/>
      <c r="AM883" s="220"/>
      <c r="AN883" s="220"/>
    </row>
    <row r="884" ht="15.75" customHeight="1">
      <c r="A884" s="220"/>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c r="AA884" s="220"/>
      <c r="AB884" s="220"/>
      <c r="AC884" s="220"/>
      <c r="AD884" s="220"/>
      <c r="AE884" s="220"/>
      <c r="AF884" s="220"/>
      <c r="AG884" s="220"/>
      <c r="AH884" s="220"/>
      <c r="AI884" s="220"/>
      <c r="AJ884" s="220"/>
      <c r="AK884" s="220"/>
      <c r="AL884" s="220"/>
      <c r="AM884" s="220"/>
      <c r="AN884" s="220"/>
    </row>
    <row r="885" ht="15.75" customHeight="1">
      <c r="A885" s="220"/>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c r="AA885" s="220"/>
      <c r="AB885" s="220"/>
      <c r="AC885" s="220"/>
      <c r="AD885" s="220"/>
      <c r="AE885" s="220"/>
      <c r="AF885" s="220"/>
      <c r="AG885" s="220"/>
      <c r="AH885" s="220"/>
      <c r="AI885" s="220"/>
      <c r="AJ885" s="220"/>
      <c r="AK885" s="220"/>
      <c r="AL885" s="220"/>
      <c r="AM885" s="220"/>
      <c r="AN885" s="220"/>
    </row>
    <row r="886" ht="15.75" customHeight="1">
      <c r="A886" s="220"/>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c r="AA886" s="220"/>
      <c r="AB886" s="220"/>
      <c r="AC886" s="220"/>
      <c r="AD886" s="220"/>
      <c r="AE886" s="220"/>
      <c r="AF886" s="220"/>
      <c r="AG886" s="220"/>
      <c r="AH886" s="220"/>
      <c r="AI886" s="220"/>
      <c r="AJ886" s="220"/>
      <c r="AK886" s="220"/>
      <c r="AL886" s="220"/>
      <c r="AM886" s="220"/>
      <c r="AN886" s="220"/>
    </row>
    <row r="887" ht="15.75" customHeight="1">
      <c r="A887" s="220"/>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c r="AA887" s="220"/>
      <c r="AB887" s="220"/>
      <c r="AC887" s="220"/>
      <c r="AD887" s="220"/>
      <c r="AE887" s="220"/>
      <c r="AF887" s="220"/>
      <c r="AG887" s="220"/>
      <c r="AH887" s="220"/>
      <c r="AI887" s="220"/>
      <c r="AJ887" s="220"/>
      <c r="AK887" s="220"/>
      <c r="AL887" s="220"/>
      <c r="AM887" s="220"/>
      <c r="AN887" s="220"/>
    </row>
    <row r="888" ht="15.75" customHeight="1">
      <c r="A888" s="220"/>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c r="AA888" s="220"/>
      <c r="AB888" s="220"/>
      <c r="AC888" s="220"/>
      <c r="AD888" s="220"/>
      <c r="AE888" s="220"/>
      <c r="AF888" s="220"/>
      <c r="AG888" s="220"/>
      <c r="AH888" s="220"/>
      <c r="AI888" s="220"/>
      <c r="AJ888" s="220"/>
      <c r="AK888" s="220"/>
      <c r="AL888" s="220"/>
      <c r="AM888" s="220"/>
      <c r="AN888" s="220"/>
    </row>
    <row r="889" ht="15.75" customHeight="1">
      <c r="A889" s="220"/>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c r="AA889" s="220"/>
      <c r="AB889" s="220"/>
      <c r="AC889" s="220"/>
      <c r="AD889" s="220"/>
      <c r="AE889" s="220"/>
      <c r="AF889" s="220"/>
      <c r="AG889" s="220"/>
      <c r="AH889" s="220"/>
      <c r="AI889" s="220"/>
      <c r="AJ889" s="220"/>
      <c r="AK889" s="220"/>
      <c r="AL889" s="220"/>
      <c r="AM889" s="220"/>
      <c r="AN889" s="220"/>
    </row>
    <row r="890" ht="15.75" customHeight="1">
      <c r="A890" s="220"/>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c r="AA890" s="220"/>
      <c r="AB890" s="220"/>
      <c r="AC890" s="220"/>
      <c r="AD890" s="220"/>
      <c r="AE890" s="220"/>
      <c r="AF890" s="220"/>
      <c r="AG890" s="220"/>
      <c r="AH890" s="220"/>
      <c r="AI890" s="220"/>
      <c r="AJ890" s="220"/>
      <c r="AK890" s="220"/>
      <c r="AL890" s="220"/>
      <c r="AM890" s="220"/>
      <c r="AN890" s="220"/>
    </row>
    <row r="891" ht="15.75" customHeight="1">
      <c r="A891" s="220"/>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c r="AA891" s="220"/>
      <c r="AB891" s="220"/>
      <c r="AC891" s="220"/>
      <c r="AD891" s="220"/>
      <c r="AE891" s="220"/>
      <c r="AF891" s="220"/>
      <c r="AG891" s="220"/>
      <c r="AH891" s="220"/>
      <c r="AI891" s="220"/>
      <c r="AJ891" s="220"/>
      <c r="AK891" s="220"/>
      <c r="AL891" s="220"/>
      <c r="AM891" s="220"/>
      <c r="AN891" s="220"/>
    </row>
    <row r="892" ht="15.75" customHeight="1">
      <c r="A892" s="220"/>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c r="AA892" s="220"/>
      <c r="AB892" s="220"/>
      <c r="AC892" s="220"/>
      <c r="AD892" s="220"/>
      <c r="AE892" s="220"/>
      <c r="AF892" s="220"/>
      <c r="AG892" s="220"/>
      <c r="AH892" s="220"/>
      <c r="AI892" s="220"/>
      <c r="AJ892" s="220"/>
      <c r="AK892" s="220"/>
      <c r="AL892" s="220"/>
      <c r="AM892" s="220"/>
      <c r="AN892" s="220"/>
    </row>
    <row r="893" ht="15.75" customHeight="1">
      <c r="A893" s="220"/>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c r="AA893" s="220"/>
      <c r="AB893" s="220"/>
      <c r="AC893" s="220"/>
      <c r="AD893" s="220"/>
      <c r="AE893" s="220"/>
      <c r="AF893" s="220"/>
      <c r="AG893" s="220"/>
      <c r="AH893" s="220"/>
      <c r="AI893" s="220"/>
      <c r="AJ893" s="220"/>
      <c r="AK893" s="220"/>
      <c r="AL893" s="220"/>
      <c r="AM893" s="220"/>
      <c r="AN893" s="220"/>
    </row>
    <row r="894" ht="15.75" customHeight="1">
      <c r="A894" s="220"/>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c r="AA894" s="220"/>
      <c r="AB894" s="220"/>
      <c r="AC894" s="220"/>
      <c r="AD894" s="220"/>
      <c r="AE894" s="220"/>
      <c r="AF894" s="220"/>
      <c r="AG894" s="220"/>
      <c r="AH894" s="220"/>
      <c r="AI894" s="220"/>
      <c r="AJ894" s="220"/>
      <c r="AK894" s="220"/>
      <c r="AL894" s="220"/>
      <c r="AM894" s="220"/>
      <c r="AN894" s="220"/>
    </row>
    <row r="895" ht="15.75" customHeight="1">
      <c r="A895" s="220"/>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c r="AA895" s="220"/>
      <c r="AB895" s="220"/>
      <c r="AC895" s="220"/>
      <c r="AD895" s="220"/>
      <c r="AE895" s="220"/>
      <c r="AF895" s="220"/>
      <c r="AG895" s="220"/>
      <c r="AH895" s="220"/>
      <c r="AI895" s="220"/>
      <c r="AJ895" s="220"/>
      <c r="AK895" s="220"/>
      <c r="AL895" s="220"/>
      <c r="AM895" s="220"/>
      <c r="AN895" s="220"/>
    </row>
    <row r="896" ht="15.75" customHeight="1">
      <c r="A896" s="220"/>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c r="AA896" s="220"/>
      <c r="AB896" s="220"/>
      <c r="AC896" s="220"/>
      <c r="AD896" s="220"/>
      <c r="AE896" s="220"/>
      <c r="AF896" s="220"/>
      <c r="AG896" s="220"/>
      <c r="AH896" s="220"/>
      <c r="AI896" s="220"/>
      <c r="AJ896" s="220"/>
      <c r="AK896" s="220"/>
      <c r="AL896" s="220"/>
      <c r="AM896" s="220"/>
      <c r="AN896" s="220"/>
    </row>
    <row r="897" ht="15.75" customHeight="1">
      <c r="A897" s="220"/>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c r="AA897" s="220"/>
      <c r="AB897" s="220"/>
      <c r="AC897" s="220"/>
      <c r="AD897" s="220"/>
      <c r="AE897" s="220"/>
      <c r="AF897" s="220"/>
      <c r="AG897" s="220"/>
      <c r="AH897" s="220"/>
      <c r="AI897" s="220"/>
      <c r="AJ897" s="220"/>
      <c r="AK897" s="220"/>
      <c r="AL897" s="220"/>
      <c r="AM897" s="220"/>
      <c r="AN897" s="220"/>
    </row>
    <row r="898" ht="15.75" customHeight="1">
      <c r="A898" s="220"/>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c r="AA898" s="220"/>
      <c r="AB898" s="220"/>
      <c r="AC898" s="220"/>
      <c r="AD898" s="220"/>
      <c r="AE898" s="220"/>
      <c r="AF898" s="220"/>
      <c r="AG898" s="220"/>
      <c r="AH898" s="220"/>
      <c r="AI898" s="220"/>
      <c r="AJ898" s="220"/>
      <c r="AK898" s="220"/>
      <c r="AL898" s="220"/>
      <c r="AM898" s="220"/>
      <c r="AN898" s="220"/>
    </row>
    <row r="899" ht="15.75" customHeight="1">
      <c r="A899" s="220"/>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c r="AA899" s="220"/>
      <c r="AB899" s="220"/>
      <c r="AC899" s="220"/>
      <c r="AD899" s="220"/>
      <c r="AE899" s="220"/>
      <c r="AF899" s="220"/>
      <c r="AG899" s="220"/>
      <c r="AH899" s="220"/>
      <c r="AI899" s="220"/>
      <c r="AJ899" s="220"/>
      <c r="AK899" s="220"/>
      <c r="AL899" s="220"/>
      <c r="AM899" s="220"/>
      <c r="AN899" s="220"/>
    </row>
    <row r="900" ht="15.75" customHeight="1">
      <c r="A900" s="220"/>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c r="AA900" s="220"/>
      <c r="AB900" s="220"/>
      <c r="AC900" s="220"/>
      <c r="AD900" s="220"/>
      <c r="AE900" s="220"/>
      <c r="AF900" s="220"/>
      <c r="AG900" s="220"/>
      <c r="AH900" s="220"/>
      <c r="AI900" s="220"/>
      <c r="AJ900" s="220"/>
      <c r="AK900" s="220"/>
      <c r="AL900" s="220"/>
      <c r="AM900" s="220"/>
      <c r="AN900" s="220"/>
    </row>
    <row r="901" ht="15.75" customHeight="1">
      <c r="A901" s="220"/>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c r="AA901" s="220"/>
      <c r="AB901" s="220"/>
      <c r="AC901" s="220"/>
      <c r="AD901" s="220"/>
      <c r="AE901" s="220"/>
      <c r="AF901" s="220"/>
      <c r="AG901" s="220"/>
      <c r="AH901" s="220"/>
      <c r="AI901" s="220"/>
      <c r="AJ901" s="220"/>
      <c r="AK901" s="220"/>
      <c r="AL901" s="220"/>
      <c r="AM901" s="220"/>
      <c r="AN901" s="220"/>
    </row>
    <row r="902" ht="15.75" customHeight="1">
      <c r="A902" s="220"/>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c r="AA902" s="220"/>
      <c r="AB902" s="220"/>
      <c r="AC902" s="220"/>
      <c r="AD902" s="220"/>
      <c r="AE902" s="220"/>
      <c r="AF902" s="220"/>
      <c r="AG902" s="220"/>
      <c r="AH902" s="220"/>
      <c r="AI902" s="220"/>
      <c r="AJ902" s="220"/>
      <c r="AK902" s="220"/>
      <c r="AL902" s="220"/>
      <c r="AM902" s="220"/>
      <c r="AN902" s="220"/>
    </row>
    <row r="903" ht="15.75" customHeight="1">
      <c r="A903" s="220"/>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c r="AA903" s="220"/>
      <c r="AB903" s="220"/>
      <c r="AC903" s="220"/>
      <c r="AD903" s="220"/>
      <c r="AE903" s="220"/>
      <c r="AF903" s="220"/>
      <c r="AG903" s="220"/>
      <c r="AH903" s="220"/>
      <c r="AI903" s="220"/>
      <c r="AJ903" s="220"/>
      <c r="AK903" s="220"/>
      <c r="AL903" s="220"/>
      <c r="AM903" s="220"/>
      <c r="AN903" s="220"/>
    </row>
    <row r="904" ht="15.75" customHeight="1">
      <c r="A904" s="220"/>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c r="AA904" s="220"/>
      <c r="AB904" s="220"/>
      <c r="AC904" s="220"/>
      <c r="AD904" s="220"/>
      <c r="AE904" s="220"/>
      <c r="AF904" s="220"/>
      <c r="AG904" s="220"/>
      <c r="AH904" s="220"/>
      <c r="AI904" s="220"/>
      <c r="AJ904" s="220"/>
      <c r="AK904" s="220"/>
      <c r="AL904" s="220"/>
      <c r="AM904" s="220"/>
      <c r="AN904" s="220"/>
    </row>
    <row r="905" ht="15.75" customHeight="1">
      <c r="A905" s="220"/>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c r="AA905" s="220"/>
      <c r="AB905" s="220"/>
      <c r="AC905" s="220"/>
      <c r="AD905" s="220"/>
      <c r="AE905" s="220"/>
      <c r="AF905" s="220"/>
      <c r="AG905" s="220"/>
      <c r="AH905" s="220"/>
      <c r="AI905" s="220"/>
      <c r="AJ905" s="220"/>
      <c r="AK905" s="220"/>
      <c r="AL905" s="220"/>
      <c r="AM905" s="220"/>
      <c r="AN905" s="220"/>
    </row>
    <row r="906" ht="15.75" customHeight="1">
      <c r="A906" s="220"/>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c r="AA906" s="220"/>
      <c r="AB906" s="220"/>
      <c r="AC906" s="220"/>
      <c r="AD906" s="220"/>
      <c r="AE906" s="220"/>
      <c r="AF906" s="220"/>
      <c r="AG906" s="220"/>
      <c r="AH906" s="220"/>
      <c r="AI906" s="220"/>
      <c r="AJ906" s="220"/>
      <c r="AK906" s="220"/>
      <c r="AL906" s="220"/>
      <c r="AM906" s="220"/>
      <c r="AN906" s="220"/>
    </row>
    <row r="907" ht="15.75" customHeight="1">
      <c r="A907" s="220"/>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c r="AA907" s="220"/>
      <c r="AB907" s="220"/>
      <c r="AC907" s="220"/>
      <c r="AD907" s="220"/>
      <c r="AE907" s="220"/>
      <c r="AF907" s="220"/>
      <c r="AG907" s="220"/>
      <c r="AH907" s="220"/>
      <c r="AI907" s="220"/>
      <c r="AJ907" s="220"/>
      <c r="AK907" s="220"/>
      <c r="AL907" s="220"/>
      <c r="AM907" s="220"/>
      <c r="AN907" s="220"/>
    </row>
    <row r="908" ht="15.75" customHeight="1">
      <c r="A908" s="220"/>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c r="AA908" s="220"/>
      <c r="AB908" s="220"/>
      <c r="AC908" s="220"/>
      <c r="AD908" s="220"/>
      <c r="AE908" s="220"/>
      <c r="AF908" s="220"/>
      <c r="AG908" s="220"/>
      <c r="AH908" s="220"/>
      <c r="AI908" s="220"/>
      <c r="AJ908" s="220"/>
      <c r="AK908" s="220"/>
      <c r="AL908" s="220"/>
      <c r="AM908" s="220"/>
      <c r="AN908" s="220"/>
    </row>
    <row r="909" ht="15.75" customHeight="1">
      <c r="A909" s="220"/>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c r="AA909" s="220"/>
      <c r="AB909" s="220"/>
      <c r="AC909" s="220"/>
      <c r="AD909" s="220"/>
      <c r="AE909" s="220"/>
      <c r="AF909" s="220"/>
      <c r="AG909" s="220"/>
      <c r="AH909" s="220"/>
      <c r="AI909" s="220"/>
      <c r="AJ909" s="220"/>
      <c r="AK909" s="220"/>
      <c r="AL909" s="220"/>
      <c r="AM909" s="220"/>
      <c r="AN909" s="220"/>
    </row>
    <row r="910" ht="15.75" customHeight="1">
      <c r="A910" s="220"/>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c r="AA910" s="220"/>
      <c r="AB910" s="220"/>
      <c r="AC910" s="220"/>
      <c r="AD910" s="220"/>
      <c r="AE910" s="220"/>
      <c r="AF910" s="220"/>
      <c r="AG910" s="220"/>
      <c r="AH910" s="220"/>
      <c r="AI910" s="220"/>
      <c r="AJ910" s="220"/>
      <c r="AK910" s="220"/>
      <c r="AL910" s="220"/>
      <c r="AM910" s="220"/>
      <c r="AN910" s="220"/>
    </row>
    <row r="911" ht="15.75" customHeight="1">
      <c r="A911" s="220"/>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c r="AA911" s="220"/>
      <c r="AB911" s="220"/>
      <c r="AC911" s="220"/>
      <c r="AD911" s="220"/>
      <c r="AE911" s="220"/>
      <c r="AF911" s="220"/>
      <c r="AG911" s="220"/>
      <c r="AH911" s="220"/>
      <c r="AI911" s="220"/>
      <c r="AJ911" s="220"/>
      <c r="AK911" s="220"/>
      <c r="AL911" s="220"/>
      <c r="AM911" s="220"/>
      <c r="AN911" s="220"/>
    </row>
    <row r="912" ht="15.75" customHeight="1">
      <c r="A912" s="220"/>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c r="AA912" s="220"/>
      <c r="AB912" s="220"/>
      <c r="AC912" s="220"/>
      <c r="AD912" s="220"/>
      <c r="AE912" s="220"/>
      <c r="AF912" s="220"/>
      <c r="AG912" s="220"/>
      <c r="AH912" s="220"/>
      <c r="AI912" s="220"/>
      <c r="AJ912" s="220"/>
      <c r="AK912" s="220"/>
      <c r="AL912" s="220"/>
      <c r="AM912" s="220"/>
      <c r="AN912" s="220"/>
    </row>
    <row r="913" ht="15.75" customHeight="1">
      <c r="A913" s="220"/>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c r="AA913" s="220"/>
      <c r="AB913" s="220"/>
      <c r="AC913" s="220"/>
      <c r="AD913" s="220"/>
      <c r="AE913" s="220"/>
      <c r="AF913" s="220"/>
      <c r="AG913" s="220"/>
      <c r="AH913" s="220"/>
      <c r="AI913" s="220"/>
      <c r="AJ913" s="220"/>
      <c r="AK913" s="220"/>
      <c r="AL913" s="220"/>
      <c r="AM913" s="220"/>
      <c r="AN913" s="220"/>
    </row>
    <row r="914" ht="15.75" customHeight="1">
      <c r="A914" s="220"/>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c r="AA914" s="220"/>
      <c r="AB914" s="220"/>
      <c r="AC914" s="220"/>
      <c r="AD914" s="220"/>
      <c r="AE914" s="220"/>
      <c r="AF914" s="220"/>
      <c r="AG914" s="220"/>
      <c r="AH914" s="220"/>
      <c r="AI914" s="220"/>
      <c r="AJ914" s="220"/>
      <c r="AK914" s="220"/>
      <c r="AL914" s="220"/>
      <c r="AM914" s="220"/>
      <c r="AN914" s="220"/>
    </row>
    <row r="915" ht="15.75" customHeight="1">
      <c r="A915" s="220"/>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c r="AA915" s="220"/>
      <c r="AB915" s="220"/>
      <c r="AC915" s="220"/>
      <c r="AD915" s="220"/>
      <c r="AE915" s="220"/>
      <c r="AF915" s="220"/>
      <c r="AG915" s="220"/>
      <c r="AH915" s="220"/>
      <c r="AI915" s="220"/>
      <c r="AJ915" s="220"/>
      <c r="AK915" s="220"/>
      <c r="AL915" s="220"/>
      <c r="AM915" s="220"/>
      <c r="AN915" s="220"/>
    </row>
    <row r="916" ht="15.75" customHeight="1">
      <c r="A916" s="220"/>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c r="AA916" s="220"/>
      <c r="AB916" s="220"/>
      <c r="AC916" s="220"/>
      <c r="AD916" s="220"/>
      <c r="AE916" s="220"/>
      <c r="AF916" s="220"/>
      <c r="AG916" s="220"/>
      <c r="AH916" s="220"/>
      <c r="AI916" s="220"/>
      <c r="AJ916" s="220"/>
      <c r="AK916" s="220"/>
      <c r="AL916" s="220"/>
      <c r="AM916" s="220"/>
      <c r="AN916" s="220"/>
    </row>
    <row r="917" ht="15.75" customHeight="1">
      <c r="A917" s="220"/>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c r="AA917" s="220"/>
      <c r="AB917" s="220"/>
      <c r="AC917" s="220"/>
      <c r="AD917" s="220"/>
      <c r="AE917" s="220"/>
      <c r="AF917" s="220"/>
      <c r="AG917" s="220"/>
      <c r="AH917" s="220"/>
      <c r="AI917" s="220"/>
      <c r="AJ917" s="220"/>
      <c r="AK917" s="220"/>
      <c r="AL917" s="220"/>
      <c r="AM917" s="220"/>
      <c r="AN917" s="220"/>
    </row>
    <row r="918" ht="15.75" customHeight="1">
      <c r="A918" s="220"/>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c r="AA918" s="220"/>
      <c r="AB918" s="220"/>
      <c r="AC918" s="220"/>
      <c r="AD918" s="220"/>
      <c r="AE918" s="220"/>
      <c r="AF918" s="220"/>
      <c r="AG918" s="220"/>
      <c r="AH918" s="220"/>
      <c r="AI918" s="220"/>
      <c r="AJ918" s="220"/>
      <c r="AK918" s="220"/>
      <c r="AL918" s="220"/>
      <c r="AM918" s="220"/>
      <c r="AN918" s="220"/>
    </row>
    <row r="919" ht="15.75" customHeight="1">
      <c r="A919" s="220"/>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c r="AA919" s="220"/>
      <c r="AB919" s="220"/>
      <c r="AC919" s="220"/>
      <c r="AD919" s="220"/>
      <c r="AE919" s="220"/>
      <c r="AF919" s="220"/>
      <c r="AG919" s="220"/>
      <c r="AH919" s="220"/>
      <c r="AI919" s="220"/>
      <c r="AJ919" s="220"/>
      <c r="AK919" s="220"/>
      <c r="AL919" s="220"/>
      <c r="AM919" s="220"/>
      <c r="AN919" s="220"/>
    </row>
    <row r="920" ht="15.75" customHeight="1">
      <c r="A920" s="220"/>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c r="AA920" s="220"/>
      <c r="AB920" s="220"/>
      <c r="AC920" s="220"/>
      <c r="AD920" s="220"/>
      <c r="AE920" s="220"/>
      <c r="AF920" s="220"/>
      <c r="AG920" s="220"/>
      <c r="AH920" s="220"/>
      <c r="AI920" s="220"/>
      <c r="AJ920" s="220"/>
      <c r="AK920" s="220"/>
      <c r="AL920" s="220"/>
      <c r="AM920" s="220"/>
      <c r="AN920" s="220"/>
    </row>
    <row r="921" ht="15.75" customHeight="1">
      <c r="A921" s="220"/>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c r="AA921" s="220"/>
      <c r="AB921" s="220"/>
      <c r="AC921" s="220"/>
      <c r="AD921" s="220"/>
      <c r="AE921" s="220"/>
      <c r="AF921" s="220"/>
      <c r="AG921" s="220"/>
      <c r="AH921" s="220"/>
      <c r="AI921" s="220"/>
      <c r="AJ921" s="220"/>
      <c r="AK921" s="220"/>
      <c r="AL921" s="220"/>
      <c r="AM921" s="220"/>
      <c r="AN921" s="220"/>
    </row>
    <row r="922" ht="15.75" customHeight="1">
      <c r="A922" s="220"/>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c r="AA922" s="220"/>
      <c r="AB922" s="220"/>
      <c r="AC922" s="220"/>
      <c r="AD922" s="220"/>
      <c r="AE922" s="220"/>
      <c r="AF922" s="220"/>
      <c r="AG922" s="220"/>
      <c r="AH922" s="220"/>
      <c r="AI922" s="220"/>
      <c r="AJ922" s="220"/>
      <c r="AK922" s="220"/>
      <c r="AL922" s="220"/>
      <c r="AM922" s="220"/>
      <c r="AN922" s="220"/>
    </row>
    <row r="923" ht="15.75" customHeight="1">
      <c r="A923" s="220"/>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c r="AA923" s="220"/>
      <c r="AB923" s="220"/>
      <c r="AC923" s="220"/>
      <c r="AD923" s="220"/>
      <c r="AE923" s="220"/>
      <c r="AF923" s="220"/>
      <c r="AG923" s="220"/>
      <c r="AH923" s="220"/>
      <c r="AI923" s="220"/>
      <c r="AJ923" s="220"/>
      <c r="AK923" s="220"/>
      <c r="AL923" s="220"/>
      <c r="AM923" s="220"/>
      <c r="AN923" s="220"/>
    </row>
    <row r="924" ht="15.75" customHeight="1">
      <c r="A924" s="220"/>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c r="AA924" s="220"/>
      <c r="AB924" s="220"/>
      <c r="AC924" s="220"/>
      <c r="AD924" s="220"/>
      <c r="AE924" s="220"/>
      <c r="AF924" s="220"/>
      <c r="AG924" s="220"/>
      <c r="AH924" s="220"/>
      <c r="AI924" s="220"/>
      <c r="AJ924" s="220"/>
      <c r="AK924" s="220"/>
      <c r="AL924" s="220"/>
      <c r="AM924" s="220"/>
      <c r="AN924" s="220"/>
    </row>
    <row r="925" ht="15.75" customHeight="1">
      <c r="A925" s="220"/>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c r="AA925" s="220"/>
      <c r="AB925" s="220"/>
      <c r="AC925" s="220"/>
      <c r="AD925" s="220"/>
      <c r="AE925" s="220"/>
      <c r="AF925" s="220"/>
      <c r="AG925" s="220"/>
      <c r="AH925" s="220"/>
      <c r="AI925" s="220"/>
      <c r="AJ925" s="220"/>
      <c r="AK925" s="220"/>
      <c r="AL925" s="220"/>
      <c r="AM925" s="220"/>
      <c r="AN925" s="220"/>
    </row>
    <row r="926" ht="15.75" customHeight="1">
      <c r="A926" s="220"/>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c r="AA926" s="220"/>
      <c r="AB926" s="220"/>
      <c r="AC926" s="220"/>
      <c r="AD926" s="220"/>
      <c r="AE926" s="220"/>
      <c r="AF926" s="220"/>
      <c r="AG926" s="220"/>
      <c r="AH926" s="220"/>
      <c r="AI926" s="220"/>
      <c r="AJ926" s="220"/>
      <c r="AK926" s="220"/>
      <c r="AL926" s="220"/>
      <c r="AM926" s="220"/>
      <c r="AN926" s="220"/>
    </row>
    <row r="927" ht="15.75" customHeight="1">
      <c r="A927" s="220"/>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c r="AA927" s="220"/>
      <c r="AB927" s="220"/>
      <c r="AC927" s="220"/>
      <c r="AD927" s="220"/>
      <c r="AE927" s="220"/>
      <c r="AF927" s="220"/>
      <c r="AG927" s="220"/>
      <c r="AH927" s="220"/>
      <c r="AI927" s="220"/>
      <c r="AJ927" s="220"/>
      <c r="AK927" s="220"/>
      <c r="AL927" s="220"/>
      <c r="AM927" s="220"/>
      <c r="AN927" s="220"/>
    </row>
    <row r="928" ht="15.75" customHeight="1">
      <c r="A928" s="220"/>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c r="AA928" s="220"/>
      <c r="AB928" s="220"/>
      <c r="AC928" s="220"/>
      <c r="AD928" s="220"/>
      <c r="AE928" s="220"/>
      <c r="AF928" s="220"/>
      <c r="AG928" s="220"/>
      <c r="AH928" s="220"/>
      <c r="AI928" s="220"/>
      <c r="AJ928" s="220"/>
      <c r="AK928" s="220"/>
      <c r="AL928" s="220"/>
      <c r="AM928" s="220"/>
      <c r="AN928" s="220"/>
    </row>
    <row r="929" ht="15.75" customHeight="1">
      <c r="A929" s="220"/>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c r="AA929" s="220"/>
      <c r="AB929" s="220"/>
      <c r="AC929" s="220"/>
      <c r="AD929" s="220"/>
      <c r="AE929" s="220"/>
      <c r="AF929" s="220"/>
      <c r="AG929" s="220"/>
      <c r="AH929" s="220"/>
      <c r="AI929" s="220"/>
      <c r="AJ929" s="220"/>
      <c r="AK929" s="220"/>
      <c r="AL929" s="220"/>
      <c r="AM929" s="220"/>
      <c r="AN929" s="220"/>
    </row>
    <row r="930" ht="15.75" customHeight="1">
      <c r="A930" s="220"/>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c r="AA930" s="220"/>
      <c r="AB930" s="220"/>
      <c r="AC930" s="220"/>
      <c r="AD930" s="220"/>
      <c r="AE930" s="220"/>
      <c r="AF930" s="220"/>
      <c r="AG930" s="220"/>
      <c r="AH930" s="220"/>
      <c r="AI930" s="220"/>
      <c r="AJ930" s="220"/>
      <c r="AK930" s="220"/>
      <c r="AL930" s="220"/>
      <c r="AM930" s="220"/>
      <c r="AN930" s="220"/>
    </row>
    <row r="931" ht="15.75" customHeight="1">
      <c r="A931" s="220"/>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c r="AA931" s="220"/>
      <c r="AB931" s="220"/>
      <c r="AC931" s="220"/>
      <c r="AD931" s="220"/>
      <c r="AE931" s="220"/>
      <c r="AF931" s="220"/>
      <c r="AG931" s="220"/>
      <c r="AH931" s="220"/>
      <c r="AI931" s="220"/>
      <c r="AJ931" s="220"/>
      <c r="AK931" s="220"/>
      <c r="AL931" s="220"/>
      <c r="AM931" s="220"/>
      <c r="AN931" s="220"/>
    </row>
    <row r="932" ht="15.75" customHeight="1">
      <c r="A932" s="220"/>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c r="AA932" s="220"/>
      <c r="AB932" s="220"/>
      <c r="AC932" s="220"/>
      <c r="AD932" s="220"/>
      <c r="AE932" s="220"/>
      <c r="AF932" s="220"/>
      <c r="AG932" s="220"/>
      <c r="AH932" s="220"/>
      <c r="AI932" s="220"/>
      <c r="AJ932" s="220"/>
      <c r="AK932" s="220"/>
      <c r="AL932" s="220"/>
      <c r="AM932" s="220"/>
      <c r="AN932" s="220"/>
    </row>
    <row r="933" ht="15.75" customHeight="1">
      <c r="A933" s="220"/>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c r="AA933" s="220"/>
      <c r="AB933" s="220"/>
      <c r="AC933" s="220"/>
      <c r="AD933" s="220"/>
      <c r="AE933" s="220"/>
      <c r="AF933" s="220"/>
      <c r="AG933" s="220"/>
      <c r="AH933" s="220"/>
      <c r="AI933" s="220"/>
      <c r="AJ933" s="220"/>
      <c r="AK933" s="220"/>
      <c r="AL933" s="220"/>
      <c r="AM933" s="220"/>
      <c r="AN933" s="220"/>
    </row>
    <row r="934" ht="15.75" customHeight="1">
      <c r="A934" s="220"/>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c r="AA934" s="220"/>
      <c r="AB934" s="220"/>
      <c r="AC934" s="220"/>
      <c r="AD934" s="220"/>
      <c r="AE934" s="220"/>
      <c r="AF934" s="220"/>
      <c r="AG934" s="220"/>
      <c r="AH934" s="220"/>
      <c r="AI934" s="220"/>
      <c r="AJ934" s="220"/>
      <c r="AK934" s="220"/>
      <c r="AL934" s="220"/>
      <c r="AM934" s="220"/>
      <c r="AN934" s="220"/>
    </row>
    <row r="935" ht="15.75" customHeight="1">
      <c r="A935" s="220"/>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c r="AA935" s="220"/>
      <c r="AB935" s="220"/>
      <c r="AC935" s="220"/>
      <c r="AD935" s="220"/>
      <c r="AE935" s="220"/>
      <c r="AF935" s="220"/>
      <c r="AG935" s="220"/>
      <c r="AH935" s="220"/>
      <c r="AI935" s="220"/>
      <c r="AJ935" s="220"/>
      <c r="AK935" s="220"/>
      <c r="AL935" s="220"/>
      <c r="AM935" s="220"/>
      <c r="AN935" s="220"/>
    </row>
    <row r="936" ht="15.75" customHeight="1">
      <c r="A936" s="220"/>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c r="AA936" s="220"/>
      <c r="AB936" s="220"/>
      <c r="AC936" s="220"/>
      <c r="AD936" s="220"/>
      <c r="AE936" s="220"/>
      <c r="AF936" s="220"/>
      <c r="AG936" s="220"/>
      <c r="AH936" s="220"/>
      <c r="AI936" s="220"/>
      <c r="AJ936" s="220"/>
      <c r="AK936" s="220"/>
      <c r="AL936" s="220"/>
      <c r="AM936" s="220"/>
      <c r="AN936" s="220"/>
    </row>
    <row r="937" ht="15.75" customHeight="1">
      <c r="A937" s="220"/>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c r="AA937" s="220"/>
      <c r="AB937" s="220"/>
      <c r="AC937" s="220"/>
      <c r="AD937" s="220"/>
      <c r="AE937" s="220"/>
      <c r="AF937" s="220"/>
      <c r="AG937" s="220"/>
      <c r="AH937" s="220"/>
      <c r="AI937" s="220"/>
      <c r="AJ937" s="220"/>
      <c r="AK937" s="220"/>
      <c r="AL937" s="220"/>
      <c r="AM937" s="220"/>
      <c r="AN937" s="220"/>
    </row>
    <row r="938" ht="15.75" customHeight="1">
      <c r="A938" s="220"/>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c r="AA938" s="220"/>
      <c r="AB938" s="220"/>
      <c r="AC938" s="220"/>
      <c r="AD938" s="220"/>
      <c r="AE938" s="220"/>
      <c r="AF938" s="220"/>
      <c r="AG938" s="220"/>
      <c r="AH938" s="220"/>
      <c r="AI938" s="220"/>
      <c r="AJ938" s="220"/>
      <c r="AK938" s="220"/>
      <c r="AL938" s="220"/>
      <c r="AM938" s="220"/>
      <c r="AN938" s="220"/>
    </row>
    <row r="939" ht="15.75" customHeight="1">
      <c r="A939" s="220"/>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c r="AA939" s="220"/>
      <c r="AB939" s="220"/>
      <c r="AC939" s="220"/>
      <c r="AD939" s="220"/>
      <c r="AE939" s="220"/>
      <c r="AF939" s="220"/>
      <c r="AG939" s="220"/>
      <c r="AH939" s="220"/>
      <c r="AI939" s="220"/>
      <c r="AJ939" s="220"/>
      <c r="AK939" s="220"/>
      <c r="AL939" s="220"/>
      <c r="AM939" s="220"/>
      <c r="AN939" s="220"/>
    </row>
    <row r="940" ht="15.75" customHeight="1">
      <c r="A940" s="220"/>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c r="AA940" s="220"/>
      <c r="AB940" s="220"/>
      <c r="AC940" s="220"/>
      <c r="AD940" s="220"/>
      <c r="AE940" s="220"/>
      <c r="AF940" s="220"/>
      <c r="AG940" s="220"/>
      <c r="AH940" s="220"/>
      <c r="AI940" s="220"/>
      <c r="AJ940" s="220"/>
      <c r="AK940" s="220"/>
      <c r="AL940" s="220"/>
      <c r="AM940" s="220"/>
      <c r="AN940" s="220"/>
    </row>
    <row r="941" ht="15.75" customHeight="1">
      <c r="A941" s="220"/>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c r="AA941" s="220"/>
      <c r="AB941" s="220"/>
      <c r="AC941" s="220"/>
      <c r="AD941" s="220"/>
      <c r="AE941" s="220"/>
      <c r="AF941" s="220"/>
      <c r="AG941" s="220"/>
      <c r="AH941" s="220"/>
      <c r="AI941" s="220"/>
      <c r="AJ941" s="220"/>
      <c r="AK941" s="220"/>
      <c r="AL941" s="220"/>
      <c r="AM941" s="220"/>
      <c r="AN941" s="220"/>
    </row>
    <row r="942" ht="15.75" customHeight="1">
      <c r="A942" s="220"/>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c r="AA942" s="220"/>
      <c r="AB942" s="220"/>
      <c r="AC942" s="220"/>
      <c r="AD942" s="220"/>
      <c r="AE942" s="220"/>
      <c r="AF942" s="220"/>
      <c r="AG942" s="220"/>
      <c r="AH942" s="220"/>
      <c r="AI942" s="220"/>
      <c r="AJ942" s="220"/>
      <c r="AK942" s="220"/>
      <c r="AL942" s="220"/>
      <c r="AM942" s="220"/>
      <c r="AN942" s="220"/>
    </row>
    <row r="943" ht="15.75" customHeight="1">
      <c r="A943" s="220"/>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c r="AA943" s="220"/>
      <c r="AB943" s="220"/>
      <c r="AC943" s="220"/>
      <c r="AD943" s="220"/>
      <c r="AE943" s="220"/>
      <c r="AF943" s="220"/>
      <c r="AG943" s="220"/>
      <c r="AH943" s="220"/>
      <c r="AI943" s="220"/>
      <c r="AJ943" s="220"/>
      <c r="AK943" s="220"/>
      <c r="AL943" s="220"/>
      <c r="AM943" s="220"/>
      <c r="AN943" s="220"/>
    </row>
    <row r="944" ht="15.75" customHeight="1">
      <c r="A944" s="220"/>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c r="AA944" s="220"/>
      <c r="AB944" s="220"/>
      <c r="AC944" s="220"/>
      <c r="AD944" s="220"/>
      <c r="AE944" s="220"/>
      <c r="AF944" s="220"/>
      <c r="AG944" s="220"/>
      <c r="AH944" s="220"/>
      <c r="AI944" s="220"/>
      <c r="AJ944" s="220"/>
      <c r="AK944" s="220"/>
      <c r="AL944" s="220"/>
      <c r="AM944" s="220"/>
      <c r="AN944" s="220"/>
    </row>
    <row r="945" ht="15.75" customHeight="1">
      <c r="A945" s="220"/>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c r="AA945" s="220"/>
      <c r="AB945" s="220"/>
      <c r="AC945" s="220"/>
      <c r="AD945" s="220"/>
      <c r="AE945" s="220"/>
      <c r="AF945" s="220"/>
      <c r="AG945" s="220"/>
      <c r="AH945" s="220"/>
      <c r="AI945" s="220"/>
      <c r="AJ945" s="220"/>
      <c r="AK945" s="220"/>
      <c r="AL945" s="220"/>
      <c r="AM945" s="220"/>
      <c r="AN945" s="220"/>
    </row>
    <row r="946" ht="15.75" customHeight="1">
      <c r="A946" s="220"/>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c r="AA946" s="220"/>
      <c r="AB946" s="220"/>
      <c r="AC946" s="220"/>
      <c r="AD946" s="220"/>
      <c r="AE946" s="220"/>
      <c r="AF946" s="220"/>
      <c r="AG946" s="220"/>
      <c r="AH946" s="220"/>
      <c r="AI946" s="220"/>
      <c r="AJ946" s="220"/>
      <c r="AK946" s="220"/>
      <c r="AL946" s="220"/>
      <c r="AM946" s="220"/>
      <c r="AN946" s="220"/>
    </row>
    <row r="947" ht="15.75" customHeight="1">
      <c r="A947" s="220"/>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c r="AA947" s="220"/>
      <c r="AB947" s="220"/>
      <c r="AC947" s="220"/>
      <c r="AD947" s="220"/>
      <c r="AE947" s="220"/>
      <c r="AF947" s="220"/>
      <c r="AG947" s="220"/>
      <c r="AH947" s="220"/>
      <c r="AI947" s="220"/>
      <c r="AJ947" s="220"/>
      <c r="AK947" s="220"/>
      <c r="AL947" s="220"/>
      <c r="AM947" s="220"/>
      <c r="AN947" s="220"/>
    </row>
    <row r="948" ht="15.75" customHeight="1">
      <c r="A948" s="220"/>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c r="AA948" s="220"/>
      <c r="AB948" s="220"/>
      <c r="AC948" s="220"/>
      <c r="AD948" s="220"/>
      <c r="AE948" s="220"/>
      <c r="AF948" s="220"/>
      <c r="AG948" s="220"/>
      <c r="AH948" s="220"/>
      <c r="AI948" s="220"/>
      <c r="AJ948" s="220"/>
      <c r="AK948" s="220"/>
      <c r="AL948" s="220"/>
      <c r="AM948" s="220"/>
      <c r="AN948" s="220"/>
    </row>
    <row r="949" ht="15.75" customHeight="1">
      <c r="A949" s="220"/>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c r="AA949" s="220"/>
      <c r="AB949" s="220"/>
      <c r="AC949" s="220"/>
      <c r="AD949" s="220"/>
      <c r="AE949" s="220"/>
      <c r="AF949" s="220"/>
      <c r="AG949" s="220"/>
      <c r="AH949" s="220"/>
      <c r="AI949" s="220"/>
      <c r="AJ949" s="220"/>
      <c r="AK949" s="220"/>
      <c r="AL949" s="220"/>
      <c r="AM949" s="220"/>
      <c r="AN949" s="220"/>
    </row>
    <row r="950" ht="15.75" customHeight="1">
      <c r="A950" s="220"/>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c r="AA950" s="220"/>
      <c r="AB950" s="220"/>
      <c r="AC950" s="220"/>
      <c r="AD950" s="220"/>
      <c r="AE950" s="220"/>
      <c r="AF950" s="220"/>
      <c r="AG950" s="220"/>
      <c r="AH950" s="220"/>
      <c r="AI950" s="220"/>
      <c r="AJ950" s="220"/>
      <c r="AK950" s="220"/>
      <c r="AL950" s="220"/>
      <c r="AM950" s="220"/>
      <c r="AN950" s="220"/>
    </row>
    <row r="951" ht="15.75" customHeight="1">
      <c r="A951" s="220"/>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c r="AA951" s="220"/>
      <c r="AB951" s="220"/>
      <c r="AC951" s="220"/>
      <c r="AD951" s="220"/>
      <c r="AE951" s="220"/>
      <c r="AF951" s="220"/>
      <c r="AG951" s="220"/>
      <c r="AH951" s="220"/>
      <c r="AI951" s="220"/>
      <c r="AJ951" s="220"/>
      <c r="AK951" s="220"/>
      <c r="AL951" s="220"/>
      <c r="AM951" s="220"/>
      <c r="AN951" s="220"/>
    </row>
    <row r="952" ht="15.75" customHeight="1">
      <c r="A952" s="220"/>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c r="AA952" s="220"/>
      <c r="AB952" s="220"/>
      <c r="AC952" s="220"/>
      <c r="AD952" s="220"/>
      <c r="AE952" s="220"/>
      <c r="AF952" s="220"/>
      <c r="AG952" s="220"/>
      <c r="AH952" s="220"/>
      <c r="AI952" s="220"/>
      <c r="AJ952" s="220"/>
      <c r="AK952" s="220"/>
      <c r="AL952" s="220"/>
      <c r="AM952" s="220"/>
      <c r="AN952" s="220"/>
    </row>
    <row r="953" ht="15.75" customHeight="1">
      <c r="A953" s="220"/>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c r="AA953" s="220"/>
      <c r="AB953" s="220"/>
      <c r="AC953" s="220"/>
      <c r="AD953" s="220"/>
      <c r="AE953" s="220"/>
      <c r="AF953" s="220"/>
      <c r="AG953" s="220"/>
      <c r="AH953" s="220"/>
      <c r="AI953" s="220"/>
      <c r="AJ953" s="220"/>
      <c r="AK953" s="220"/>
      <c r="AL953" s="220"/>
      <c r="AM953" s="220"/>
      <c r="AN953" s="220"/>
    </row>
    <row r="954" ht="15.75" customHeight="1">
      <c r="A954" s="220"/>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c r="AA954" s="220"/>
      <c r="AB954" s="220"/>
      <c r="AC954" s="220"/>
      <c r="AD954" s="220"/>
      <c r="AE954" s="220"/>
      <c r="AF954" s="220"/>
      <c r="AG954" s="220"/>
      <c r="AH954" s="220"/>
      <c r="AI954" s="220"/>
      <c r="AJ954" s="220"/>
      <c r="AK954" s="220"/>
      <c r="AL954" s="220"/>
      <c r="AM954" s="220"/>
      <c r="AN954" s="220"/>
    </row>
    <row r="955" ht="15.75" customHeight="1">
      <c r="A955" s="220"/>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c r="AA955" s="220"/>
      <c r="AB955" s="220"/>
      <c r="AC955" s="220"/>
      <c r="AD955" s="220"/>
      <c r="AE955" s="220"/>
      <c r="AF955" s="220"/>
      <c r="AG955" s="220"/>
      <c r="AH955" s="220"/>
      <c r="AI955" s="220"/>
      <c r="AJ955" s="220"/>
      <c r="AK955" s="220"/>
      <c r="AL955" s="220"/>
      <c r="AM955" s="220"/>
      <c r="AN955" s="220"/>
    </row>
    <row r="956" ht="15.75" customHeight="1">
      <c r="A956" s="220"/>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c r="AA956" s="220"/>
      <c r="AB956" s="220"/>
      <c r="AC956" s="220"/>
      <c r="AD956" s="220"/>
      <c r="AE956" s="220"/>
      <c r="AF956" s="220"/>
      <c r="AG956" s="220"/>
      <c r="AH956" s="220"/>
      <c r="AI956" s="220"/>
      <c r="AJ956" s="220"/>
      <c r="AK956" s="220"/>
      <c r="AL956" s="220"/>
      <c r="AM956" s="220"/>
      <c r="AN956" s="220"/>
    </row>
    <row r="957" ht="15.75" customHeight="1">
      <c r="A957" s="220"/>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c r="AA957" s="220"/>
      <c r="AB957" s="220"/>
      <c r="AC957" s="220"/>
      <c r="AD957" s="220"/>
      <c r="AE957" s="220"/>
      <c r="AF957" s="220"/>
      <c r="AG957" s="220"/>
      <c r="AH957" s="220"/>
      <c r="AI957" s="220"/>
      <c r="AJ957" s="220"/>
      <c r="AK957" s="220"/>
      <c r="AL957" s="220"/>
      <c r="AM957" s="220"/>
      <c r="AN957" s="220"/>
    </row>
    <row r="958" ht="15.75" customHeight="1">
      <c r="A958" s="220"/>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c r="AA958" s="220"/>
      <c r="AB958" s="220"/>
      <c r="AC958" s="220"/>
      <c r="AD958" s="220"/>
      <c r="AE958" s="220"/>
      <c r="AF958" s="220"/>
      <c r="AG958" s="220"/>
      <c r="AH958" s="220"/>
      <c r="AI958" s="220"/>
      <c r="AJ958" s="220"/>
      <c r="AK958" s="220"/>
      <c r="AL958" s="220"/>
      <c r="AM958" s="220"/>
      <c r="AN958" s="220"/>
    </row>
    <row r="959" ht="15.75" customHeight="1">
      <c r="A959" s="220"/>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c r="AA959" s="220"/>
      <c r="AB959" s="220"/>
      <c r="AC959" s="220"/>
      <c r="AD959" s="220"/>
      <c r="AE959" s="220"/>
      <c r="AF959" s="220"/>
      <c r="AG959" s="220"/>
      <c r="AH959" s="220"/>
      <c r="AI959" s="220"/>
      <c r="AJ959" s="220"/>
      <c r="AK959" s="220"/>
      <c r="AL959" s="220"/>
      <c r="AM959" s="220"/>
      <c r="AN959" s="220"/>
    </row>
    <row r="960" ht="15.75" customHeight="1">
      <c r="A960" s="220"/>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c r="AA960" s="220"/>
      <c r="AB960" s="220"/>
      <c r="AC960" s="220"/>
      <c r="AD960" s="220"/>
      <c r="AE960" s="220"/>
      <c r="AF960" s="220"/>
      <c r="AG960" s="220"/>
      <c r="AH960" s="220"/>
      <c r="AI960" s="220"/>
      <c r="AJ960" s="220"/>
      <c r="AK960" s="220"/>
      <c r="AL960" s="220"/>
      <c r="AM960" s="220"/>
      <c r="AN960" s="220"/>
    </row>
    <row r="961" ht="15.75" customHeight="1">
      <c r="A961" s="220"/>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c r="AA961" s="220"/>
      <c r="AB961" s="220"/>
      <c r="AC961" s="220"/>
      <c r="AD961" s="220"/>
      <c r="AE961" s="220"/>
      <c r="AF961" s="220"/>
      <c r="AG961" s="220"/>
      <c r="AH961" s="220"/>
      <c r="AI961" s="220"/>
      <c r="AJ961" s="220"/>
      <c r="AK961" s="220"/>
      <c r="AL961" s="220"/>
      <c r="AM961" s="220"/>
      <c r="AN961" s="220"/>
    </row>
    <row r="962" ht="15.75" customHeight="1">
      <c r="A962" s="220"/>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c r="AA962" s="220"/>
      <c r="AB962" s="220"/>
      <c r="AC962" s="220"/>
      <c r="AD962" s="220"/>
      <c r="AE962" s="220"/>
      <c r="AF962" s="220"/>
      <c r="AG962" s="220"/>
      <c r="AH962" s="220"/>
      <c r="AI962" s="220"/>
      <c r="AJ962" s="220"/>
      <c r="AK962" s="220"/>
      <c r="AL962" s="220"/>
      <c r="AM962" s="220"/>
      <c r="AN962" s="220"/>
    </row>
    <row r="963" ht="15.75" customHeight="1">
      <c r="A963" s="220"/>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c r="AA963" s="220"/>
      <c r="AB963" s="220"/>
      <c r="AC963" s="220"/>
      <c r="AD963" s="220"/>
      <c r="AE963" s="220"/>
      <c r="AF963" s="220"/>
      <c r="AG963" s="220"/>
      <c r="AH963" s="220"/>
      <c r="AI963" s="220"/>
      <c r="AJ963" s="220"/>
      <c r="AK963" s="220"/>
      <c r="AL963" s="220"/>
      <c r="AM963" s="220"/>
      <c r="AN963" s="220"/>
    </row>
    <row r="964" ht="15.75" customHeight="1">
      <c r="A964" s="220"/>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c r="AA964" s="220"/>
      <c r="AB964" s="220"/>
      <c r="AC964" s="220"/>
      <c r="AD964" s="220"/>
      <c r="AE964" s="220"/>
      <c r="AF964" s="220"/>
      <c r="AG964" s="220"/>
      <c r="AH964" s="220"/>
      <c r="AI964" s="220"/>
      <c r="AJ964" s="220"/>
      <c r="AK964" s="220"/>
      <c r="AL964" s="220"/>
      <c r="AM964" s="220"/>
      <c r="AN964" s="220"/>
    </row>
    <row r="965" ht="15.75" customHeight="1">
      <c r="A965" s="220"/>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c r="AA965" s="220"/>
      <c r="AB965" s="220"/>
      <c r="AC965" s="220"/>
      <c r="AD965" s="220"/>
      <c r="AE965" s="220"/>
      <c r="AF965" s="220"/>
      <c r="AG965" s="220"/>
      <c r="AH965" s="220"/>
      <c r="AI965" s="220"/>
      <c r="AJ965" s="220"/>
      <c r="AK965" s="220"/>
      <c r="AL965" s="220"/>
      <c r="AM965" s="220"/>
      <c r="AN965" s="220"/>
    </row>
    <row r="966" ht="15.75" customHeight="1">
      <c r="A966" s="220"/>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c r="AA966" s="220"/>
      <c r="AB966" s="220"/>
      <c r="AC966" s="220"/>
      <c r="AD966" s="220"/>
      <c r="AE966" s="220"/>
      <c r="AF966" s="220"/>
      <c r="AG966" s="220"/>
      <c r="AH966" s="220"/>
      <c r="AI966" s="220"/>
      <c r="AJ966" s="220"/>
      <c r="AK966" s="220"/>
      <c r="AL966" s="220"/>
      <c r="AM966" s="220"/>
      <c r="AN966" s="220"/>
    </row>
    <row r="967" ht="15.75" customHeight="1">
      <c r="A967" s="220"/>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c r="AA967" s="220"/>
      <c r="AB967" s="220"/>
      <c r="AC967" s="220"/>
      <c r="AD967" s="220"/>
      <c r="AE967" s="220"/>
      <c r="AF967" s="220"/>
      <c r="AG967" s="220"/>
      <c r="AH967" s="220"/>
      <c r="AI967" s="220"/>
      <c r="AJ967" s="220"/>
      <c r="AK967" s="220"/>
      <c r="AL967" s="220"/>
      <c r="AM967" s="220"/>
      <c r="AN967" s="220"/>
    </row>
    <row r="968" ht="15.75" customHeight="1">
      <c r="A968" s="220"/>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c r="AA968" s="220"/>
      <c r="AB968" s="220"/>
      <c r="AC968" s="220"/>
      <c r="AD968" s="220"/>
      <c r="AE968" s="220"/>
      <c r="AF968" s="220"/>
      <c r="AG968" s="220"/>
      <c r="AH968" s="220"/>
      <c r="AI968" s="220"/>
      <c r="AJ968" s="220"/>
      <c r="AK968" s="220"/>
      <c r="AL968" s="220"/>
      <c r="AM968" s="220"/>
      <c r="AN968" s="220"/>
    </row>
    <row r="969" ht="15.75" customHeight="1">
      <c r="A969" s="220"/>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c r="AA969" s="220"/>
      <c r="AB969" s="220"/>
      <c r="AC969" s="220"/>
      <c r="AD969" s="220"/>
      <c r="AE969" s="220"/>
      <c r="AF969" s="220"/>
      <c r="AG969" s="220"/>
      <c r="AH969" s="220"/>
      <c r="AI969" s="220"/>
      <c r="AJ969" s="220"/>
      <c r="AK969" s="220"/>
      <c r="AL969" s="220"/>
      <c r="AM969" s="220"/>
      <c r="AN969" s="220"/>
    </row>
    <row r="970" ht="15.75" customHeight="1">
      <c r="A970" s="220"/>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c r="AA970" s="220"/>
      <c r="AB970" s="220"/>
      <c r="AC970" s="220"/>
      <c r="AD970" s="220"/>
      <c r="AE970" s="220"/>
      <c r="AF970" s="220"/>
      <c r="AG970" s="220"/>
      <c r="AH970" s="220"/>
      <c r="AI970" s="220"/>
      <c r="AJ970" s="220"/>
      <c r="AK970" s="220"/>
      <c r="AL970" s="220"/>
      <c r="AM970" s="220"/>
      <c r="AN970" s="220"/>
    </row>
    <row r="971" ht="15.75" customHeight="1">
      <c r="A971" s="220"/>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c r="AA971" s="220"/>
      <c r="AB971" s="220"/>
      <c r="AC971" s="220"/>
      <c r="AD971" s="220"/>
      <c r="AE971" s="220"/>
      <c r="AF971" s="220"/>
      <c r="AG971" s="220"/>
      <c r="AH971" s="220"/>
      <c r="AI971" s="220"/>
      <c r="AJ971" s="220"/>
      <c r="AK971" s="220"/>
      <c r="AL971" s="220"/>
      <c r="AM971" s="220"/>
      <c r="AN971" s="220"/>
    </row>
    <row r="972" ht="15.75" customHeight="1">
      <c r="A972" s="220"/>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c r="AA972" s="220"/>
      <c r="AB972" s="220"/>
      <c r="AC972" s="220"/>
      <c r="AD972" s="220"/>
      <c r="AE972" s="220"/>
      <c r="AF972" s="220"/>
      <c r="AG972" s="220"/>
      <c r="AH972" s="220"/>
      <c r="AI972" s="220"/>
      <c r="AJ972" s="220"/>
      <c r="AK972" s="220"/>
      <c r="AL972" s="220"/>
      <c r="AM972" s="220"/>
      <c r="AN972" s="220"/>
    </row>
    <row r="973" ht="15.75" customHeight="1">
      <c r="A973" s="220"/>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c r="AA973" s="220"/>
      <c r="AB973" s="220"/>
      <c r="AC973" s="220"/>
      <c r="AD973" s="220"/>
      <c r="AE973" s="220"/>
      <c r="AF973" s="220"/>
      <c r="AG973" s="220"/>
      <c r="AH973" s="220"/>
      <c r="AI973" s="220"/>
      <c r="AJ973" s="220"/>
      <c r="AK973" s="220"/>
      <c r="AL973" s="220"/>
      <c r="AM973" s="220"/>
      <c r="AN973" s="220"/>
    </row>
    <row r="974" ht="15.75" customHeight="1">
      <c r="A974" s="220"/>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c r="AA974" s="220"/>
      <c r="AB974" s="220"/>
      <c r="AC974" s="220"/>
      <c r="AD974" s="220"/>
      <c r="AE974" s="220"/>
      <c r="AF974" s="220"/>
      <c r="AG974" s="220"/>
      <c r="AH974" s="220"/>
      <c r="AI974" s="220"/>
      <c r="AJ974" s="220"/>
      <c r="AK974" s="220"/>
      <c r="AL974" s="220"/>
      <c r="AM974" s="220"/>
      <c r="AN974" s="220"/>
    </row>
    <row r="975" ht="15.75" customHeight="1">
      <c r="A975" s="220"/>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c r="AA975" s="220"/>
      <c r="AB975" s="220"/>
      <c r="AC975" s="220"/>
      <c r="AD975" s="220"/>
      <c r="AE975" s="220"/>
      <c r="AF975" s="220"/>
      <c r="AG975" s="220"/>
      <c r="AH975" s="220"/>
      <c r="AI975" s="220"/>
      <c r="AJ975" s="220"/>
      <c r="AK975" s="220"/>
      <c r="AL975" s="220"/>
      <c r="AM975" s="220"/>
      <c r="AN975" s="220"/>
    </row>
    <row r="976" ht="15.75" customHeight="1">
      <c r="A976" s="220"/>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c r="AA976" s="220"/>
      <c r="AB976" s="220"/>
      <c r="AC976" s="220"/>
      <c r="AD976" s="220"/>
      <c r="AE976" s="220"/>
      <c r="AF976" s="220"/>
      <c r="AG976" s="220"/>
      <c r="AH976" s="220"/>
      <c r="AI976" s="220"/>
      <c r="AJ976" s="220"/>
      <c r="AK976" s="220"/>
      <c r="AL976" s="220"/>
      <c r="AM976" s="220"/>
      <c r="AN976" s="220"/>
    </row>
    <row r="977" ht="15.75" customHeight="1">
      <c r="A977" s="220"/>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c r="AA977" s="220"/>
      <c r="AB977" s="220"/>
      <c r="AC977" s="220"/>
      <c r="AD977" s="220"/>
      <c r="AE977" s="220"/>
      <c r="AF977" s="220"/>
      <c r="AG977" s="220"/>
      <c r="AH977" s="220"/>
      <c r="AI977" s="220"/>
      <c r="AJ977" s="220"/>
      <c r="AK977" s="220"/>
      <c r="AL977" s="220"/>
      <c r="AM977" s="220"/>
      <c r="AN977" s="220"/>
    </row>
    <row r="978" ht="15.75" customHeight="1">
      <c r="A978" s="220"/>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c r="AA978" s="220"/>
      <c r="AB978" s="220"/>
      <c r="AC978" s="220"/>
      <c r="AD978" s="220"/>
      <c r="AE978" s="220"/>
      <c r="AF978" s="220"/>
      <c r="AG978" s="220"/>
      <c r="AH978" s="220"/>
      <c r="AI978" s="220"/>
      <c r="AJ978" s="220"/>
      <c r="AK978" s="220"/>
      <c r="AL978" s="220"/>
      <c r="AM978" s="220"/>
      <c r="AN978" s="220"/>
    </row>
    <row r="979" ht="15.75" customHeight="1">
      <c r="A979" s="220"/>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c r="AA979" s="220"/>
      <c r="AB979" s="220"/>
      <c r="AC979" s="220"/>
      <c r="AD979" s="220"/>
      <c r="AE979" s="220"/>
      <c r="AF979" s="220"/>
      <c r="AG979" s="220"/>
      <c r="AH979" s="220"/>
      <c r="AI979" s="220"/>
      <c r="AJ979" s="220"/>
      <c r="AK979" s="220"/>
      <c r="AL979" s="220"/>
      <c r="AM979" s="220"/>
      <c r="AN979" s="220"/>
    </row>
    <row r="980" ht="15.75" customHeight="1">
      <c r="A980" s="220"/>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c r="AA980" s="220"/>
      <c r="AB980" s="220"/>
      <c r="AC980" s="220"/>
      <c r="AD980" s="220"/>
      <c r="AE980" s="220"/>
      <c r="AF980" s="220"/>
      <c r="AG980" s="220"/>
      <c r="AH980" s="220"/>
      <c r="AI980" s="220"/>
      <c r="AJ980" s="220"/>
      <c r="AK980" s="220"/>
      <c r="AL980" s="220"/>
      <c r="AM980" s="220"/>
      <c r="AN980" s="220"/>
    </row>
    <row r="981" ht="15.75" customHeight="1">
      <c r="A981" s="220"/>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c r="AA981" s="220"/>
      <c r="AB981" s="220"/>
      <c r="AC981" s="220"/>
      <c r="AD981" s="220"/>
      <c r="AE981" s="220"/>
      <c r="AF981" s="220"/>
      <c r="AG981" s="220"/>
      <c r="AH981" s="220"/>
      <c r="AI981" s="220"/>
      <c r="AJ981" s="220"/>
      <c r="AK981" s="220"/>
      <c r="AL981" s="220"/>
      <c r="AM981" s="220"/>
      <c r="AN981" s="220"/>
    </row>
    <row r="982" ht="15.75" customHeight="1">
      <c r="A982" s="220"/>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c r="AA982" s="220"/>
      <c r="AB982" s="220"/>
      <c r="AC982" s="220"/>
      <c r="AD982" s="220"/>
      <c r="AE982" s="220"/>
      <c r="AF982" s="220"/>
      <c r="AG982" s="220"/>
      <c r="AH982" s="220"/>
      <c r="AI982" s="220"/>
      <c r="AJ982" s="220"/>
      <c r="AK982" s="220"/>
      <c r="AL982" s="220"/>
      <c r="AM982" s="220"/>
      <c r="AN982" s="220"/>
    </row>
    <row r="983" ht="15.75" customHeight="1">
      <c r="A983" s="220"/>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c r="AA983" s="220"/>
      <c r="AB983" s="220"/>
      <c r="AC983" s="220"/>
      <c r="AD983" s="220"/>
      <c r="AE983" s="220"/>
      <c r="AF983" s="220"/>
      <c r="AG983" s="220"/>
      <c r="AH983" s="220"/>
      <c r="AI983" s="220"/>
      <c r="AJ983" s="220"/>
      <c r="AK983" s="220"/>
      <c r="AL983" s="220"/>
      <c r="AM983" s="220"/>
      <c r="AN983" s="220"/>
    </row>
    <row r="984" ht="15.75" customHeight="1">
      <c r="A984" s="220"/>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c r="AA984" s="220"/>
      <c r="AB984" s="220"/>
      <c r="AC984" s="220"/>
      <c r="AD984" s="220"/>
      <c r="AE984" s="220"/>
      <c r="AF984" s="220"/>
      <c r="AG984" s="220"/>
      <c r="AH984" s="220"/>
      <c r="AI984" s="220"/>
      <c r="AJ984" s="220"/>
      <c r="AK984" s="220"/>
      <c r="AL984" s="220"/>
      <c r="AM984" s="220"/>
      <c r="AN984" s="220"/>
    </row>
    <row r="985" ht="15.75" customHeight="1">
      <c r="A985" s="220"/>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c r="AA985" s="220"/>
      <c r="AB985" s="220"/>
      <c r="AC985" s="220"/>
      <c r="AD985" s="220"/>
      <c r="AE985" s="220"/>
      <c r="AF985" s="220"/>
      <c r="AG985" s="220"/>
      <c r="AH985" s="220"/>
      <c r="AI985" s="220"/>
      <c r="AJ985" s="220"/>
      <c r="AK985" s="220"/>
      <c r="AL985" s="220"/>
      <c r="AM985" s="220"/>
      <c r="AN985" s="220"/>
    </row>
    <row r="986" ht="15.75" customHeight="1">
      <c r="A986" s="220"/>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c r="AA986" s="220"/>
      <c r="AB986" s="220"/>
      <c r="AC986" s="220"/>
      <c r="AD986" s="220"/>
      <c r="AE986" s="220"/>
      <c r="AF986" s="220"/>
      <c r="AG986" s="220"/>
      <c r="AH986" s="220"/>
      <c r="AI986" s="220"/>
      <c r="AJ986" s="220"/>
      <c r="AK986" s="220"/>
      <c r="AL986" s="220"/>
      <c r="AM986" s="220"/>
      <c r="AN986" s="220"/>
    </row>
    <row r="987" ht="15.75" customHeight="1">
      <c r="A987" s="220"/>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c r="AA987" s="220"/>
      <c r="AB987" s="220"/>
      <c r="AC987" s="220"/>
      <c r="AD987" s="220"/>
      <c r="AE987" s="220"/>
      <c r="AF987" s="220"/>
      <c r="AG987" s="220"/>
      <c r="AH987" s="220"/>
      <c r="AI987" s="220"/>
      <c r="AJ987" s="220"/>
      <c r="AK987" s="220"/>
      <c r="AL987" s="220"/>
      <c r="AM987" s="220"/>
      <c r="AN987" s="220"/>
    </row>
    <row r="988" ht="15.75" customHeight="1">
      <c r="A988" s="220"/>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c r="AA988" s="220"/>
      <c r="AB988" s="220"/>
      <c r="AC988" s="220"/>
      <c r="AD988" s="220"/>
      <c r="AE988" s="220"/>
      <c r="AF988" s="220"/>
      <c r="AG988" s="220"/>
      <c r="AH988" s="220"/>
      <c r="AI988" s="220"/>
      <c r="AJ988" s="220"/>
      <c r="AK988" s="220"/>
      <c r="AL988" s="220"/>
      <c r="AM988" s="220"/>
      <c r="AN988" s="220"/>
    </row>
    <row r="989" ht="15.75" customHeight="1">
      <c r="A989" s="220"/>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c r="AA989" s="220"/>
      <c r="AB989" s="220"/>
      <c r="AC989" s="220"/>
      <c r="AD989" s="220"/>
      <c r="AE989" s="220"/>
      <c r="AF989" s="220"/>
      <c r="AG989" s="220"/>
      <c r="AH989" s="220"/>
      <c r="AI989" s="220"/>
      <c r="AJ989" s="220"/>
      <c r="AK989" s="220"/>
      <c r="AL989" s="220"/>
      <c r="AM989" s="220"/>
      <c r="AN989" s="220"/>
    </row>
    <row r="990" ht="15.75" customHeight="1">
      <c r="A990" s="220"/>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c r="AA990" s="220"/>
      <c r="AB990" s="220"/>
      <c r="AC990" s="220"/>
      <c r="AD990" s="220"/>
      <c r="AE990" s="220"/>
      <c r="AF990" s="220"/>
      <c r="AG990" s="220"/>
      <c r="AH990" s="220"/>
      <c r="AI990" s="220"/>
      <c r="AJ990" s="220"/>
      <c r="AK990" s="220"/>
      <c r="AL990" s="220"/>
      <c r="AM990" s="220"/>
      <c r="AN990" s="220"/>
    </row>
    <row r="991" ht="15.75" customHeight="1">
      <c r="A991" s="220"/>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c r="AA991" s="220"/>
      <c r="AB991" s="220"/>
      <c r="AC991" s="220"/>
      <c r="AD991" s="220"/>
      <c r="AE991" s="220"/>
      <c r="AF991" s="220"/>
      <c r="AG991" s="220"/>
      <c r="AH991" s="220"/>
      <c r="AI991" s="220"/>
      <c r="AJ991" s="220"/>
      <c r="AK991" s="220"/>
      <c r="AL991" s="220"/>
      <c r="AM991" s="220"/>
      <c r="AN991" s="220"/>
    </row>
    <row r="992" ht="15.75" customHeight="1">
      <c r="A992" s="220"/>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c r="AA992" s="220"/>
      <c r="AB992" s="220"/>
      <c r="AC992" s="220"/>
      <c r="AD992" s="220"/>
      <c r="AE992" s="220"/>
      <c r="AF992" s="220"/>
      <c r="AG992" s="220"/>
      <c r="AH992" s="220"/>
      <c r="AI992" s="220"/>
      <c r="AJ992" s="220"/>
      <c r="AK992" s="220"/>
      <c r="AL992" s="220"/>
      <c r="AM992" s="220"/>
      <c r="AN992" s="220"/>
    </row>
    <row r="993" ht="15.75" customHeight="1">
      <c r="A993" s="220"/>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c r="AA993" s="220"/>
      <c r="AB993" s="220"/>
      <c r="AC993" s="220"/>
      <c r="AD993" s="220"/>
      <c r="AE993" s="220"/>
      <c r="AF993" s="220"/>
      <c r="AG993" s="220"/>
      <c r="AH993" s="220"/>
      <c r="AI993" s="220"/>
      <c r="AJ993" s="220"/>
      <c r="AK993" s="220"/>
      <c r="AL993" s="220"/>
      <c r="AM993" s="220"/>
      <c r="AN993" s="220"/>
    </row>
    <row r="994" ht="15.75" customHeight="1">
      <c r="A994" s="220"/>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c r="AA994" s="220"/>
      <c r="AB994" s="220"/>
      <c r="AC994" s="220"/>
      <c r="AD994" s="220"/>
      <c r="AE994" s="220"/>
      <c r="AF994" s="220"/>
      <c r="AG994" s="220"/>
      <c r="AH994" s="220"/>
      <c r="AI994" s="220"/>
      <c r="AJ994" s="220"/>
      <c r="AK994" s="220"/>
      <c r="AL994" s="220"/>
      <c r="AM994" s="220"/>
      <c r="AN994" s="220"/>
    </row>
    <row r="995" ht="15.75" customHeight="1">
      <c r="A995" s="220"/>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c r="AA995" s="220"/>
      <c r="AB995" s="220"/>
      <c r="AC995" s="220"/>
      <c r="AD995" s="220"/>
      <c r="AE995" s="220"/>
      <c r="AF995" s="220"/>
      <c r="AG995" s="220"/>
      <c r="AH995" s="220"/>
      <c r="AI995" s="220"/>
      <c r="AJ995" s="220"/>
      <c r="AK995" s="220"/>
      <c r="AL995" s="220"/>
      <c r="AM995" s="220"/>
      <c r="AN995" s="220"/>
    </row>
    <row r="996" ht="15.75" customHeight="1">
      <c r="A996" s="220"/>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c r="AA996" s="220"/>
      <c r="AB996" s="220"/>
      <c r="AC996" s="220"/>
      <c r="AD996" s="220"/>
      <c r="AE996" s="220"/>
      <c r="AF996" s="220"/>
      <c r="AG996" s="220"/>
      <c r="AH996" s="220"/>
      <c r="AI996" s="220"/>
      <c r="AJ996" s="220"/>
      <c r="AK996" s="220"/>
      <c r="AL996" s="220"/>
      <c r="AM996" s="220"/>
      <c r="AN996" s="220"/>
    </row>
    <row r="997" ht="15.75" customHeight="1">
      <c r="A997" s="220"/>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c r="AA997" s="220"/>
      <c r="AB997" s="220"/>
      <c r="AC997" s="220"/>
      <c r="AD997" s="220"/>
      <c r="AE997" s="220"/>
      <c r="AF997" s="220"/>
      <c r="AG997" s="220"/>
      <c r="AH997" s="220"/>
      <c r="AI997" s="220"/>
      <c r="AJ997" s="220"/>
      <c r="AK997" s="220"/>
      <c r="AL997" s="220"/>
      <c r="AM997" s="220"/>
      <c r="AN997" s="220"/>
    </row>
    <row r="998" ht="15.75" customHeight="1">
      <c r="A998" s="220"/>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c r="AA998" s="220"/>
      <c r="AB998" s="220"/>
      <c r="AC998" s="220"/>
      <c r="AD998" s="220"/>
      <c r="AE998" s="220"/>
      <c r="AF998" s="220"/>
      <c r="AG998" s="220"/>
      <c r="AH998" s="220"/>
      <c r="AI998" s="220"/>
      <c r="AJ998" s="220"/>
      <c r="AK998" s="220"/>
      <c r="AL998" s="220"/>
      <c r="AM998" s="220"/>
      <c r="AN998" s="220"/>
    </row>
    <row r="999" ht="15.75" customHeight="1">
      <c r="A999" s="220"/>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c r="AA999" s="220"/>
      <c r="AB999" s="220"/>
      <c r="AC999" s="220"/>
      <c r="AD999" s="220"/>
      <c r="AE999" s="220"/>
      <c r="AF999" s="220"/>
      <c r="AG999" s="220"/>
      <c r="AH999" s="220"/>
      <c r="AI999" s="220"/>
      <c r="AJ999" s="220"/>
      <c r="AK999" s="220"/>
      <c r="AL999" s="220"/>
      <c r="AM999" s="220"/>
      <c r="AN999" s="220"/>
    </row>
    <row r="1000" ht="15.75" customHeight="1">
      <c r="A1000" s="220"/>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c r="AA1000" s="220"/>
      <c r="AB1000" s="220"/>
      <c r="AC1000" s="220"/>
      <c r="AD1000" s="220"/>
      <c r="AE1000" s="220"/>
      <c r="AF1000" s="220"/>
      <c r="AG1000" s="220"/>
      <c r="AH1000" s="220"/>
      <c r="AI1000" s="220"/>
      <c r="AJ1000" s="220"/>
      <c r="AK1000" s="220"/>
      <c r="AL1000" s="220"/>
      <c r="AM1000" s="220"/>
      <c r="AN1000" s="220"/>
    </row>
    <row r="1001" ht="15.75" customHeight="1">
      <c r="A1001" s="220"/>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c r="AA1001" s="220"/>
      <c r="AB1001" s="220"/>
      <c r="AC1001" s="220"/>
      <c r="AD1001" s="220"/>
      <c r="AE1001" s="220"/>
      <c r="AF1001" s="220"/>
      <c r="AG1001" s="220"/>
      <c r="AH1001" s="220"/>
      <c r="AI1001" s="220"/>
      <c r="AJ1001" s="220"/>
      <c r="AK1001" s="220"/>
      <c r="AL1001" s="220"/>
      <c r="AM1001" s="220"/>
      <c r="AN1001" s="220"/>
    </row>
    <row r="1002" ht="15.75" customHeight="1">
      <c r="A1002" s="220"/>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c r="AA1002" s="220"/>
      <c r="AB1002" s="220"/>
      <c r="AC1002" s="220"/>
      <c r="AD1002" s="220"/>
      <c r="AE1002" s="220"/>
      <c r="AF1002" s="220"/>
      <c r="AG1002" s="220"/>
      <c r="AH1002" s="220"/>
      <c r="AI1002" s="220"/>
      <c r="AJ1002" s="220"/>
      <c r="AK1002" s="220"/>
      <c r="AL1002" s="220"/>
      <c r="AM1002" s="220"/>
      <c r="AN1002" s="220"/>
    </row>
    <row r="1003" ht="15.75" customHeight="1">
      <c r="A1003" s="220"/>
      <c r="B1003" s="220"/>
      <c r="C1003" s="220"/>
      <c r="D1003" s="220"/>
      <c r="E1003" s="220"/>
      <c r="F1003" s="220"/>
      <c r="G1003" s="220"/>
      <c r="H1003" s="220"/>
      <c r="I1003" s="220"/>
      <c r="J1003" s="220"/>
      <c r="K1003" s="220"/>
      <c r="L1003" s="220"/>
      <c r="M1003" s="220"/>
      <c r="N1003" s="220"/>
      <c r="O1003" s="220"/>
      <c r="P1003" s="220"/>
      <c r="Q1003" s="220"/>
      <c r="R1003" s="220"/>
      <c r="S1003" s="220"/>
      <c r="T1003" s="220"/>
      <c r="U1003" s="220"/>
      <c r="V1003" s="220"/>
      <c r="W1003" s="220"/>
      <c r="X1003" s="220"/>
      <c r="Y1003" s="220"/>
      <c r="Z1003" s="220"/>
      <c r="AA1003" s="220"/>
      <c r="AB1003" s="220"/>
      <c r="AC1003" s="220"/>
      <c r="AD1003" s="220"/>
      <c r="AE1003" s="220"/>
      <c r="AF1003" s="220"/>
      <c r="AG1003" s="220"/>
      <c r="AH1003" s="220"/>
      <c r="AI1003" s="220"/>
      <c r="AJ1003" s="220"/>
      <c r="AK1003" s="220"/>
      <c r="AL1003" s="220"/>
      <c r="AM1003" s="220"/>
      <c r="AN1003" s="220"/>
    </row>
    <row r="1004" ht="15.75" customHeight="1">
      <c r="A1004" s="220"/>
      <c r="B1004" s="220"/>
      <c r="C1004" s="220"/>
      <c r="D1004" s="220"/>
      <c r="E1004" s="220"/>
      <c r="F1004" s="220"/>
      <c r="G1004" s="220"/>
      <c r="H1004" s="220"/>
      <c r="I1004" s="220"/>
      <c r="J1004" s="220"/>
      <c r="K1004" s="220"/>
      <c r="L1004" s="220"/>
      <c r="M1004" s="220"/>
      <c r="N1004" s="220"/>
      <c r="O1004" s="220"/>
      <c r="P1004" s="220"/>
      <c r="Q1004" s="220"/>
      <c r="R1004" s="220"/>
      <c r="S1004" s="220"/>
      <c r="T1004" s="220"/>
      <c r="U1004" s="220"/>
      <c r="V1004" s="220"/>
      <c r="W1004" s="220"/>
      <c r="X1004" s="220"/>
      <c r="Y1004" s="220"/>
      <c r="Z1004" s="220"/>
      <c r="AA1004" s="220"/>
      <c r="AB1004" s="220"/>
      <c r="AC1004" s="220"/>
      <c r="AD1004" s="220"/>
      <c r="AE1004" s="220"/>
      <c r="AF1004" s="220"/>
      <c r="AG1004" s="220"/>
      <c r="AH1004" s="220"/>
      <c r="AI1004" s="220"/>
      <c r="AJ1004" s="220"/>
      <c r="AK1004" s="220"/>
      <c r="AL1004" s="220"/>
      <c r="AM1004" s="220"/>
      <c r="AN1004" s="220"/>
    </row>
    <row r="1005" ht="15.75" customHeight="1">
      <c r="A1005" s="220"/>
      <c r="B1005" s="220"/>
      <c r="C1005" s="220"/>
      <c r="D1005" s="220"/>
      <c r="E1005" s="220"/>
      <c r="F1005" s="220"/>
      <c r="G1005" s="220"/>
      <c r="H1005" s="220"/>
      <c r="I1005" s="220"/>
      <c r="J1005" s="220"/>
      <c r="K1005" s="220"/>
      <c r="L1005" s="220"/>
      <c r="M1005" s="220"/>
      <c r="N1005" s="220"/>
      <c r="O1005" s="220"/>
      <c r="P1005" s="220"/>
      <c r="Q1005" s="220"/>
      <c r="R1005" s="220"/>
      <c r="S1005" s="220"/>
      <c r="T1005" s="220"/>
      <c r="U1005" s="220"/>
      <c r="V1005" s="220"/>
      <c r="W1005" s="220"/>
      <c r="X1005" s="220"/>
      <c r="Y1005" s="220"/>
      <c r="Z1005" s="220"/>
      <c r="AA1005" s="220"/>
      <c r="AB1005" s="220"/>
      <c r="AC1005" s="220"/>
      <c r="AD1005" s="220"/>
      <c r="AE1005" s="220"/>
      <c r="AF1005" s="220"/>
      <c r="AG1005" s="220"/>
      <c r="AH1005" s="220"/>
      <c r="AI1005" s="220"/>
      <c r="AJ1005" s="220"/>
      <c r="AK1005" s="220"/>
      <c r="AL1005" s="220"/>
      <c r="AM1005" s="220"/>
      <c r="AN1005" s="220"/>
    </row>
    <row r="1006" ht="15.75" customHeight="1">
      <c r="A1006" s="220"/>
      <c r="B1006" s="220"/>
      <c r="C1006" s="220"/>
      <c r="D1006" s="220"/>
      <c r="E1006" s="220"/>
      <c r="F1006" s="220"/>
      <c r="G1006" s="220"/>
      <c r="H1006" s="220"/>
      <c r="I1006" s="220"/>
      <c r="J1006" s="220"/>
      <c r="K1006" s="220"/>
      <c r="L1006" s="220"/>
      <c r="M1006" s="220"/>
      <c r="N1006" s="220"/>
      <c r="O1006" s="220"/>
      <c r="P1006" s="220"/>
      <c r="Q1006" s="220"/>
      <c r="R1006" s="220"/>
      <c r="S1006" s="220"/>
      <c r="T1006" s="220"/>
      <c r="U1006" s="220"/>
      <c r="V1006" s="220"/>
      <c r="W1006" s="220"/>
      <c r="X1006" s="220"/>
      <c r="Y1006" s="220"/>
      <c r="Z1006" s="220"/>
      <c r="AA1006" s="220"/>
      <c r="AB1006" s="220"/>
      <c r="AC1006" s="220"/>
      <c r="AD1006" s="220"/>
      <c r="AE1006" s="220"/>
      <c r="AF1006" s="220"/>
      <c r="AG1006" s="220"/>
      <c r="AH1006" s="220"/>
      <c r="AI1006" s="220"/>
      <c r="AJ1006" s="220"/>
      <c r="AK1006" s="220"/>
      <c r="AL1006" s="220"/>
      <c r="AM1006" s="220"/>
      <c r="AN1006" s="220"/>
    </row>
    <row r="1007" ht="15.75" customHeight="1">
      <c r="A1007" s="220"/>
      <c r="B1007" s="220"/>
      <c r="C1007" s="220"/>
      <c r="D1007" s="220"/>
      <c r="E1007" s="220"/>
      <c r="F1007" s="220"/>
      <c r="G1007" s="220"/>
      <c r="H1007" s="220"/>
      <c r="I1007" s="220"/>
      <c r="J1007" s="220"/>
      <c r="K1007" s="220"/>
      <c r="L1007" s="220"/>
      <c r="M1007" s="220"/>
      <c r="N1007" s="220"/>
      <c r="O1007" s="220"/>
      <c r="P1007" s="220"/>
      <c r="Q1007" s="220"/>
      <c r="R1007" s="220"/>
      <c r="S1007" s="220"/>
      <c r="T1007" s="220"/>
      <c r="U1007" s="220"/>
      <c r="V1007" s="220"/>
      <c r="W1007" s="220"/>
      <c r="X1007" s="220"/>
      <c r="Y1007" s="220"/>
      <c r="Z1007" s="220"/>
      <c r="AA1007" s="220"/>
      <c r="AB1007" s="220"/>
      <c r="AC1007" s="220"/>
      <c r="AD1007" s="220"/>
      <c r="AE1007" s="220"/>
      <c r="AF1007" s="220"/>
      <c r="AG1007" s="220"/>
      <c r="AH1007" s="220"/>
      <c r="AI1007" s="220"/>
      <c r="AJ1007" s="220"/>
      <c r="AK1007" s="220"/>
      <c r="AL1007" s="220"/>
      <c r="AM1007" s="220"/>
      <c r="AN1007" s="220"/>
    </row>
    <row r="1008" ht="15.75" customHeight="1">
      <c r="A1008" s="220"/>
      <c r="B1008" s="220"/>
      <c r="C1008" s="220"/>
      <c r="D1008" s="220"/>
      <c r="E1008" s="220"/>
      <c r="F1008" s="220"/>
      <c r="G1008" s="220"/>
      <c r="H1008" s="220"/>
      <c r="I1008" s="220"/>
      <c r="J1008" s="220"/>
      <c r="K1008" s="220"/>
      <c r="L1008" s="220"/>
      <c r="M1008" s="220"/>
      <c r="N1008" s="220"/>
      <c r="O1008" s="220"/>
      <c r="P1008" s="220"/>
      <c r="Q1008" s="220"/>
      <c r="R1008" s="220"/>
      <c r="S1008" s="220"/>
      <c r="T1008" s="220"/>
      <c r="U1008" s="220"/>
      <c r="V1008" s="220"/>
      <c r="W1008" s="220"/>
      <c r="X1008" s="220"/>
      <c r="Y1008" s="220"/>
      <c r="Z1008" s="220"/>
      <c r="AA1008" s="220"/>
      <c r="AB1008" s="220"/>
      <c r="AC1008" s="220"/>
      <c r="AD1008" s="220"/>
      <c r="AE1008" s="220"/>
      <c r="AF1008" s="220"/>
      <c r="AG1008" s="220"/>
      <c r="AH1008" s="220"/>
      <c r="AI1008" s="220"/>
      <c r="AJ1008" s="220"/>
      <c r="AK1008" s="220"/>
      <c r="AL1008" s="220"/>
      <c r="AM1008" s="220"/>
      <c r="AN1008" s="220"/>
    </row>
    <row r="1009" ht="15.75" customHeight="1">
      <c r="A1009" s="220"/>
      <c r="B1009" s="220"/>
      <c r="C1009" s="220"/>
      <c r="D1009" s="220"/>
      <c r="E1009" s="220"/>
      <c r="F1009" s="220"/>
      <c r="G1009" s="220"/>
      <c r="H1009" s="220"/>
      <c r="I1009" s="220"/>
      <c r="J1009" s="220"/>
      <c r="K1009" s="220"/>
      <c r="L1009" s="220"/>
      <c r="M1009" s="220"/>
      <c r="N1009" s="220"/>
      <c r="O1009" s="220"/>
      <c r="P1009" s="220"/>
      <c r="Q1009" s="220"/>
      <c r="R1009" s="220"/>
      <c r="S1009" s="220"/>
      <c r="T1009" s="220"/>
      <c r="U1009" s="220"/>
      <c r="V1009" s="220"/>
      <c r="W1009" s="220"/>
      <c r="X1009" s="220"/>
      <c r="Y1009" s="220"/>
      <c r="Z1009" s="220"/>
      <c r="AA1009" s="220"/>
      <c r="AB1009" s="220"/>
      <c r="AC1009" s="220"/>
      <c r="AD1009" s="220"/>
      <c r="AE1009" s="220"/>
      <c r="AF1009" s="220"/>
      <c r="AG1009" s="220"/>
      <c r="AH1009" s="220"/>
      <c r="AI1009" s="220"/>
      <c r="AJ1009" s="220"/>
      <c r="AK1009" s="220"/>
      <c r="AL1009" s="220"/>
      <c r="AM1009" s="220"/>
      <c r="AN1009" s="220"/>
    </row>
    <row r="1010" ht="15.75" customHeight="1">
      <c r="A1010" s="220"/>
      <c r="B1010" s="220"/>
      <c r="C1010" s="220"/>
      <c r="D1010" s="220"/>
      <c r="E1010" s="220"/>
      <c r="F1010" s="220"/>
      <c r="G1010" s="220"/>
      <c r="H1010" s="220"/>
      <c r="I1010" s="220"/>
      <c r="J1010" s="220"/>
      <c r="K1010" s="220"/>
      <c r="L1010" s="220"/>
      <c r="M1010" s="220"/>
      <c r="N1010" s="220"/>
      <c r="O1010" s="220"/>
      <c r="P1010" s="220"/>
      <c r="Q1010" s="220"/>
      <c r="R1010" s="220"/>
      <c r="S1010" s="220"/>
      <c r="T1010" s="220"/>
      <c r="U1010" s="220"/>
      <c r="V1010" s="220"/>
      <c r="W1010" s="220"/>
      <c r="X1010" s="220"/>
      <c r="Y1010" s="220"/>
      <c r="Z1010" s="220"/>
      <c r="AA1010" s="220"/>
      <c r="AB1010" s="220"/>
      <c r="AC1010" s="220"/>
      <c r="AD1010" s="220"/>
      <c r="AE1010" s="220"/>
      <c r="AF1010" s="220"/>
      <c r="AG1010" s="220"/>
      <c r="AH1010" s="220"/>
      <c r="AI1010" s="220"/>
      <c r="AJ1010" s="220"/>
      <c r="AK1010" s="220"/>
      <c r="AL1010" s="220"/>
      <c r="AM1010" s="220"/>
      <c r="AN1010" s="220"/>
    </row>
    <row r="1011" ht="15.75" customHeight="1">
      <c r="A1011" s="220"/>
      <c r="B1011" s="220"/>
      <c r="C1011" s="220"/>
      <c r="D1011" s="220"/>
      <c r="E1011" s="220"/>
      <c r="F1011" s="220"/>
      <c r="G1011" s="220"/>
      <c r="H1011" s="220"/>
      <c r="I1011" s="220"/>
      <c r="J1011" s="220"/>
      <c r="K1011" s="220"/>
      <c r="L1011" s="220"/>
      <c r="M1011" s="220"/>
      <c r="N1011" s="220"/>
      <c r="O1011" s="220"/>
      <c r="P1011" s="220"/>
      <c r="Q1011" s="220"/>
      <c r="R1011" s="220"/>
      <c r="S1011" s="220"/>
      <c r="T1011" s="220"/>
      <c r="U1011" s="220"/>
      <c r="V1011" s="220"/>
      <c r="W1011" s="220"/>
      <c r="X1011" s="220"/>
      <c r="Y1011" s="220"/>
      <c r="Z1011" s="220"/>
      <c r="AA1011" s="220"/>
      <c r="AB1011" s="220"/>
      <c r="AC1011" s="220"/>
      <c r="AD1011" s="220"/>
      <c r="AE1011" s="220"/>
      <c r="AF1011" s="220"/>
      <c r="AG1011" s="220"/>
      <c r="AH1011" s="220"/>
      <c r="AI1011" s="220"/>
      <c r="AJ1011" s="220"/>
      <c r="AK1011" s="220"/>
      <c r="AL1011" s="220"/>
      <c r="AM1011" s="220"/>
      <c r="AN1011" s="220"/>
    </row>
    <row r="1012" ht="15.75" customHeight="1">
      <c r="A1012" s="220"/>
      <c r="B1012" s="220"/>
      <c r="C1012" s="220"/>
      <c r="D1012" s="220"/>
      <c r="E1012" s="220"/>
      <c r="F1012" s="220"/>
      <c r="G1012" s="220"/>
      <c r="H1012" s="220"/>
      <c r="I1012" s="220"/>
      <c r="J1012" s="220"/>
      <c r="K1012" s="220"/>
      <c r="L1012" s="220"/>
      <c r="M1012" s="220"/>
      <c r="N1012" s="220"/>
      <c r="O1012" s="220"/>
      <c r="P1012" s="220"/>
      <c r="Q1012" s="220"/>
      <c r="R1012" s="220"/>
      <c r="S1012" s="220"/>
      <c r="T1012" s="220"/>
      <c r="U1012" s="220"/>
      <c r="V1012" s="220"/>
      <c r="W1012" s="220"/>
      <c r="X1012" s="220"/>
      <c r="Y1012" s="220"/>
      <c r="Z1012" s="220"/>
      <c r="AA1012" s="220"/>
      <c r="AB1012" s="220"/>
      <c r="AC1012" s="220"/>
      <c r="AD1012" s="220"/>
      <c r="AE1012" s="220"/>
      <c r="AF1012" s="220"/>
      <c r="AG1012" s="220"/>
      <c r="AH1012" s="220"/>
      <c r="AI1012" s="220"/>
      <c r="AJ1012" s="220"/>
      <c r="AK1012" s="220"/>
      <c r="AL1012" s="220"/>
      <c r="AM1012" s="220"/>
      <c r="AN1012" s="220"/>
    </row>
    <row r="1013" ht="15.75" customHeight="1">
      <c r="A1013" s="220"/>
      <c r="B1013" s="220"/>
      <c r="C1013" s="220"/>
      <c r="D1013" s="220"/>
      <c r="E1013" s="220"/>
      <c r="F1013" s="220"/>
      <c r="G1013" s="220"/>
      <c r="H1013" s="220"/>
      <c r="I1013" s="220"/>
      <c r="J1013" s="220"/>
      <c r="K1013" s="220"/>
      <c r="L1013" s="220"/>
      <c r="M1013" s="220"/>
      <c r="N1013" s="220"/>
      <c r="O1013" s="220"/>
      <c r="P1013" s="220"/>
      <c r="Q1013" s="220"/>
      <c r="R1013" s="220"/>
      <c r="S1013" s="220"/>
      <c r="T1013" s="220"/>
      <c r="U1013" s="220"/>
      <c r="V1013" s="220"/>
      <c r="W1013" s="220"/>
      <c r="X1013" s="220"/>
      <c r="Y1013" s="220"/>
      <c r="Z1013" s="220"/>
      <c r="AA1013" s="220"/>
      <c r="AB1013" s="220"/>
      <c r="AC1013" s="220"/>
      <c r="AD1013" s="220"/>
      <c r="AE1013" s="220"/>
      <c r="AF1013" s="220"/>
      <c r="AG1013" s="220"/>
      <c r="AH1013" s="220"/>
      <c r="AI1013" s="220"/>
      <c r="AJ1013" s="220"/>
      <c r="AK1013" s="220"/>
      <c r="AL1013" s="220"/>
      <c r="AM1013" s="220"/>
      <c r="AN1013" s="220"/>
    </row>
    <row r="1014" ht="15.75" customHeight="1">
      <c r="A1014" s="220"/>
      <c r="B1014" s="220"/>
      <c r="C1014" s="220"/>
      <c r="D1014" s="220"/>
      <c r="E1014" s="220"/>
      <c r="F1014" s="220"/>
      <c r="G1014" s="220"/>
      <c r="H1014" s="220"/>
      <c r="I1014" s="220"/>
      <c r="J1014" s="220"/>
      <c r="K1014" s="220"/>
      <c r="L1014" s="220"/>
      <c r="M1014" s="220"/>
      <c r="N1014" s="220"/>
      <c r="O1014" s="220"/>
      <c r="P1014" s="220"/>
      <c r="Q1014" s="220"/>
      <c r="R1014" s="220"/>
      <c r="S1014" s="220"/>
      <c r="T1014" s="220"/>
      <c r="U1014" s="220"/>
      <c r="V1014" s="220"/>
      <c r="W1014" s="220"/>
      <c r="X1014" s="220"/>
      <c r="Y1014" s="220"/>
      <c r="Z1014" s="220"/>
      <c r="AA1014" s="220"/>
      <c r="AB1014" s="220"/>
      <c r="AC1014" s="220"/>
      <c r="AD1014" s="220"/>
      <c r="AE1014" s="220"/>
      <c r="AF1014" s="220"/>
      <c r="AG1014" s="220"/>
      <c r="AH1014" s="220"/>
      <c r="AI1014" s="220"/>
      <c r="AJ1014" s="220"/>
      <c r="AK1014" s="220"/>
      <c r="AL1014" s="220"/>
      <c r="AM1014" s="220"/>
      <c r="AN1014" s="220"/>
    </row>
    <row r="1015" ht="15.75" customHeight="1">
      <c r="A1015" s="220"/>
      <c r="B1015" s="220"/>
      <c r="C1015" s="220"/>
      <c r="D1015" s="220"/>
      <c r="E1015" s="220"/>
      <c r="F1015" s="220"/>
      <c r="G1015" s="220"/>
      <c r="H1015" s="220"/>
      <c r="I1015" s="220"/>
      <c r="J1015" s="220"/>
      <c r="K1015" s="220"/>
      <c r="L1015" s="220"/>
      <c r="M1015" s="220"/>
      <c r="N1015" s="220"/>
      <c r="O1015" s="220"/>
      <c r="P1015" s="220"/>
      <c r="Q1015" s="220"/>
      <c r="R1015" s="220"/>
      <c r="S1015" s="220"/>
      <c r="T1015" s="220"/>
      <c r="U1015" s="220"/>
      <c r="V1015" s="220"/>
      <c r="W1015" s="220"/>
      <c r="X1015" s="220"/>
      <c r="Y1015" s="220"/>
      <c r="Z1015" s="220"/>
      <c r="AA1015" s="220"/>
      <c r="AB1015" s="220"/>
      <c r="AC1015" s="220"/>
      <c r="AD1015" s="220"/>
      <c r="AE1015" s="220"/>
      <c r="AF1015" s="220"/>
      <c r="AG1015" s="220"/>
      <c r="AH1015" s="220"/>
      <c r="AI1015" s="220"/>
      <c r="AJ1015" s="220"/>
      <c r="AK1015" s="220"/>
      <c r="AL1015" s="220"/>
      <c r="AM1015" s="220"/>
      <c r="AN1015" s="220"/>
    </row>
    <row r="1016" ht="15.75" customHeight="1">
      <c r="A1016" s="220"/>
      <c r="B1016" s="220"/>
      <c r="C1016" s="220"/>
      <c r="D1016" s="220"/>
      <c r="E1016" s="220"/>
      <c r="F1016" s="220"/>
      <c r="G1016" s="220"/>
      <c r="H1016" s="220"/>
      <c r="I1016" s="220"/>
      <c r="J1016" s="220"/>
      <c r="K1016" s="220"/>
      <c r="L1016" s="220"/>
      <c r="M1016" s="220"/>
      <c r="N1016" s="220"/>
      <c r="O1016" s="220"/>
      <c r="P1016" s="220"/>
      <c r="Q1016" s="220"/>
      <c r="R1016" s="220"/>
      <c r="S1016" s="220"/>
      <c r="T1016" s="220"/>
      <c r="U1016" s="220"/>
      <c r="V1016" s="220"/>
      <c r="W1016" s="220"/>
      <c r="X1016" s="220"/>
      <c r="Y1016" s="220"/>
      <c r="Z1016" s="220"/>
      <c r="AA1016" s="220"/>
      <c r="AB1016" s="220"/>
      <c r="AC1016" s="220"/>
      <c r="AD1016" s="220"/>
      <c r="AE1016" s="220"/>
      <c r="AF1016" s="220"/>
      <c r="AG1016" s="220"/>
      <c r="AH1016" s="220"/>
      <c r="AI1016" s="220"/>
      <c r="AJ1016" s="220"/>
      <c r="AK1016" s="220"/>
      <c r="AL1016" s="220"/>
      <c r="AM1016" s="220"/>
      <c r="AN1016" s="220"/>
    </row>
    <row r="1017" ht="15.75" customHeight="1">
      <c r="A1017" s="220"/>
      <c r="B1017" s="220"/>
      <c r="C1017" s="220"/>
      <c r="D1017" s="220"/>
      <c r="E1017" s="220"/>
      <c r="F1017" s="220"/>
      <c r="G1017" s="220"/>
      <c r="H1017" s="220"/>
      <c r="I1017" s="220"/>
      <c r="J1017" s="220"/>
      <c r="K1017" s="220"/>
      <c r="L1017" s="220"/>
      <c r="M1017" s="220"/>
      <c r="N1017" s="220"/>
      <c r="O1017" s="220"/>
      <c r="P1017" s="220"/>
      <c r="Q1017" s="220"/>
      <c r="R1017" s="220"/>
      <c r="S1017" s="220"/>
      <c r="T1017" s="220"/>
      <c r="U1017" s="220"/>
      <c r="V1017" s="220"/>
      <c r="W1017" s="220"/>
      <c r="X1017" s="220"/>
      <c r="Y1017" s="220"/>
      <c r="Z1017" s="220"/>
      <c r="AA1017" s="220"/>
      <c r="AB1017" s="220"/>
      <c r="AC1017" s="220"/>
      <c r="AD1017" s="220"/>
      <c r="AE1017" s="220"/>
      <c r="AF1017" s="220"/>
      <c r="AG1017" s="220"/>
      <c r="AH1017" s="220"/>
      <c r="AI1017" s="220"/>
      <c r="AJ1017" s="220"/>
      <c r="AK1017" s="220"/>
      <c r="AL1017" s="220"/>
      <c r="AM1017" s="220"/>
      <c r="AN1017" s="220"/>
    </row>
    <row r="1018" ht="15.75" customHeight="1">
      <c r="A1018" s="220"/>
      <c r="B1018" s="220"/>
      <c r="C1018" s="220"/>
      <c r="D1018" s="220"/>
      <c r="E1018" s="220"/>
      <c r="F1018" s="220"/>
      <c r="G1018" s="220"/>
      <c r="H1018" s="220"/>
      <c r="I1018" s="220"/>
      <c r="J1018" s="220"/>
      <c r="K1018" s="220"/>
      <c r="L1018" s="220"/>
      <c r="M1018" s="220"/>
      <c r="N1018" s="220"/>
      <c r="O1018" s="220"/>
      <c r="P1018" s="220"/>
      <c r="Q1018" s="220"/>
      <c r="R1018" s="220"/>
      <c r="S1018" s="220"/>
      <c r="T1018" s="220"/>
      <c r="U1018" s="220"/>
      <c r="V1018" s="220"/>
      <c r="W1018" s="220"/>
      <c r="X1018" s="220"/>
      <c r="Y1018" s="220"/>
      <c r="Z1018" s="220"/>
      <c r="AA1018" s="220"/>
      <c r="AB1018" s="220"/>
      <c r="AC1018" s="220"/>
      <c r="AD1018" s="220"/>
      <c r="AE1018" s="220"/>
      <c r="AF1018" s="220"/>
      <c r="AG1018" s="220"/>
      <c r="AH1018" s="220"/>
      <c r="AI1018" s="220"/>
      <c r="AJ1018" s="220"/>
      <c r="AK1018" s="220"/>
      <c r="AL1018" s="220"/>
      <c r="AM1018" s="220"/>
      <c r="AN1018" s="220"/>
    </row>
    <row r="1019" ht="15.75" customHeight="1">
      <c r="A1019" s="220"/>
      <c r="B1019" s="220"/>
      <c r="C1019" s="220"/>
      <c r="D1019" s="220"/>
      <c r="E1019" s="220"/>
      <c r="F1019" s="220"/>
      <c r="G1019" s="220"/>
      <c r="H1019" s="220"/>
      <c r="I1019" s="220"/>
      <c r="J1019" s="220"/>
      <c r="K1019" s="220"/>
      <c r="L1019" s="220"/>
      <c r="M1019" s="220"/>
      <c r="N1019" s="220"/>
      <c r="O1019" s="220"/>
      <c r="P1019" s="220"/>
      <c r="Q1019" s="220"/>
      <c r="R1019" s="220"/>
      <c r="S1019" s="220"/>
      <c r="T1019" s="220"/>
      <c r="U1019" s="220"/>
      <c r="V1019" s="220"/>
      <c r="W1019" s="220"/>
      <c r="X1019" s="220"/>
      <c r="Y1019" s="220"/>
      <c r="Z1019" s="220"/>
      <c r="AA1019" s="220"/>
      <c r="AB1019" s="220"/>
      <c r="AC1019" s="220"/>
      <c r="AD1019" s="220"/>
      <c r="AE1019" s="220"/>
      <c r="AF1019" s="220"/>
      <c r="AG1019" s="220"/>
      <c r="AH1019" s="220"/>
      <c r="AI1019" s="220"/>
      <c r="AJ1019" s="220"/>
      <c r="AK1019" s="220"/>
      <c r="AL1019" s="220"/>
      <c r="AM1019" s="220"/>
      <c r="AN1019" s="220"/>
    </row>
    <row r="1020" ht="15.75" customHeight="1">
      <c r="A1020" s="220"/>
      <c r="B1020" s="220"/>
      <c r="C1020" s="220"/>
      <c r="D1020" s="220"/>
      <c r="E1020" s="220"/>
      <c r="F1020" s="220"/>
      <c r="G1020" s="220"/>
      <c r="H1020" s="220"/>
      <c r="I1020" s="220"/>
      <c r="J1020" s="220"/>
      <c r="K1020" s="220"/>
      <c r="L1020" s="220"/>
      <c r="M1020" s="220"/>
      <c r="N1020" s="220"/>
      <c r="O1020" s="220"/>
      <c r="P1020" s="220"/>
      <c r="Q1020" s="220"/>
      <c r="R1020" s="220"/>
      <c r="S1020" s="220"/>
      <c r="T1020" s="220"/>
      <c r="U1020" s="220"/>
      <c r="V1020" s="220"/>
      <c r="W1020" s="220"/>
      <c r="X1020" s="220"/>
      <c r="Y1020" s="220"/>
      <c r="Z1020" s="220"/>
      <c r="AA1020" s="220"/>
      <c r="AB1020" s="220"/>
      <c r="AC1020" s="220"/>
      <c r="AD1020" s="220"/>
      <c r="AE1020" s="220"/>
      <c r="AF1020" s="220"/>
      <c r="AG1020" s="220"/>
      <c r="AH1020" s="220"/>
      <c r="AI1020" s="220"/>
      <c r="AJ1020" s="220"/>
      <c r="AK1020" s="220"/>
      <c r="AL1020" s="220"/>
      <c r="AM1020" s="220"/>
      <c r="AN1020" s="220"/>
    </row>
    <row r="1021" ht="15.75" customHeight="1">
      <c r="A1021" s="220"/>
      <c r="B1021" s="220"/>
      <c r="C1021" s="220"/>
      <c r="D1021" s="220"/>
      <c r="E1021" s="220"/>
      <c r="F1021" s="220"/>
      <c r="G1021" s="220"/>
      <c r="H1021" s="220"/>
      <c r="I1021" s="220"/>
      <c r="J1021" s="220"/>
      <c r="K1021" s="220"/>
      <c r="L1021" s="220"/>
      <c r="M1021" s="220"/>
      <c r="N1021" s="220"/>
      <c r="O1021" s="220"/>
      <c r="P1021" s="220"/>
      <c r="Q1021" s="220"/>
      <c r="R1021" s="220"/>
      <c r="S1021" s="220"/>
      <c r="T1021" s="220"/>
      <c r="U1021" s="220"/>
      <c r="V1021" s="220"/>
      <c r="W1021" s="220"/>
      <c r="X1021" s="220"/>
      <c r="Y1021" s="220"/>
      <c r="Z1021" s="220"/>
      <c r="AA1021" s="220"/>
      <c r="AB1021" s="220"/>
      <c r="AC1021" s="220"/>
      <c r="AD1021" s="220"/>
      <c r="AE1021" s="220"/>
      <c r="AF1021" s="220"/>
      <c r="AG1021" s="220"/>
      <c r="AH1021" s="220"/>
      <c r="AI1021" s="220"/>
      <c r="AJ1021" s="220"/>
      <c r="AK1021" s="220"/>
      <c r="AL1021" s="220"/>
      <c r="AM1021" s="220"/>
      <c r="AN1021" s="220"/>
    </row>
    <row r="1022" ht="15.75" customHeight="1">
      <c r="A1022" s="220"/>
      <c r="B1022" s="220"/>
      <c r="C1022" s="220"/>
      <c r="D1022" s="220"/>
      <c r="E1022" s="220"/>
      <c r="F1022" s="220"/>
      <c r="G1022" s="220"/>
      <c r="H1022" s="220"/>
      <c r="I1022" s="220"/>
      <c r="J1022" s="220"/>
      <c r="K1022" s="220"/>
      <c r="L1022" s="220"/>
      <c r="M1022" s="220"/>
      <c r="N1022" s="220"/>
      <c r="O1022" s="220"/>
      <c r="P1022" s="220"/>
      <c r="Q1022" s="220"/>
      <c r="R1022" s="220"/>
      <c r="S1022" s="220"/>
      <c r="T1022" s="220"/>
      <c r="U1022" s="220"/>
      <c r="V1022" s="220"/>
      <c r="W1022" s="220"/>
      <c r="X1022" s="220"/>
      <c r="Y1022" s="220"/>
      <c r="Z1022" s="220"/>
      <c r="AA1022" s="220"/>
      <c r="AB1022" s="220"/>
      <c r="AC1022" s="220"/>
      <c r="AD1022" s="220"/>
      <c r="AE1022" s="220"/>
      <c r="AF1022" s="220"/>
      <c r="AG1022" s="220"/>
      <c r="AH1022" s="220"/>
      <c r="AI1022" s="220"/>
      <c r="AJ1022" s="220"/>
      <c r="AK1022" s="220"/>
      <c r="AL1022" s="220"/>
      <c r="AM1022" s="220"/>
      <c r="AN1022" s="220"/>
    </row>
    <row r="1023" ht="15.75" customHeight="1">
      <c r="A1023" s="220"/>
      <c r="B1023" s="220"/>
      <c r="C1023" s="220"/>
      <c r="D1023" s="220"/>
      <c r="E1023" s="220"/>
      <c r="F1023" s="220"/>
      <c r="G1023" s="220"/>
      <c r="H1023" s="220"/>
      <c r="I1023" s="220"/>
      <c r="J1023" s="220"/>
      <c r="K1023" s="220"/>
      <c r="L1023" s="220"/>
      <c r="M1023" s="220"/>
      <c r="N1023" s="220"/>
      <c r="O1023" s="220"/>
      <c r="P1023" s="220"/>
      <c r="Q1023" s="220"/>
      <c r="R1023" s="220"/>
      <c r="S1023" s="220"/>
      <c r="T1023" s="220"/>
      <c r="U1023" s="220"/>
      <c r="V1023" s="220"/>
      <c r="W1023" s="220"/>
      <c r="X1023" s="220"/>
      <c r="Y1023" s="220"/>
      <c r="Z1023" s="220"/>
      <c r="AA1023" s="220"/>
      <c r="AB1023" s="220"/>
      <c r="AC1023" s="220"/>
      <c r="AD1023" s="220"/>
      <c r="AE1023" s="220"/>
      <c r="AF1023" s="220"/>
      <c r="AG1023" s="220"/>
      <c r="AH1023" s="220"/>
      <c r="AI1023" s="220"/>
      <c r="AJ1023" s="220"/>
      <c r="AK1023" s="220"/>
      <c r="AL1023" s="220"/>
      <c r="AM1023" s="220"/>
      <c r="AN1023" s="220"/>
    </row>
  </sheetData>
  <mergeCells count="5">
    <mergeCell ref="B2:N2"/>
    <mergeCell ref="O2:AA2"/>
    <mergeCell ref="AB2:AN2"/>
    <mergeCell ref="B5:AN5"/>
    <mergeCell ref="B13:AN13"/>
  </mergeCells>
  <conditionalFormatting sqref="A64 B64:AN65 AN67">
    <cfRule type="cellIs" dxfId="0" priority="1" operator="lessThan">
      <formula>0</formula>
    </cfRule>
  </conditionalFormatting>
  <conditionalFormatting sqref="A66:AN66">
    <cfRule type="cellIs" dxfId="0" priority="2" operator="lessThanOrEqual">
      <formula>0</formula>
    </cfRule>
  </conditionalFormatting>
  <printOptions/>
  <pageMargins bottom="0.75" footer="0.0" header="0.0" left="0.7" right="0.7" top="0.75"/>
  <pageSetup orientation="landscape"/>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44.25"/>
    <col customWidth="1" min="2" max="2" width="13.75"/>
    <col customWidth="1" min="3" max="4" width="12.75"/>
    <col customWidth="1" min="5" max="5" width="28.75"/>
    <col customWidth="1" min="6" max="6" width="12.75"/>
    <col customWidth="1" min="7" max="7" width="20.25"/>
    <col customWidth="1" min="8" max="26" width="12.75"/>
  </cols>
  <sheetData>
    <row r="1" ht="15.75" customHeight="1">
      <c r="A1" s="56" t="s">
        <v>755</v>
      </c>
      <c r="B1" s="348"/>
      <c r="C1" s="348"/>
      <c r="D1" s="348"/>
      <c r="E1" s="348"/>
    </row>
    <row r="2" ht="15.75" customHeight="1">
      <c r="A2" s="349" t="s">
        <v>756</v>
      </c>
      <c r="B2" s="350"/>
      <c r="C2" s="350"/>
      <c r="D2" s="350"/>
      <c r="E2" s="351"/>
    </row>
    <row r="3" ht="15.75" customHeight="1">
      <c r="A3" s="352" t="s">
        <v>757</v>
      </c>
      <c r="B3" s="353" t="s">
        <v>22</v>
      </c>
      <c r="C3" s="353" t="s">
        <v>23</v>
      </c>
      <c r="D3" s="353" t="s">
        <v>24</v>
      </c>
      <c r="E3" s="353" t="s">
        <v>758</v>
      </c>
      <c r="G3" s="354"/>
      <c r="H3" s="354" t="s">
        <v>759</v>
      </c>
      <c r="I3" s="354" t="s">
        <v>760</v>
      </c>
      <c r="J3" s="355"/>
      <c r="K3" s="355"/>
      <c r="L3" s="355"/>
    </row>
    <row r="4" ht="15.75" customHeight="1">
      <c r="A4" s="356" t="s">
        <v>761</v>
      </c>
      <c r="B4" s="357">
        <v>4754.0</v>
      </c>
      <c r="C4" s="358">
        <v>5.0</v>
      </c>
      <c r="D4" s="356">
        <f t="shared" ref="D4:D32" si="1">B4*C4</f>
        <v>23770</v>
      </c>
      <c r="E4" s="359" t="s">
        <v>762</v>
      </c>
      <c r="G4" s="354" t="s">
        <v>763</v>
      </c>
      <c r="H4" s="360">
        <v>9000.0</v>
      </c>
      <c r="I4" s="56">
        <v>60.0</v>
      </c>
      <c r="J4" s="361">
        <f>H4*I4</f>
        <v>540000</v>
      </c>
    </row>
    <row r="5" ht="15.75" customHeight="1">
      <c r="A5" s="356" t="s">
        <v>764</v>
      </c>
      <c r="B5" s="357">
        <v>5902.0</v>
      </c>
      <c r="C5" s="358">
        <v>1.0</v>
      </c>
      <c r="D5" s="356">
        <f t="shared" si="1"/>
        <v>5902</v>
      </c>
      <c r="E5" s="359" t="s">
        <v>765</v>
      </c>
      <c r="H5" s="361"/>
    </row>
    <row r="6" ht="15.75" customHeight="1">
      <c r="A6" s="356" t="s">
        <v>766</v>
      </c>
      <c r="B6" s="357">
        <v>7410.0</v>
      </c>
      <c r="C6" s="358">
        <v>2.0</v>
      </c>
      <c r="D6" s="356">
        <f t="shared" si="1"/>
        <v>14820</v>
      </c>
      <c r="E6" s="359" t="s">
        <v>767</v>
      </c>
    </row>
    <row r="7" ht="15.75" customHeight="1">
      <c r="A7" s="356" t="s">
        <v>768</v>
      </c>
      <c r="B7" s="357">
        <v>19900.0</v>
      </c>
      <c r="C7" s="358">
        <v>2.0</v>
      </c>
      <c r="D7" s="356">
        <f t="shared" si="1"/>
        <v>39800</v>
      </c>
      <c r="E7" s="359" t="s">
        <v>769</v>
      </c>
    </row>
    <row r="8" ht="15.75" customHeight="1">
      <c r="A8" s="356" t="s">
        <v>770</v>
      </c>
      <c r="B8" s="357">
        <v>11900.0</v>
      </c>
      <c r="C8" s="358">
        <v>1.0</v>
      </c>
      <c r="D8" s="356">
        <f t="shared" si="1"/>
        <v>11900</v>
      </c>
      <c r="E8" s="359" t="s">
        <v>771</v>
      </c>
      <c r="H8" s="56" t="s">
        <v>772</v>
      </c>
    </row>
    <row r="9" ht="15.75" customHeight="1">
      <c r="A9" s="356" t="s">
        <v>773</v>
      </c>
      <c r="B9" s="357">
        <v>3571.0</v>
      </c>
      <c r="C9" s="358">
        <v>2.0</v>
      </c>
      <c r="D9" s="356">
        <f t="shared" si="1"/>
        <v>7142</v>
      </c>
      <c r="E9" s="359" t="s">
        <v>774</v>
      </c>
      <c r="G9" s="56" t="s">
        <v>718</v>
      </c>
      <c r="H9" s="56">
        <v>120000.0</v>
      </c>
    </row>
    <row r="10" ht="15.75" customHeight="1">
      <c r="A10" s="356" t="s">
        <v>775</v>
      </c>
      <c r="B10" s="357">
        <v>4112.0</v>
      </c>
      <c r="C10" s="358">
        <v>3.0</v>
      </c>
      <c r="D10" s="356">
        <f t="shared" si="1"/>
        <v>12336</v>
      </c>
      <c r="E10" s="359" t="s">
        <v>776</v>
      </c>
    </row>
    <row r="11" ht="15.75" customHeight="1">
      <c r="A11" s="356" t="s">
        <v>777</v>
      </c>
      <c r="B11" s="357">
        <v>22299.0</v>
      </c>
      <c r="C11" s="358">
        <v>2.0</v>
      </c>
      <c r="D11" s="356">
        <f t="shared" si="1"/>
        <v>44598</v>
      </c>
      <c r="E11" s="359" t="s">
        <v>778</v>
      </c>
    </row>
    <row r="12" ht="15.75" customHeight="1">
      <c r="A12" s="356" t="s">
        <v>779</v>
      </c>
      <c r="B12" s="357">
        <v>12277.0</v>
      </c>
      <c r="C12" s="358">
        <v>2.0</v>
      </c>
      <c r="D12" s="356">
        <f t="shared" si="1"/>
        <v>24554</v>
      </c>
      <c r="E12" s="359" t="s">
        <v>780</v>
      </c>
    </row>
    <row r="13" ht="15.75" customHeight="1">
      <c r="A13" s="356" t="s">
        <v>781</v>
      </c>
      <c r="B13" s="357">
        <v>12.0</v>
      </c>
      <c r="C13" s="358">
        <v>24.0</v>
      </c>
      <c r="D13" s="356">
        <f t="shared" si="1"/>
        <v>288</v>
      </c>
      <c r="E13" s="359" t="s">
        <v>782</v>
      </c>
    </row>
    <row r="14" ht="15.75" customHeight="1">
      <c r="A14" s="356" t="s">
        <v>783</v>
      </c>
      <c r="B14" s="362">
        <v>1953.33</v>
      </c>
      <c r="C14" s="358">
        <v>12.0</v>
      </c>
      <c r="D14" s="356">
        <f t="shared" si="1"/>
        <v>23439.96</v>
      </c>
      <c r="E14" s="359" t="s">
        <v>784</v>
      </c>
    </row>
    <row r="15" ht="15.75" customHeight="1">
      <c r="A15" s="356" t="s">
        <v>785</v>
      </c>
      <c r="B15" s="357">
        <v>3500.0</v>
      </c>
      <c r="C15" s="358">
        <v>3.0</v>
      </c>
      <c r="D15" s="356">
        <f t="shared" si="1"/>
        <v>10500</v>
      </c>
      <c r="E15" s="359" t="s">
        <v>786</v>
      </c>
    </row>
    <row r="16" ht="15.75" customHeight="1">
      <c r="A16" s="356" t="s">
        <v>787</v>
      </c>
      <c r="B16" s="357">
        <v>12899.0</v>
      </c>
      <c r="C16" s="358">
        <v>1.0</v>
      </c>
      <c r="D16" s="356">
        <f t="shared" si="1"/>
        <v>12899</v>
      </c>
      <c r="E16" s="359" t="s">
        <v>788</v>
      </c>
    </row>
    <row r="17" ht="15.75" customHeight="1">
      <c r="A17" s="356" t="s">
        <v>789</v>
      </c>
      <c r="B17" s="357">
        <v>13990.0</v>
      </c>
      <c r="C17" s="358">
        <v>2.0</v>
      </c>
      <c r="D17" s="356">
        <f t="shared" si="1"/>
        <v>27980</v>
      </c>
      <c r="E17" s="359" t="s">
        <v>790</v>
      </c>
    </row>
    <row r="18" ht="15.75" customHeight="1">
      <c r="A18" s="357" t="s">
        <v>791</v>
      </c>
      <c r="B18" s="357">
        <v>25990.0</v>
      </c>
      <c r="C18" s="358">
        <v>2.0</v>
      </c>
      <c r="D18" s="356">
        <f t="shared" si="1"/>
        <v>51980</v>
      </c>
      <c r="E18" s="359" t="s">
        <v>792</v>
      </c>
    </row>
    <row r="19" ht="15.75" customHeight="1">
      <c r="A19" s="357" t="s">
        <v>793</v>
      </c>
      <c r="B19" s="357">
        <v>26644.0</v>
      </c>
      <c r="C19" s="358">
        <v>2.0</v>
      </c>
      <c r="D19" s="356">
        <f t="shared" si="1"/>
        <v>53288</v>
      </c>
      <c r="E19" s="359" t="s">
        <v>794</v>
      </c>
    </row>
    <row r="20" ht="15.75" customHeight="1">
      <c r="A20" s="357" t="s">
        <v>795</v>
      </c>
      <c r="B20" s="357">
        <v>11900.0</v>
      </c>
      <c r="C20" s="358">
        <v>2.0</v>
      </c>
      <c r="D20" s="356">
        <f t="shared" si="1"/>
        <v>23800</v>
      </c>
      <c r="E20" s="359" t="s">
        <v>796</v>
      </c>
    </row>
    <row r="21" ht="15.75" customHeight="1">
      <c r="A21" s="356" t="s">
        <v>797</v>
      </c>
      <c r="B21" s="357">
        <v>6800.0</v>
      </c>
      <c r="C21" s="358">
        <v>2.0</v>
      </c>
      <c r="D21" s="356">
        <f t="shared" si="1"/>
        <v>13600</v>
      </c>
      <c r="E21" s="359" t="s">
        <v>798</v>
      </c>
    </row>
    <row r="22" ht="15.75" customHeight="1">
      <c r="A22" s="356" t="s">
        <v>799</v>
      </c>
      <c r="B22" s="357">
        <v>3655.0</v>
      </c>
      <c r="C22" s="358">
        <v>3.0</v>
      </c>
      <c r="D22" s="356">
        <f t="shared" si="1"/>
        <v>10965</v>
      </c>
      <c r="E22" s="359" t="s">
        <v>800</v>
      </c>
    </row>
    <row r="23" ht="15.75" customHeight="1">
      <c r="A23" s="356" t="s">
        <v>801</v>
      </c>
      <c r="B23" s="357">
        <v>4026.0</v>
      </c>
      <c r="C23" s="358">
        <v>3.0</v>
      </c>
      <c r="D23" s="356">
        <f t="shared" si="1"/>
        <v>12078</v>
      </c>
      <c r="E23" s="359" t="s">
        <v>802</v>
      </c>
    </row>
    <row r="24" ht="15.75" customHeight="1">
      <c r="A24" s="356" t="s">
        <v>803</v>
      </c>
      <c r="B24" s="362">
        <v>2566.0</v>
      </c>
      <c r="C24" s="358">
        <v>3.0</v>
      </c>
      <c r="D24" s="356">
        <f t="shared" si="1"/>
        <v>7698</v>
      </c>
      <c r="E24" s="359" t="s">
        <v>802</v>
      </c>
    </row>
    <row r="25" ht="15.75" customHeight="1">
      <c r="A25" s="356" t="s">
        <v>804</v>
      </c>
      <c r="B25" s="357">
        <v>12000.0</v>
      </c>
      <c r="C25" s="358">
        <v>4.0</v>
      </c>
      <c r="D25" s="356">
        <f t="shared" si="1"/>
        <v>48000</v>
      </c>
      <c r="E25" s="359" t="s">
        <v>805</v>
      </c>
    </row>
    <row r="26" ht="15.75" customHeight="1">
      <c r="A26" s="356" t="s">
        <v>806</v>
      </c>
      <c r="B26" s="357">
        <v>5490.0</v>
      </c>
      <c r="C26" s="358">
        <v>2.0</v>
      </c>
      <c r="D26" s="356">
        <f t="shared" si="1"/>
        <v>10980</v>
      </c>
      <c r="E26" s="359" t="s">
        <v>807</v>
      </c>
    </row>
    <row r="27" ht="15.75" customHeight="1">
      <c r="A27" s="363" t="s">
        <v>808</v>
      </c>
      <c r="B27" s="364">
        <v>40000.0</v>
      </c>
      <c r="C27" s="358">
        <v>3.0</v>
      </c>
      <c r="D27" s="356">
        <f t="shared" si="1"/>
        <v>120000</v>
      </c>
      <c r="E27" s="359" t="s">
        <v>809</v>
      </c>
    </row>
    <row r="28" ht="15.75" customHeight="1">
      <c r="A28" s="356" t="s">
        <v>810</v>
      </c>
      <c r="B28" s="357">
        <v>3500.0</v>
      </c>
      <c r="C28" s="358">
        <v>5.0</v>
      </c>
      <c r="D28" s="356">
        <f t="shared" si="1"/>
        <v>17500</v>
      </c>
      <c r="E28" s="359" t="s">
        <v>811</v>
      </c>
      <c r="H28" s="355"/>
      <c r="J28" s="355"/>
      <c r="K28" s="355"/>
      <c r="L28" s="355"/>
    </row>
    <row r="29" ht="15.75" customHeight="1">
      <c r="A29" s="356" t="s">
        <v>812</v>
      </c>
      <c r="B29" s="357">
        <v>616.25</v>
      </c>
      <c r="C29" s="358">
        <v>12.0</v>
      </c>
      <c r="D29" s="356">
        <f t="shared" si="1"/>
        <v>7395</v>
      </c>
      <c r="E29" s="365" t="s">
        <v>813</v>
      </c>
      <c r="J29" s="355"/>
      <c r="K29" s="355"/>
      <c r="L29" s="355"/>
    </row>
    <row r="30" ht="15.75" customHeight="1">
      <c r="A30" s="356" t="s">
        <v>814</v>
      </c>
      <c r="B30" s="357">
        <v>450.0</v>
      </c>
      <c r="C30" s="358">
        <v>60.0</v>
      </c>
      <c r="D30" s="356">
        <f t="shared" si="1"/>
        <v>27000</v>
      </c>
      <c r="E30" s="365" t="s">
        <v>815</v>
      </c>
      <c r="J30" s="355"/>
      <c r="K30" s="355"/>
      <c r="L30" s="355"/>
    </row>
    <row r="31" ht="15.75" customHeight="1">
      <c r="A31" s="356" t="s">
        <v>816</v>
      </c>
      <c r="B31" s="357">
        <v>32999.0</v>
      </c>
      <c r="C31" s="358">
        <v>10.0</v>
      </c>
      <c r="D31" s="356">
        <f t="shared" si="1"/>
        <v>329990</v>
      </c>
      <c r="E31" s="366" t="s">
        <v>817</v>
      </c>
      <c r="J31" s="355"/>
      <c r="K31" s="355"/>
      <c r="L31" s="355"/>
    </row>
    <row r="32" ht="15.75" customHeight="1">
      <c r="A32" s="357" t="s">
        <v>818</v>
      </c>
      <c r="B32" s="357">
        <v>32999.0</v>
      </c>
      <c r="C32" s="358">
        <v>2.0</v>
      </c>
      <c r="D32" s="356">
        <f t="shared" si="1"/>
        <v>65998</v>
      </c>
      <c r="E32" s="367" t="s">
        <v>819</v>
      </c>
    </row>
    <row r="33" ht="15.75" customHeight="1">
      <c r="A33" s="349" t="s">
        <v>820</v>
      </c>
      <c r="B33" s="350"/>
      <c r="C33" s="351"/>
      <c r="D33" s="368">
        <f>SUM(D28:D32)</f>
        <v>447883</v>
      </c>
      <c r="E33" s="369" t="s">
        <v>5</v>
      </c>
    </row>
    <row r="34" ht="15.75" customHeight="1">
      <c r="A34" s="355"/>
      <c r="B34" s="355"/>
      <c r="C34" s="355"/>
      <c r="D34" s="355"/>
      <c r="E34" s="355"/>
    </row>
    <row r="35" ht="15.75" customHeight="1">
      <c r="A35" s="355"/>
      <c r="B35" s="355"/>
      <c r="C35" s="355"/>
      <c r="D35" s="355"/>
      <c r="E35" s="355"/>
    </row>
    <row r="36" ht="15.75" customHeight="1">
      <c r="A36" s="370" t="s">
        <v>821</v>
      </c>
      <c r="B36" s="47"/>
      <c r="C36" s="47"/>
      <c r="D36" s="47"/>
      <c r="E36" s="12"/>
    </row>
    <row r="37" ht="15.75" customHeight="1">
      <c r="A37" s="352" t="s">
        <v>757</v>
      </c>
      <c r="B37" s="353" t="s">
        <v>22</v>
      </c>
      <c r="C37" s="353" t="s">
        <v>23</v>
      </c>
      <c r="D37" s="353" t="s">
        <v>24</v>
      </c>
      <c r="E37" s="353" t="s">
        <v>758</v>
      </c>
    </row>
    <row r="38" ht="15.75" customHeight="1">
      <c r="A38" s="371" t="s">
        <v>822</v>
      </c>
      <c r="B38" s="372">
        <v>700.0</v>
      </c>
      <c r="C38" s="373">
        <v>180.0</v>
      </c>
      <c r="D38" s="374">
        <f t="shared" ref="D38:D43" si="2">B38*C38</f>
        <v>126000</v>
      </c>
      <c r="E38" s="375" t="s">
        <v>823</v>
      </c>
    </row>
    <row r="39" ht="15.75" customHeight="1">
      <c r="A39" s="371" t="s">
        <v>824</v>
      </c>
      <c r="B39" s="372">
        <v>1650.0</v>
      </c>
      <c r="C39" s="373">
        <v>180.0</v>
      </c>
      <c r="D39" s="374">
        <f t="shared" si="2"/>
        <v>297000</v>
      </c>
      <c r="E39" s="375" t="s">
        <v>823</v>
      </c>
    </row>
    <row r="40" ht="15.75" customHeight="1">
      <c r="A40" s="371" t="s">
        <v>825</v>
      </c>
      <c r="B40" s="372">
        <v>2500.0</v>
      </c>
      <c r="C40" s="373">
        <v>180.0</v>
      </c>
      <c r="D40" s="374">
        <f t="shared" si="2"/>
        <v>450000</v>
      </c>
      <c r="E40" s="375" t="s">
        <v>823</v>
      </c>
    </row>
    <row r="41" ht="15.75" customHeight="1">
      <c r="A41" s="371" t="s">
        <v>826</v>
      </c>
      <c r="B41" s="372">
        <v>800.0</v>
      </c>
      <c r="C41" s="373">
        <v>180.0</v>
      </c>
      <c r="D41" s="374">
        <f t="shared" si="2"/>
        <v>144000</v>
      </c>
      <c r="E41" s="375" t="s">
        <v>823</v>
      </c>
    </row>
    <row r="42" ht="15.75" customHeight="1">
      <c r="A42" s="371" t="s">
        <v>827</v>
      </c>
      <c r="B42" s="372">
        <v>8900.0</v>
      </c>
      <c r="C42" s="373">
        <v>24.0</v>
      </c>
      <c r="D42" s="374">
        <f t="shared" si="2"/>
        <v>213600</v>
      </c>
      <c r="E42" s="375" t="s">
        <v>823</v>
      </c>
    </row>
    <row r="43" ht="15.75" customHeight="1">
      <c r="A43" s="371" t="s">
        <v>828</v>
      </c>
      <c r="B43" s="372">
        <v>4450.0</v>
      </c>
      <c r="C43" s="373">
        <v>12.0</v>
      </c>
      <c r="D43" s="374">
        <f t="shared" si="2"/>
        <v>53400</v>
      </c>
      <c r="E43" s="375" t="s">
        <v>823</v>
      </c>
    </row>
    <row r="44" ht="15.75" customHeight="1">
      <c r="A44" s="370" t="s">
        <v>829</v>
      </c>
      <c r="B44" s="47"/>
      <c r="C44" s="12"/>
      <c r="D44" s="376">
        <f>SUM(D38:D43)</f>
        <v>1284000</v>
      </c>
      <c r="E44" s="369" t="s">
        <v>5</v>
      </c>
    </row>
    <row r="45" ht="15.75" customHeight="1">
      <c r="A45" s="355"/>
      <c r="B45" s="355"/>
      <c r="C45" s="355"/>
      <c r="D45" s="355"/>
      <c r="E45" s="355"/>
    </row>
    <row r="46" ht="15.75" customHeight="1">
      <c r="A46" s="377"/>
      <c r="B46" s="377"/>
      <c r="C46" s="377"/>
      <c r="D46" s="377"/>
      <c r="E46" s="377"/>
    </row>
    <row r="47" ht="15.75" customHeight="1">
      <c r="A47" s="378" t="s">
        <v>830</v>
      </c>
      <c r="B47" s="350"/>
      <c r="C47" s="350"/>
      <c r="D47" s="350"/>
      <c r="E47" s="351"/>
    </row>
    <row r="48" ht="15.75" customHeight="1">
      <c r="A48" s="379" t="s">
        <v>757</v>
      </c>
      <c r="B48" s="380" t="s">
        <v>22</v>
      </c>
      <c r="C48" s="380" t="s">
        <v>23</v>
      </c>
      <c r="D48" s="380" t="s">
        <v>24</v>
      </c>
      <c r="E48" s="380" t="s">
        <v>758</v>
      </c>
    </row>
    <row r="49" ht="15.75" customHeight="1">
      <c r="A49" s="381" t="s">
        <v>831</v>
      </c>
      <c r="B49" s="382">
        <v>776.9</v>
      </c>
      <c r="C49" s="383">
        <v>50.0</v>
      </c>
      <c r="D49" s="384">
        <f t="shared" ref="D49:D54" si="3">B49*C49</f>
        <v>38845</v>
      </c>
      <c r="E49" s="385" t="s">
        <v>832</v>
      </c>
    </row>
    <row r="50" ht="15.75" customHeight="1">
      <c r="A50" s="381" t="s">
        <v>833</v>
      </c>
      <c r="B50" s="382">
        <v>2029.15</v>
      </c>
      <c r="C50" s="383">
        <v>3.0</v>
      </c>
      <c r="D50" s="384">
        <f t="shared" si="3"/>
        <v>6087.45</v>
      </c>
      <c r="E50" s="385" t="s">
        <v>834</v>
      </c>
    </row>
    <row r="51" ht="15.75" customHeight="1">
      <c r="A51" s="381" t="s">
        <v>835</v>
      </c>
      <c r="B51" s="382">
        <v>5091.0</v>
      </c>
      <c r="C51" s="383">
        <v>2.0</v>
      </c>
      <c r="D51" s="384">
        <f t="shared" si="3"/>
        <v>10182</v>
      </c>
      <c r="E51" s="385" t="s">
        <v>836</v>
      </c>
    </row>
    <row r="52" ht="15.75" customHeight="1">
      <c r="A52" s="381" t="s">
        <v>837</v>
      </c>
      <c r="B52" s="382">
        <v>6500.0</v>
      </c>
      <c r="C52" s="383">
        <v>5.0</v>
      </c>
      <c r="D52" s="384">
        <f t="shared" si="3"/>
        <v>32500</v>
      </c>
      <c r="E52" s="385" t="s">
        <v>838</v>
      </c>
    </row>
    <row r="53" ht="15.75" customHeight="1">
      <c r="A53" s="381" t="s">
        <v>839</v>
      </c>
      <c r="B53" s="382">
        <v>3350.0</v>
      </c>
      <c r="C53" s="383">
        <v>5.0</v>
      </c>
      <c r="D53" s="384">
        <f t="shared" si="3"/>
        <v>16750</v>
      </c>
      <c r="E53" s="385" t="s">
        <v>840</v>
      </c>
    </row>
    <row r="54" ht="15.75" customHeight="1">
      <c r="A54" s="381" t="s">
        <v>841</v>
      </c>
      <c r="B54" s="382">
        <v>20043.0</v>
      </c>
      <c r="C54" s="383">
        <v>5.0</v>
      </c>
      <c r="D54" s="384">
        <f t="shared" si="3"/>
        <v>100215</v>
      </c>
      <c r="E54" s="385" t="s">
        <v>842</v>
      </c>
    </row>
    <row r="55" ht="15.75" customHeight="1">
      <c r="A55" s="378" t="s">
        <v>843</v>
      </c>
      <c r="B55" s="350"/>
      <c r="C55" s="351"/>
      <c r="D55" s="386">
        <f>SUM(D49:D54)</f>
        <v>204579.45</v>
      </c>
      <c r="E55" s="369" t="s">
        <v>5</v>
      </c>
    </row>
    <row r="56" ht="15.75" customHeight="1">
      <c r="A56" s="355"/>
      <c r="B56" s="355"/>
      <c r="C56" s="355"/>
      <c r="D56" s="355"/>
      <c r="E56" s="355"/>
    </row>
    <row r="57" ht="15.75" customHeight="1">
      <c r="A57" s="377"/>
      <c r="B57" s="377"/>
      <c r="C57" s="377"/>
      <c r="D57" s="377"/>
      <c r="E57" s="377"/>
    </row>
    <row r="58" ht="15.75" customHeight="1">
      <c r="A58" s="387" t="s">
        <v>844</v>
      </c>
      <c r="B58" s="350"/>
      <c r="C58" s="350"/>
      <c r="D58" s="350"/>
      <c r="E58" s="351"/>
    </row>
    <row r="59" ht="15.75" customHeight="1">
      <c r="A59" s="379" t="s">
        <v>757</v>
      </c>
      <c r="B59" s="380" t="s">
        <v>22</v>
      </c>
      <c r="C59" s="380" t="s">
        <v>23</v>
      </c>
      <c r="D59" s="380" t="s">
        <v>24</v>
      </c>
      <c r="E59" s="380" t="s">
        <v>758</v>
      </c>
    </row>
    <row r="60" ht="15.75" customHeight="1">
      <c r="A60" s="388" t="s">
        <v>845</v>
      </c>
      <c r="B60" s="350"/>
      <c r="C60" s="350"/>
      <c r="D60" s="350"/>
      <c r="E60" s="351"/>
    </row>
    <row r="61" ht="15.75" customHeight="1">
      <c r="A61" s="389" t="s">
        <v>846</v>
      </c>
      <c r="B61" s="390">
        <v>158990.0</v>
      </c>
      <c r="C61" s="391">
        <v>5.0</v>
      </c>
      <c r="D61" s="392">
        <f t="shared" ref="D61:D85" si="4">B61*C61</f>
        <v>794950</v>
      </c>
      <c r="E61" s="393" t="s">
        <v>847</v>
      </c>
    </row>
    <row r="62" ht="15.75" customHeight="1">
      <c r="A62" s="389" t="s">
        <v>848</v>
      </c>
      <c r="B62" s="394">
        <v>2011.0</v>
      </c>
      <c r="C62" s="391">
        <v>140.0</v>
      </c>
      <c r="D62" s="392">
        <f t="shared" si="4"/>
        <v>281540</v>
      </c>
      <c r="E62" s="395" t="s">
        <v>849</v>
      </c>
    </row>
    <row r="63" ht="15.75" customHeight="1">
      <c r="A63" s="389" t="s">
        <v>850</v>
      </c>
      <c r="B63" s="390">
        <v>211803.0</v>
      </c>
      <c r="C63" s="391">
        <v>2.0</v>
      </c>
      <c r="D63" s="392">
        <f t="shared" si="4"/>
        <v>423606</v>
      </c>
      <c r="E63" s="393" t="s">
        <v>851</v>
      </c>
    </row>
    <row r="64" ht="15.75" customHeight="1">
      <c r="A64" s="396" t="s">
        <v>852</v>
      </c>
      <c r="B64" s="394">
        <v>3559.0</v>
      </c>
      <c r="C64" s="391">
        <v>9.0</v>
      </c>
      <c r="D64" s="392">
        <f t="shared" si="4"/>
        <v>32031</v>
      </c>
      <c r="E64" s="393" t="s">
        <v>853</v>
      </c>
    </row>
    <row r="65" ht="15.75" customHeight="1">
      <c r="A65" s="396" t="s">
        <v>854</v>
      </c>
      <c r="B65" s="394">
        <v>15999.0</v>
      </c>
      <c r="C65" s="391">
        <v>1.5</v>
      </c>
      <c r="D65" s="392">
        <f t="shared" si="4"/>
        <v>23998.5</v>
      </c>
      <c r="E65" s="393" t="s">
        <v>855</v>
      </c>
    </row>
    <row r="66" ht="15.75" customHeight="1">
      <c r="A66" s="396" t="s">
        <v>856</v>
      </c>
      <c r="B66" s="394">
        <v>9256.0</v>
      </c>
      <c r="C66" s="391">
        <v>2.0</v>
      </c>
      <c r="D66" s="392">
        <f t="shared" si="4"/>
        <v>18512</v>
      </c>
      <c r="E66" s="393" t="s">
        <v>857</v>
      </c>
    </row>
    <row r="67" ht="15.75" customHeight="1">
      <c r="A67" s="396" t="s">
        <v>858</v>
      </c>
      <c r="B67" s="390">
        <v>2567.0</v>
      </c>
      <c r="C67" s="391">
        <v>25.0</v>
      </c>
      <c r="D67" s="392">
        <f t="shared" si="4"/>
        <v>64175</v>
      </c>
      <c r="E67" s="393" t="s">
        <v>859</v>
      </c>
    </row>
    <row r="68" ht="15.75" customHeight="1">
      <c r="A68" s="396" t="s">
        <v>860</v>
      </c>
      <c r="B68" s="394">
        <v>6021.0</v>
      </c>
      <c r="C68" s="391">
        <v>25.0</v>
      </c>
      <c r="D68" s="392">
        <f t="shared" si="4"/>
        <v>150525</v>
      </c>
      <c r="E68" s="393" t="s">
        <v>861</v>
      </c>
    </row>
    <row r="69" ht="15.75" customHeight="1">
      <c r="A69" s="396" t="s">
        <v>862</v>
      </c>
      <c r="B69" s="390">
        <v>69000.0</v>
      </c>
      <c r="C69" s="391">
        <v>5.0</v>
      </c>
      <c r="D69" s="392">
        <f t="shared" si="4"/>
        <v>345000</v>
      </c>
      <c r="E69" s="393" t="s">
        <v>863</v>
      </c>
    </row>
    <row r="70" ht="15.75" customHeight="1">
      <c r="A70" s="396" t="s">
        <v>864</v>
      </c>
      <c r="B70" s="390">
        <v>38999.0</v>
      </c>
      <c r="C70" s="391">
        <v>5.0</v>
      </c>
      <c r="D70" s="392">
        <f t="shared" si="4"/>
        <v>194995</v>
      </c>
      <c r="E70" s="393" t="s">
        <v>865</v>
      </c>
    </row>
    <row r="71" ht="15.75" customHeight="1">
      <c r="A71" s="389" t="s">
        <v>866</v>
      </c>
      <c r="B71" s="390">
        <v>3999.0</v>
      </c>
      <c r="C71" s="391">
        <v>30.0</v>
      </c>
      <c r="D71" s="392">
        <f t="shared" si="4"/>
        <v>119970</v>
      </c>
      <c r="E71" s="393" t="s">
        <v>867</v>
      </c>
    </row>
    <row r="72" ht="15.75" customHeight="1">
      <c r="A72" s="389" t="s">
        <v>868</v>
      </c>
      <c r="B72" s="390">
        <v>14999.0</v>
      </c>
      <c r="C72" s="391">
        <v>5.0</v>
      </c>
      <c r="D72" s="392">
        <f t="shared" si="4"/>
        <v>74995</v>
      </c>
      <c r="E72" s="393" t="s">
        <v>869</v>
      </c>
    </row>
    <row r="73" ht="15.75" customHeight="1">
      <c r="A73" s="389" t="s">
        <v>870</v>
      </c>
      <c r="B73" s="390">
        <v>21200.0</v>
      </c>
      <c r="C73" s="391">
        <v>5.0</v>
      </c>
      <c r="D73" s="392">
        <f t="shared" si="4"/>
        <v>106000</v>
      </c>
      <c r="E73" s="393" t="s">
        <v>871</v>
      </c>
    </row>
    <row r="74" ht="15.75" customHeight="1">
      <c r="A74" s="389" t="s">
        <v>872</v>
      </c>
      <c r="B74" s="390">
        <v>33094.0</v>
      </c>
      <c r="C74" s="391">
        <v>5.0</v>
      </c>
      <c r="D74" s="392">
        <f t="shared" si="4"/>
        <v>165470</v>
      </c>
      <c r="E74" s="393" t="s">
        <v>873</v>
      </c>
    </row>
    <row r="75" ht="15.75" customHeight="1">
      <c r="A75" s="389" t="s">
        <v>874</v>
      </c>
      <c r="B75" s="390">
        <v>18735.0</v>
      </c>
      <c r="C75" s="391">
        <v>4.5</v>
      </c>
      <c r="D75" s="392">
        <f t="shared" si="4"/>
        <v>84307.5</v>
      </c>
      <c r="E75" s="393" t="s">
        <v>875</v>
      </c>
    </row>
    <row r="76" ht="15.75" customHeight="1">
      <c r="A76" s="389" t="s">
        <v>876</v>
      </c>
      <c r="B76" s="390">
        <v>45360.0</v>
      </c>
      <c r="C76" s="391">
        <v>5.0</v>
      </c>
      <c r="D76" s="392">
        <f t="shared" si="4"/>
        <v>226800</v>
      </c>
      <c r="E76" s="393" t="s">
        <v>877</v>
      </c>
    </row>
    <row r="77" ht="15.75" customHeight="1">
      <c r="A77" s="389" t="s">
        <v>878</v>
      </c>
      <c r="B77" s="390">
        <v>10070.0</v>
      </c>
      <c r="C77" s="391">
        <v>20.0</v>
      </c>
      <c r="D77" s="392">
        <f t="shared" si="4"/>
        <v>201400</v>
      </c>
      <c r="E77" s="393" t="s">
        <v>879</v>
      </c>
    </row>
    <row r="78" ht="15.75" customHeight="1">
      <c r="A78" s="389" t="s">
        <v>880</v>
      </c>
      <c r="B78" s="390">
        <v>14000.0</v>
      </c>
      <c r="C78" s="391">
        <v>4.0</v>
      </c>
      <c r="D78" s="392">
        <f t="shared" si="4"/>
        <v>56000</v>
      </c>
      <c r="E78" s="393" t="s">
        <v>881</v>
      </c>
    </row>
    <row r="79" ht="15.75" customHeight="1">
      <c r="A79" s="389" t="s">
        <v>882</v>
      </c>
      <c r="B79" s="390">
        <v>69283.0</v>
      </c>
      <c r="C79" s="391">
        <v>2.0</v>
      </c>
      <c r="D79" s="392">
        <f t="shared" si="4"/>
        <v>138566</v>
      </c>
      <c r="E79" s="393" t="s">
        <v>883</v>
      </c>
    </row>
    <row r="80" ht="15.75" customHeight="1">
      <c r="A80" s="389" t="s">
        <v>884</v>
      </c>
      <c r="B80" s="390">
        <v>55860.0</v>
      </c>
      <c r="C80" s="391">
        <v>2.0</v>
      </c>
      <c r="D80" s="392">
        <f t="shared" si="4"/>
        <v>111720</v>
      </c>
      <c r="E80" s="393" t="s">
        <v>885</v>
      </c>
    </row>
    <row r="81" ht="15.75" customHeight="1">
      <c r="A81" s="389" t="s">
        <v>886</v>
      </c>
      <c r="B81" s="390">
        <v>69698.0</v>
      </c>
      <c r="C81" s="391">
        <v>3.0</v>
      </c>
      <c r="D81" s="392">
        <f t="shared" si="4"/>
        <v>209094</v>
      </c>
      <c r="E81" s="393" t="s">
        <v>887</v>
      </c>
    </row>
    <row r="82" ht="15.75" customHeight="1">
      <c r="A82" s="389" t="s">
        <v>888</v>
      </c>
      <c r="B82" s="390">
        <v>70738.0</v>
      </c>
      <c r="C82" s="391">
        <v>5.0</v>
      </c>
      <c r="D82" s="392">
        <f t="shared" si="4"/>
        <v>353690</v>
      </c>
      <c r="E82" s="393" t="s">
        <v>889</v>
      </c>
    </row>
    <row r="83" ht="15.75" customHeight="1">
      <c r="A83" s="389" t="s">
        <v>890</v>
      </c>
      <c r="B83" s="390">
        <v>48214.96</v>
      </c>
      <c r="C83" s="391">
        <v>7.0</v>
      </c>
      <c r="D83" s="392">
        <f t="shared" si="4"/>
        <v>337504.72</v>
      </c>
      <c r="E83" s="393" t="s">
        <v>891</v>
      </c>
    </row>
    <row r="84" ht="15.75" customHeight="1">
      <c r="A84" s="389" t="s">
        <v>892</v>
      </c>
      <c r="B84" s="390">
        <v>130525.0</v>
      </c>
      <c r="C84" s="391">
        <v>4.0</v>
      </c>
      <c r="D84" s="392">
        <f t="shared" si="4"/>
        <v>522100</v>
      </c>
      <c r="E84" s="393" t="s">
        <v>893</v>
      </c>
    </row>
    <row r="85" ht="15.75" customHeight="1">
      <c r="A85" s="389" t="s">
        <v>894</v>
      </c>
      <c r="B85" s="390">
        <v>3988.0</v>
      </c>
      <c r="C85" s="391">
        <v>50.0</v>
      </c>
      <c r="D85" s="392">
        <f t="shared" si="4"/>
        <v>199400</v>
      </c>
      <c r="E85" s="393" t="s">
        <v>895</v>
      </c>
    </row>
    <row r="86" ht="15.75" customHeight="1">
      <c r="A86" s="389" t="s">
        <v>896</v>
      </c>
      <c r="B86" s="390">
        <v>4597.0</v>
      </c>
      <c r="C86" s="391">
        <v>20.0</v>
      </c>
      <c r="D86" s="392">
        <f>SUM(D59:D85)</f>
        <v>5236349.72</v>
      </c>
      <c r="E86" s="393" t="s">
        <v>897</v>
      </c>
    </row>
    <row r="87" ht="15.75" customHeight="1">
      <c r="A87" s="389" t="s">
        <v>898</v>
      </c>
      <c r="B87" s="390">
        <v>16968.0</v>
      </c>
      <c r="C87" s="391">
        <v>4.5</v>
      </c>
      <c r="D87" s="392">
        <f>B87*C87</f>
        <v>76356</v>
      </c>
      <c r="E87" s="393" t="s">
        <v>899</v>
      </c>
    </row>
    <row r="88" ht="15.75" customHeight="1">
      <c r="A88" s="388" t="s">
        <v>900</v>
      </c>
      <c r="B88" s="350"/>
      <c r="C88" s="351"/>
      <c r="D88" s="397">
        <f>SUM(D61:D87)</f>
        <v>10549055.44</v>
      </c>
      <c r="E88" s="351"/>
    </row>
    <row r="89" ht="15.75" customHeight="1">
      <c r="A89" s="398" t="s">
        <v>901</v>
      </c>
      <c r="B89" s="350"/>
      <c r="C89" s="350"/>
      <c r="D89" s="350"/>
      <c r="E89" s="351"/>
    </row>
    <row r="90" ht="15.75" customHeight="1">
      <c r="A90" s="399"/>
      <c r="B90" s="390" t="s">
        <v>22</v>
      </c>
      <c r="C90" s="400" t="s">
        <v>902</v>
      </c>
      <c r="D90" s="390" t="s">
        <v>903</v>
      </c>
      <c r="E90" s="401"/>
    </row>
    <row r="91" ht="15.75" customHeight="1">
      <c r="A91" s="399" t="s">
        <v>904</v>
      </c>
      <c r="B91" s="402">
        <v>18000.0</v>
      </c>
      <c r="C91" s="391">
        <v>78.8</v>
      </c>
      <c r="D91" s="392">
        <f t="shared" ref="D91:D145" si="5">B91*C91</f>
        <v>1418400</v>
      </c>
      <c r="E91" s="403" t="s">
        <v>905</v>
      </c>
    </row>
    <row r="92" ht="15.75" customHeight="1">
      <c r="A92" s="404" t="s">
        <v>906</v>
      </c>
      <c r="B92" s="402">
        <v>28000.0</v>
      </c>
      <c r="C92" s="391">
        <v>67.5</v>
      </c>
      <c r="D92" s="392">
        <f t="shared" si="5"/>
        <v>1890000</v>
      </c>
      <c r="E92" s="393" t="s">
        <v>907</v>
      </c>
    </row>
    <row r="93" ht="15.75" customHeight="1">
      <c r="A93" s="404" t="s">
        <v>908</v>
      </c>
      <c r="B93" s="402">
        <v>23000.0</v>
      </c>
      <c r="C93" s="391">
        <v>56.2</v>
      </c>
      <c r="D93" s="392">
        <f t="shared" si="5"/>
        <v>1292600</v>
      </c>
      <c r="E93" s="403" t="s">
        <v>909</v>
      </c>
    </row>
    <row r="94" ht="15.75" customHeight="1">
      <c r="A94" s="404" t="s">
        <v>910</v>
      </c>
      <c r="B94" s="402">
        <v>13000.0</v>
      </c>
      <c r="C94" s="391">
        <v>24.0</v>
      </c>
      <c r="D94" s="392">
        <f t="shared" si="5"/>
        <v>312000</v>
      </c>
      <c r="E94" s="393" t="s">
        <v>911</v>
      </c>
    </row>
    <row r="95" ht="15.75" customHeight="1">
      <c r="A95" s="404" t="s">
        <v>912</v>
      </c>
      <c r="B95" s="402">
        <v>1900.0</v>
      </c>
      <c r="C95" s="391">
        <v>108.0</v>
      </c>
      <c r="D95" s="392">
        <f t="shared" si="5"/>
        <v>205200</v>
      </c>
      <c r="E95" s="393" t="s">
        <v>913</v>
      </c>
    </row>
    <row r="96" ht="15.75" customHeight="1">
      <c r="A96" s="404" t="s">
        <v>914</v>
      </c>
      <c r="B96" s="402">
        <v>4500.0</v>
      </c>
      <c r="C96" s="391">
        <v>67.5</v>
      </c>
      <c r="D96" s="392">
        <f t="shared" si="5"/>
        <v>303750</v>
      </c>
      <c r="E96" s="403" t="s">
        <v>915</v>
      </c>
    </row>
    <row r="97" ht="15.75" customHeight="1">
      <c r="A97" s="404" t="s">
        <v>916</v>
      </c>
      <c r="B97" s="402">
        <v>899.0</v>
      </c>
      <c r="C97" s="391">
        <v>56.2</v>
      </c>
      <c r="D97" s="392">
        <f t="shared" si="5"/>
        <v>50523.8</v>
      </c>
      <c r="E97" s="393" t="s">
        <v>917</v>
      </c>
    </row>
    <row r="98" ht="15.75" customHeight="1">
      <c r="A98" s="404" t="s">
        <v>918</v>
      </c>
      <c r="B98" s="402">
        <v>2190.0</v>
      </c>
      <c r="C98" s="391">
        <v>45.0</v>
      </c>
      <c r="D98" s="392">
        <f t="shared" si="5"/>
        <v>98550</v>
      </c>
      <c r="E98" s="393" t="s">
        <v>919</v>
      </c>
    </row>
    <row r="99" ht="15.75" customHeight="1">
      <c r="A99" s="404" t="s">
        <v>920</v>
      </c>
      <c r="B99" s="402">
        <v>2500.0</v>
      </c>
      <c r="C99" s="391">
        <v>18.0</v>
      </c>
      <c r="D99" s="392">
        <f t="shared" si="5"/>
        <v>45000</v>
      </c>
      <c r="E99" s="393" t="s">
        <v>921</v>
      </c>
    </row>
    <row r="100" ht="15.75" customHeight="1">
      <c r="A100" s="404" t="s">
        <v>922</v>
      </c>
      <c r="B100" s="402">
        <v>6110.0</v>
      </c>
      <c r="C100" s="391">
        <v>15.0</v>
      </c>
      <c r="D100" s="392">
        <f t="shared" si="5"/>
        <v>91650</v>
      </c>
      <c r="E100" s="403" t="s">
        <v>923</v>
      </c>
    </row>
    <row r="101" ht="15.75" customHeight="1">
      <c r="A101" s="404" t="s">
        <v>924</v>
      </c>
      <c r="B101" s="402">
        <v>1300.0</v>
      </c>
      <c r="C101" s="391">
        <v>7.9</v>
      </c>
      <c r="D101" s="392">
        <f t="shared" si="5"/>
        <v>10270</v>
      </c>
      <c r="E101" s="403" t="s">
        <v>925</v>
      </c>
    </row>
    <row r="102" ht="15.75" customHeight="1">
      <c r="A102" s="404" t="s">
        <v>926</v>
      </c>
      <c r="B102" s="402">
        <v>5000.0</v>
      </c>
      <c r="C102" s="391">
        <v>7.9</v>
      </c>
      <c r="D102" s="392">
        <f t="shared" si="5"/>
        <v>39500</v>
      </c>
      <c r="E102" s="403" t="s">
        <v>927</v>
      </c>
    </row>
    <row r="103" ht="15.75" customHeight="1">
      <c r="A103" s="404" t="s">
        <v>928</v>
      </c>
      <c r="B103" s="402">
        <v>4500.0</v>
      </c>
      <c r="C103" s="391">
        <v>10.0</v>
      </c>
      <c r="D103" s="392">
        <f t="shared" si="5"/>
        <v>45000</v>
      </c>
      <c r="E103" s="403" t="s">
        <v>929</v>
      </c>
    </row>
    <row r="104" ht="15.75" customHeight="1">
      <c r="A104" s="404" t="s">
        <v>930</v>
      </c>
      <c r="B104" s="402">
        <v>1900.0</v>
      </c>
      <c r="C104" s="391">
        <v>10.0</v>
      </c>
      <c r="D104" s="392">
        <f t="shared" si="5"/>
        <v>19000</v>
      </c>
      <c r="E104" s="403" t="s">
        <v>931</v>
      </c>
    </row>
    <row r="105" ht="15.75" customHeight="1">
      <c r="A105" s="404" t="s">
        <v>932</v>
      </c>
      <c r="B105" s="402">
        <v>2500.0</v>
      </c>
      <c r="C105" s="391">
        <v>10.0</v>
      </c>
      <c r="D105" s="392">
        <f t="shared" si="5"/>
        <v>25000</v>
      </c>
      <c r="E105" s="393" t="s">
        <v>933</v>
      </c>
    </row>
    <row r="106" ht="15.75" customHeight="1">
      <c r="A106" s="404" t="s">
        <v>934</v>
      </c>
      <c r="B106" s="402">
        <v>5700.0</v>
      </c>
      <c r="C106" s="391">
        <v>24.0</v>
      </c>
      <c r="D106" s="392">
        <f t="shared" si="5"/>
        <v>136800</v>
      </c>
      <c r="E106" s="403" t="s">
        <v>935</v>
      </c>
    </row>
    <row r="107" ht="15.75" customHeight="1">
      <c r="A107" s="404" t="s">
        <v>936</v>
      </c>
      <c r="B107" s="402">
        <v>1300.0</v>
      </c>
      <c r="C107" s="391">
        <v>18.0</v>
      </c>
      <c r="D107" s="392">
        <f t="shared" si="5"/>
        <v>23400</v>
      </c>
      <c r="E107" s="393" t="s">
        <v>937</v>
      </c>
    </row>
    <row r="108" ht="15.75" customHeight="1">
      <c r="A108" s="404" t="s">
        <v>938</v>
      </c>
      <c r="B108" s="402">
        <v>14400.0</v>
      </c>
      <c r="C108" s="391">
        <v>18.0</v>
      </c>
      <c r="D108" s="392">
        <f t="shared" si="5"/>
        <v>259200</v>
      </c>
      <c r="E108" s="403" t="s">
        <v>939</v>
      </c>
    </row>
    <row r="109" ht="15.75" customHeight="1">
      <c r="A109" s="404" t="s">
        <v>940</v>
      </c>
      <c r="B109" s="402">
        <v>1100.0</v>
      </c>
      <c r="C109" s="391">
        <v>18.0</v>
      </c>
      <c r="D109" s="392">
        <f t="shared" si="5"/>
        <v>19800</v>
      </c>
      <c r="E109" s="403" t="s">
        <v>941</v>
      </c>
    </row>
    <row r="110" ht="15.75" customHeight="1">
      <c r="A110" s="404" t="s">
        <v>942</v>
      </c>
      <c r="B110" s="402">
        <v>10900.0</v>
      </c>
      <c r="C110" s="391">
        <v>9.0</v>
      </c>
      <c r="D110" s="392">
        <f t="shared" si="5"/>
        <v>98100</v>
      </c>
      <c r="E110" s="393" t="s">
        <v>943</v>
      </c>
    </row>
    <row r="111" ht="15.75" customHeight="1">
      <c r="A111" s="404" t="s">
        <v>944</v>
      </c>
      <c r="B111" s="402">
        <v>47000.0</v>
      </c>
      <c r="C111" s="391">
        <v>9.0</v>
      </c>
      <c r="D111" s="392">
        <f t="shared" si="5"/>
        <v>423000</v>
      </c>
      <c r="E111" s="403" t="s">
        <v>945</v>
      </c>
    </row>
    <row r="112" ht="15.75" customHeight="1">
      <c r="A112" s="404" t="s">
        <v>946</v>
      </c>
      <c r="B112" s="402">
        <v>25000.0</v>
      </c>
      <c r="C112" s="391">
        <v>9.0</v>
      </c>
      <c r="D112" s="392">
        <f t="shared" si="5"/>
        <v>225000</v>
      </c>
      <c r="E112" s="393" t="s">
        <v>945</v>
      </c>
    </row>
    <row r="113" ht="15.75" customHeight="1">
      <c r="A113" s="404" t="s">
        <v>947</v>
      </c>
      <c r="B113" s="402">
        <v>26659.0</v>
      </c>
      <c r="C113" s="391">
        <v>9.0</v>
      </c>
      <c r="D113" s="392">
        <f t="shared" si="5"/>
        <v>239931</v>
      </c>
      <c r="E113" s="403" t="s">
        <v>948</v>
      </c>
    </row>
    <row r="114" ht="15.75" customHeight="1">
      <c r="A114" s="404" t="s">
        <v>949</v>
      </c>
      <c r="B114" s="402">
        <v>25999.0</v>
      </c>
      <c r="C114" s="391">
        <v>9.0</v>
      </c>
      <c r="D114" s="392">
        <f t="shared" si="5"/>
        <v>233991</v>
      </c>
      <c r="E114" s="393" t="s">
        <v>950</v>
      </c>
    </row>
    <row r="115" ht="15.75" customHeight="1">
      <c r="A115" s="404" t="s">
        <v>951</v>
      </c>
      <c r="B115" s="402">
        <v>26700.0</v>
      </c>
      <c r="C115" s="391">
        <v>7.0</v>
      </c>
      <c r="D115" s="392">
        <f t="shared" si="5"/>
        <v>186900</v>
      </c>
      <c r="E115" s="393" t="s">
        <v>952</v>
      </c>
    </row>
    <row r="116" ht="15.75" customHeight="1">
      <c r="A116" s="404" t="s">
        <v>953</v>
      </c>
      <c r="B116" s="402">
        <v>29600.0</v>
      </c>
      <c r="C116" s="391">
        <v>15.0</v>
      </c>
      <c r="D116" s="392">
        <f t="shared" si="5"/>
        <v>444000</v>
      </c>
      <c r="E116" s="403" t="s">
        <v>954</v>
      </c>
    </row>
    <row r="117" ht="15.75" customHeight="1">
      <c r="A117" s="404" t="s">
        <v>955</v>
      </c>
      <c r="B117" s="402">
        <v>39000.0</v>
      </c>
      <c r="C117" s="391">
        <v>2.0</v>
      </c>
      <c r="D117" s="392">
        <f t="shared" si="5"/>
        <v>78000</v>
      </c>
      <c r="E117" s="403" t="s">
        <v>956</v>
      </c>
    </row>
    <row r="118" ht="15.75" customHeight="1">
      <c r="A118" s="404" t="s">
        <v>957</v>
      </c>
      <c r="B118" s="402">
        <v>23200.0</v>
      </c>
      <c r="C118" s="391">
        <v>6.8</v>
      </c>
      <c r="D118" s="392">
        <f t="shared" si="5"/>
        <v>157760</v>
      </c>
      <c r="E118" s="393" t="s">
        <v>958</v>
      </c>
    </row>
    <row r="119" ht="15.75" customHeight="1">
      <c r="A119" s="404" t="s">
        <v>959</v>
      </c>
      <c r="B119" s="402">
        <v>58000.0</v>
      </c>
      <c r="C119" s="391">
        <v>5.0</v>
      </c>
      <c r="D119" s="392">
        <f t="shared" si="5"/>
        <v>290000</v>
      </c>
      <c r="E119" s="403" t="s">
        <v>960</v>
      </c>
    </row>
    <row r="120" ht="15.75" customHeight="1">
      <c r="A120" s="404" t="s">
        <v>961</v>
      </c>
      <c r="B120" s="402">
        <v>58000.0</v>
      </c>
      <c r="C120" s="391">
        <v>5.0</v>
      </c>
      <c r="D120" s="392">
        <f t="shared" si="5"/>
        <v>290000</v>
      </c>
      <c r="E120" s="393" t="s">
        <v>960</v>
      </c>
    </row>
    <row r="121" ht="15.75" customHeight="1">
      <c r="A121" s="404" t="s">
        <v>962</v>
      </c>
      <c r="B121" s="402">
        <v>1548.0</v>
      </c>
      <c r="C121" s="391">
        <v>36.0</v>
      </c>
      <c r="D121" s="392">
        <f t="shared" si="5"/>
        <v>55728</v>
      </c>
      <c r="E121" s="403" t="s">
        <v>963</v>
      </c>
    </row>
    <row r="122" ht="15.75" customHeight="1">
      <c r="A122" s="404" t="s">
        <v>964</v>
      </c>
      <c r="B122" s="402">
        <v>4900.0</v>
      </c>
      <c r="C122" s="391">
        <v>4.0</v>
      </c>
      <c r="D122" s="392">
        <f t="shared" si="5"/>
        <v>19600</v>
      </c>
      <c r="E122" s="393" t="s">
        <v>965</v>
      </c>
    </row>
    <row r="123" ht="15.75" customHeight="1">
      <c r="A123" s="404" t="s">
        <v>966</v>
      </c>
      <c r="B123" s="402">
        <v>12500.0</v>
      </c>
      <c r="C123" s="391">
        <v>2.0</v>
      </c>
      <c r="D123" s="392">
        <f t="shared" si="5"/>
        <v>25000</v>
      </c>
      <c r="E123" s="403" t="s">
        <v>967</v>
      </c>
    </row>
    <row r="124" ht="15.75" customHeight="1">
      <c r="A124" s="404" t="s">
        <v>968</v>
      </c>
      <c r="B124" s="402">
        <v>1400.0</v>
      </c>
      <c r="C124" s="391">
        <v>1.0</v>
      </c>
      <c r="D124" s="392">
        <f t="shared" si="5"/>
        <v>1400</v>
      </c>
      <c r="E124" s="403" t="s">
        <v>969</v>
      </c>
    </row>
    <row r="125" ht="15.75" customHeight="1">
      <c r="A125" s="404" t="s">
        <v>970</v>
      </c>
      <c r="B125" s="402">
        <v>6700.0</v>
      </c>
      <c r="C125" s="391">
        <v>1.0</v>
      </c>
      <c r="D125" s="392">
        <f t="shared" si="5"/>
        <v>6700</v>
      </c>
      <c r="E125" s="403" t="s">
        <v>971</v>
      </c>
    </row>
    <row r="126" ht="15.75" customHeight="1">
      <c r="A126" s="404" t="s">
        <v>972</v>
      </c>
      <c r="B126" s="402">
        <v>13700.0</v>
      </c>
      <c r="C126" s="391">
        <v>15.0</v>
      </c>
      <c r="D126" s="392">
        <f t="shared" si="5"/>
        <v>205500</v>
      </c>
      <c r="E126" s="403" t="s">
        <v>973</v>
      </c>
    </row>
    <row r="127" ht="15.75" customHeight="1">
      <c r="A127" s="404" t="s">
        <v>974</v>
      </c>
      <c r="B127" s="402">
        <v>3150.0</v>
      </c>
      <c r="C127" s="391">
        <v>29.0</v>
      </c>
      <c r="D127" s="392">
        <f t="shared" si="5"/>
        <v>91350</v>
      </c>
      <c r="E127" s="403" t="s">
        <v>975</v>
      </c>
    </row>
    <row r="128" ht="15.75" customHeight="1">
      <c r="A128" s="404" t="s">
        <v>976</v>
      </c>
      <c r="B128" s="402">
        <v>31990.0</v>
      </c>
      <c r="C128" s="391">
        <v>2.0</v>
      </c>
      <c r="D128" s="392">
        <f t="shared" si="5"/>
        <v>63980</v>
      </c>
      <c r="E128" s="403" t="s">
        <v>977</v>
      </c>
    </row>
    <row r="129" ht="15.75" customHeight="1">
      <c r="A129" s="404" t="s">
        <v>978</v>
      </c>
      <c r="B129" s="402">
        <v>5200.0</v>
      </c>
      <c r="C129" s="391">
        <v>12.0</v>
      </c>
      <c r="D129" s="392">
        <f t="shared" si="5"/>
        <v>62400</v>
      </c>
      <c r="E129" s="403" t="s">
        <v>979</v>
      </c>
    </row>
    <row r="130" ht="15.75" customHeight="1">
      <c r="A130" s="404" t="s">
        <v>980</v>
      </c>
      <c r="B130" s="402">
        <v>74813.85</v>
      </c>
      <c r="C130" s="391">
        <v>23.0</v>
      </c>
      <c r="D130" s="392">
        <f t="shared" si="5"/>
        <v>1720718.55</v>
      </c>
      <c r="E130" s="393" t="s">
        <v>981</v>
      </c>
    </row>
    <row r="131" ht="15.75" customHeight="1">
      <c r="A131" s="404" t="s">
        <v>982</v>
      </c>
      <c r="B131" s="402">
        <v>89081.13</v>
      </c>
      <c r="C131" s="391">
        <v>19.0</v>
      </c>
      <c r="D131" s="392">
        <f t="shared" si="5"/>
        <v>1692541.47</v>
      </c>
      <c r="E131" s="393" t="s">
        <v>981</v>
      </c>
    </row>
    <row r="132" ht="15.75" customHeight="1">
      <c r="A132" s="404" t="s">
        <v>983</v>
      </c>
      <c r="B132" s="402">
        <v>74813.85</v>
      </c>
      <c r="C132" s="391">
        <v>15.0</v>
      </c>
      <c r="D132" s="392">
        <f t="shared" si="5"/>
        <v>1122207.75</v>
      </c>
      <c r="E132" s="393" t="s">
        <v>981</v>
      </c>
    </row>
    <row r="133" ht="15.75" customHeight="1">
      <c r="A133" s="404" t="s">
        <v>984</v>
      </c>
      <c r="B133" s="402">
        <v>74813.85</v>
      </c>
      <c r="C133" s="391">
        <v>12.0</v>
      </c>
      <c r="D133" s="392">
        <f t="shared" si="5"/>
        <v>897766.2</v>
      </c>
      <c r="E133" s="393" t="s">
        <v>981</v>
      </c>
    </row>
    <row r="134" ht="15.75" customHeight="1">
      <c r="A134" s="404" t="s">
        <v>985</v>
      </c>
      <c r="B134" s="402">
        <v>82276.06</v>
      </c>
      <c r="C134" s="391">
        <v>8.0</v>
      </c>
      <c r="D134" s="392">
        <f t="shared" si="5"/>
        <v>658208.48</v>
      </c>
      <c r="E134" s="393" t="s">
        <v>981</v>
      </c>
    </row>
    <row r="135" ht="15.75" customHeight="1">
      <c r="A135" s="404" t="s">
        <v>986</v>
      </c>
      <c r="B135" s="402">
        <v>458.0</v>
      </c>
      <c r="C135" s="391">
        <v>600.0</v>
      </c>
      <c r="D135" s="392">
        <f t="shared" si="5"/>
        <v>274800</v>
      </c>
      <c r="E135" s="403" t="s">
        <v>987</v>
      </c>
    </row>
    <row r="136" ht="15.75" customHeight="1">
      <c r="A136" s="404" t="s">
        <v>988</v>
      </c>
      <c r="B136" s="402">
        <v>458.0</v>
      </c>
      <c r="C136" s="391">
        <v>450.0</v>
      </c>
      <c r="D136" s="392">
        <f t="shared" si="5"/>
        <v>206100</v>
      </c>
      <c r="E136" s="403" t="s">
        <v>987</v>
      </c>
    </row>
    <row r="137" ht="15.75" customHeight="1">
      <c r="A137" s="404" t="s">
        <v>989</v>
      </c>
      <c r="B137" s="392">
        <f>7600/12</f>
        <v>633.3333333</v>
      </c>
      <c r="C137" s="391">
        <v>500.0</v>
      </c>
      <c r="D137" s="392">
        <f t="shared" si="5"/>
        <v>316666.6667</v>
      </c>
      <c r="E137" s="403" t="s">
        <v>990</v>
      </c>
    </row>
    <row r="138" ht="15.75" customHeight="1">
      <c r="A138" s="404" t="s">
        <v>991</v>
      </c>
      <c r="B138" s="402">
        <v>50000.0</v>
      </c>
      <c r="C138" s="391">
        <v>17.0</v>
      </c>
      <c r="D138" s="392">
        <f t="shared" si="5"/>
        <v>850000</v>
      </c>
      <c r="E138" s="403" t="s">
        <v>992</v>
      </c>
    </row>
    <row r="139" ht="15.75" customHeight="1">
      <c r="A139" s="404" t="s">
        <v>993</v>
      </c>
      <c r="B139" s="402">
        <v>50000.0</v>
      </c>
      <c r="C139" s="391">
        <v>17.0</v>
      </c>
      <c r="D139" s="392">
        <f t="shared" si="5"/>
        <v>850000</v>
      </c>
      <c r="E139" s="405"/>
    </row>
    <row r="140" ht="15.75" customHeight="1">
      <c r="A140" s="404" t="s">
        <v>994</v>
      </c>
      <c r="B140" s="402">
        <v>50000.0</v>
      </c>
      <c r="C140" s="391">
        <v>17.0</v>
      </c>
      <c r="D140" s="392">
        <f t="shared" si="5"/>
        <v>850000</v>
      </c>
      <c r="E140" s="405"/>
    </row>
    <row r="141" ht="15.75" customHeight="1">
      <c r="A141" s="404" t="s">
        <v>995</v>
      </c>
      <c r="B141" s="402">
        <v>50000.0</v>
      </c>
      <c r="C141" s="391">
        <v>17.0</v>
      </c>
      <c r="D141" s="392">
        <f t="shared" si="5"/>
        <v>850000</v>
      </c>
      <c r="E141" s="405"/>
    </row>
    <row r="142" ht="15.75" customHeight="1">
      <c r="A142" s="404" t="s">
        <v>996</v>
      </c>
      <c r="B142" s="402">
        <v>39000.0</v>
      </c>
      <c r="C142" s="391">
        <v>3.6</v>
      </c>
      <c r="D142" s="392">
        <f t="shared" si="5"/>
        <v>140400</v>
      </c>
      <c r="E142" s="403" t="s">
        <v>997</v>
      </c>
    </row>
    <row r="143" ht="15.75" customHeight="1">
      <c r="A143" s="404" t="s">
        <v>998</v>
      </c>
      <c r="B143" s="402">
        <v>5400.0</v>
      </c>
      <c r="C143" s="391">
        <v>3.0</v>
      </c>
      <c r="D143" s="392">
        <f t="shared" si="5"/>
        <v>16200</v>
      </c>
      <c r="E143" s="403" t="s">
        <v>999</v>
      </c>
    </row>
    <row r="144" ht="15.75" customHeight="1">
      <c r="A144" s="406"/>
      <c r="B144" s="392"/>
      <c r="C144" s="407"/>
      <c r="D144" s="392">
        <f t="shared" si="5"/>
        <v>0</v>
      </c>
      <c r="E144" s="405"/>
    </row>
    <row r="145" ht="15.75" customHeight="1">
      <c r="A145" s="406"/>
      <c r="B145" s="392"/>
      <c r="C145" s="407"/>
      <c r="D145" s="392">
        <f t="shared" si="5"/>
        <v>0</v>
      </c>
      <c r="E145" s="405"/>
    </row>
    <row r="146" ht="15.75" customHeight="1">
      <c r="A146" s="398" t="s">
        <v>303</v>
      </c>
      <c r="B146" s="350"/>
      <c r="C146" s="351"/>
      <c r="D146" s="397">
        <f>SUM(D91:D145)</f>
        <v>19929592.92</v>
      </c>
      <c r="E146" s="351"/>
    </row>
    <row r="147" ht="15.75" customHeight="1">
      <c r="A147" s="387" t="s">
        <v>1000</v>
      </c>
      <c r="B147" s="350"/>
      <c r="C147" s="351"/>
      <c r="D147" s="408">
        <f>D88+D146</f>
        <v>30478648.36</v>
      </c>
      <c r="E147" s="369" t="s">
        <v>5</v>
      </c>
    </row>
    <row r="148" ht="15.75" customHeight="1">
      <c r="A148" s="355"/>
      <c r="B148" s="355"/>
      <c r="C148" s="355"/>
      <c r="D148" s="355"/>
      <c r="E148" s="355"/>
    </row>
    <row r="149" ht="15.75" customHeight="1">
      <c r="A149" s="377"/>
      <c r="B149" s="377"/>
      <c r="C149" s="377"/>
      <c r="D149" s="377"/>
      <c r="E149" s="377"/>
    </row>
    <row r="150" ht="15.75" customHeight="1"/>
    <row r="151" ht="15.75" customHeight="1">
      <c r="A151" s="409" t="s">
        <v>1001</v>
      </c>
    </row>
    <row r="152" ht="15.75" customHeight="1"/>
    <row r="153" ht="15.75" customHeight="1">
      <c r="A153" s="410" t="s">
        <v>1002</v>
      </c>
      <c r="B153" s="47"/>
      <c r="C153" s="47"/>
      <c r="D153" s="47"/>
      <c r="E153" s="12"/>
    </row>
    <row r="154" ht="15.75" customHeight="1">
      <c r="A154" s="352" t="s">
        <v>757</v>
      </c>
      <c r="B154" s="353" t="s">
        <v>22</v>
      </c>
      <c r="C154" s="353" t="s">
        <v>23</v>
      </c>
      <c r="D154" s="353" t="s">
        <v>24</v>
      </c>
      <c r="E154" s="353" t="s">
        <v>758</v>
      </c>
    </row>
    <row r="155" ht="15.75" customHeight="1">
      <c r="A155" s="411" t="s">
        <v>1003</v>
      </c>
      <c r="B155" s="372">
        <v>13860.0</v>
      </c>
      <c r="C155" s="373">
        <v>2.0</v>
      </c>
      <c r="D155" s="374">
        <f t="shared" ref="D155:D163" si="6">B155*C155</f>
        <v>27720</v>
      </c>
      <c r="E155" s="375" t="s">
        <v>1004</v>
      </c>
    </row>
    <row r="156" ht="15.75" customHeight="1">
      <c r="A156" s="411" t="s">
        <v>1005</v>
      </c>
      <c r="B156" s="372">
        <v>9500.0</v>
      </c>
      <c r="C156" s="373">
        <v>5.0</v>
      </c>
      <c r="D156" s="374">
        <f t="shared" si="6"/>
        <v>47500</v>
      </c>
      <c r="E156" s="412" t="s">
        <v>1006</v>
      </c>
    </row>
    <row r="157" ht="15.75" customHeight="1">
      <c r="A157" s="411" t="s">
        <v>1007</v>
      </c>
      <c r="B157" s="372">
        <v>5500.0</v>
      </c>
      <c r="C157" s="373">
        <v>5.0</v>
      </c>
      <c r="D157" s="374">
        <f t="shared" si="6"/>
        <v>27500</v>
      </c>
      <c r="E157" s="412" t="s">
        <v>1008</v>
      </c>
    </row>
    <row r="158" ht="15.75" customHeight="1">
      <c r="A158" s="411" t="s">
        <v>1009</v>
      </c>
      <c r="B158" s="372">
        <v>4700.0</v>
      </c>
      <c r="C158" s="373">
        <v>2.0</v>
      </c>
      <c r="D158" s="374">
        <f t="shared" si="6"/>
        <v>9400</v>
      </c>
      <c r="E158" s="412" t="s">
        <v>1010</v>
      </c>
    </row>
    <row r="159" ht="15.75" customHeight="1">
      <c r="A159" s="411" t="s">
        <v>1011</v>
      </c>
      <c r="B159" s="372">
        <v>74813.85</v>
      </c>
      <c r="C159" s="373">
        <v>4.0</v>
      </c>
      <c r="D159" s="374">
        <f t="shared" si="6"/>
        <v>299255.4</v>
      </c>
      <c r="E159" s="375" t="s">
        <v>1012</v>
      </c>
    </row>
    <row r="160" ht="15.75" customHeight="1">
      <c r="A160" s="411" t="s">
        <v>1013</v>
      </c>
      <c r="B160" s="372">
        <v>26659.0</v>
      </c>
      <c r="C160" s="373">
        <v>2.0</v>
      </c>
      <c r="D160" s="374">
        <f t="shared" si="6"/>
        <v>53318</v>
      </c>
      <c r="E160" s="375" t="s">
        <v>948</v>
      </c>
    </row>
    <row r="161" ht="15.75" customHeight="1">
      <c r="A161" s="411" t="s">
        <v>1014</v>
      </c>
      <c r="B161" s="372">
        <v>25999.0</v>
      </c>
      <c r="C161" s="373">
        <v>3.0</v>
      </c>
      <c r="D161" s="374">
        <f t="shared" si="6"/>
        <v>77997</v>
      </c>
      <c r="E161" s="375" t="s">
        <v>1015</v>
      </c>
    </row>
    <row r="162" ht="15.75" customHeight="1">
      <c r="A162" s="411" t="s">
        <v>1016</v>
      </c>
      <c r="B162" s="372">
        <v>51596.33</v>
      </c>
      <c r="C162" s="373">
        <v>2.0</v>
      </c>
      <c r="D162" s="374">
        <f t="shared" si="6"/>
        <v>103192.66</v>
      </c>
      <c r="E162" s="375" t="s">
        <v>1017</v>
      </c>
    </row>
    <row r="163" ht="15.75" customHeight="1">
      <c r="A163" s="411" t="s">
        <v>1018</v>
      </c>
      <c r="B163" s="372">
        <v>74813.85</v>
      </c>
      <c r="C163" s="373">
        <v>4.0</v>
      </c>
      <c r="D163" s="374">
        <f t="shared" si="6"/>
        <v>299255.4</v>
      </c>
      <c r="E163" s="375" t="s">
        <v>1012</v>
      </c>
    </row>
    <row r="164" ht="15.75" customHeight="1">
      <c r="A164" s="410" t="s">
        <v>1019</v>
      </c>
      <c r="B164" s="47"/>
      <c r="C164" s="12"/>
      <c r="D164" s="376">
        <f>SUM(D155:D163)</f>
        <v>945138.46</v>
      </c>
      <c r="E164" s="369" t="s">
        <v>5</v>
      </c>
    </row>
    <row r="165" ht="15.75" customHeight="1"/>
    <row r="166" ht="15.75" customHeight="1"/>
    <row r="167" ht="15.75" customHeight="1">
      <c r="A167" s="413" t="s">
        <v>1020</v>
      </c>
      <c r="B167" s="47"/>
      <c r="C167" s="47"/>
      <c r="D167" s="47"/>
      <c r="E167" s="12"/>
    </row>
    <row r="168" ht="15.75" customHeight="1">
      <c r="A168" s="352" t="s">
        <v>757</v>
      </c>
      <c r="B168" s="353" t="s">
        <v>22</v>
      </c>
      <c r="C168" s="353" t="s">
        <v>23</v>
      </c>
      <c r="D168" s="353" t="s">
        <v>24</v>
      </c>
      <c r="E168" s="353" t="s">
        <v>758</v>
      </c>
    </row>
    <row r="169" ht="15.75" customHeight="1">
      <c r="A169" s="414" t="s">
        <v>1021</v>
      </c>
      <c r="B169" s="415">
        <v>39000.0</v>
      </c>
      <c r="C169" s="416">
        <v>0.3</v>
      </c>
      <c r="D169" s="417">
        <f t="shared" ref="D169:D176" si="7">B169*C169</f>
        <v>11700</v>
      </c>
      <c r="E169" s="418" t="s">
        <v>1022</v>
      </c>
    </row>
    <row r="170" ht="15.75" customHeight="1">
      <c r="A170" s="414" t="s">
        <v>1023</v>
      </c>
      <c r="B170" s="415">
        <v>2011.0</v>
      </c>
      <c r="C170" s="416">
        <v>3.0</v>
      </c>
      <c r="D170" s="417">
        <f t="shared" si="7"/>
        <v>6033</v>
      </c>
      <c r="E170" s="419" t="s">
        <v>849</v>
      </c>
    </row>
    <row r="171" ht="15.75" customHeight="1">
      <c r="A171" s="414" t="s">
        <v>1024</v>
      </c>
      <c r="B171" s="415">
        <v>5400.0</v>
      </c>
      <c r="C171" s="416">
        <v>0.5</v>
      </c>
      <c r="D171" s="417">
        <f t="shared" si="7"/>
        <v>2700</v>
      </c>
      <c r="E171" s="419" t="s">
        <v>999</v>
      </c>
    </row>
    <row r="172" ht="15.75" customHeight="1">
      <c r="A172" s="414" t="s">
        <v>1025</v>
      </c>
      <c r="B172" s="415">
        <v>1548.0</v>
      </c>
      <c r="C172" s="416">
        <v>0.5</v>
      </c>
      <c r="D172" s="417">
        <f t="shared" si="7"/>
        <v>774</v>
      </c>
      <c r="E172" s="419" t="s">
        <v>963</v>
      </c>
    </row>
    <row r="173" ht="15.75" customHeight="1">
      <c r="A173" s="414" t="s">
        <v>1026</v>
      </c>
      <c r="B173" s="415">
        <v>479.0</v>
      </c>
      <c r="C173" s="416">
        <v>30.0</v>
      </c>
      <c r="D173" s="417">
        <f t="shared" si="7"/>
        <v>14370</v>
      </c>
      <c r="E173" s="419" t="s">
        <v>863</v>
      </c>
    </row>
    <row r="174" ht="15.75" customHeight="1">
      <c r="A174" s="414" t="s">
        <v>1027</v>
      </c>
      <c r="B174" s="415">
        <v>3999.0</v>
      </c>
      <c r="C174" s="416">
        <v>2.0</v>
      </c>
      <c r="D174" s="417">
        <f t="shared" si="7"/>
        <v>7998</v>
      </c>
      <c r="E174" s="419"/>
    </row>
    <row r="175" ht="15.75" customHeight="1">
      <c r="A175" s="414" t="s">
        <v>1028</v>
      </c>
      <c r="B175" s="415">
        <v>1329.0</v>
      </c>
      <c r="C175" s="416">
        <v>5.0</v>
      </c>
      <c r="D175" s="417">
        <f t="shared" si="7"/>
        <v>6645</v>
      </c>
      <c r="E175" s="419"/>
    </row>
    <row r="176" ht="15.75" customHeight="1">
      <c r="A176" s="414" t="s">
        <v>1029</v>
      </c>
      <c r="B176" s="415">
        <v>1900.0</v>
      </c>
      <c r="C176" s="416">
        <v>3.0</v>
      </c>
      <c r="D176" s="417">
        <f t="shared" si="7"/>
        <v>5700</v>
      </c>
      <c r="E176" s="419"/>
    </row>
    <row r="177" ht="15.75" customHeight="1">
      <c r="A177" s="413" t="s">
        <v>1030</v>
      </c>
      <c r="B177" s="47"/>
      <c r="C177" s="12"/>
      <c r="D177" s="420">
        <f>SUM(D169:D176)</f>
        <v>55920</v>
      </c>
      <c r="E177" s="369" t="s">
        <v>5</v>
      </c>
    </row>
    <row r="178" ht="15.75" customHeight="1">
      <c r="A178" s="414" t="s">
        <v>1021</v>
      </c>
      <c r="B178" s="415">
        <v>39000.0</v>
      </c>
      <c r="C178" s="416">
        <v>0.6</v>
      </c>
      <c r="D178" s="417">
        <f t="shared" ref="D178:D184" si="8">B178*C178</f>
        <v>23400</v>
      </c>
      <c r="E178" s="419"/>
    </row>
    <row r="179" ht="15.75" customHeight="1">
      <c r="A179" s="414" t="s">
        <v>1023</v>
      </c>
      <c r="B179" s="415">
        <v>2011.0</v>
      </c>
      <c r="C179" s="416">
        <v>4.0</v>
      </c>
      <c r="D179" s="417">
        <f t="shared" si="8"/>
        <v>8044</v>
      </c>
      <c r="E179" s="419"/>
    </row>
    <row r="180" ht="15.75" customHeight="1">
      <c r="A180" s="414" t="s">
        <v>1024</v>
      </c>
      <c r="B180" s="415">
        <v>5400.0</v>
      </c>
      <c r="C180" s="416">
        <v>0.6</v>
      </c>
      <c r="D180" s="417">
        <f t="shared" si="8"/>
        <v>3240</v>
      </c>
      <c r="E180" s="419"/>
    </row>
    <row r="181" ht="15.75" customHeight="1">
      <c r="A181" s="414" t="s">
        <v>1031</v>
      </c>
      <c r="B181" s="415">
        <v>271.0</v>
      </c>
      <c r="C181" s="416">
        <v>30.0</v>
      </c>
      <c r="D181" s="417">
        <f t="shared" si="8"/>
        <v>8130</v>
      </c>
      <c r="E181" s="419"/>
    </row>
    <row r="182" ht="15.75" customHeight="1">
      <c r="A182" s="414" t="s">
        <v>1027</v>
      </c>
      <c r="B182" s="415">
        <v>3999.0</v>
      </c>
      <c r="C182" s="416">
        <v>3.0</v>
      </c>
      <c r="D182" s="417">
        <f t="shared" si="8"/>
        <v>11997</v>
      </c>
      <c r="E182" s="419"/>
    </row>
    <row r="183" ht="15.75" customHeight="1">
      <c r="A183" s="414" t="s">
        <v>1032</v>
      </c>
      <c r="B183" s="415">
        <v>13700.0</v>
      </c>
      <c r="C183" s="416">
        <v>0.5</v>
      </c>
      <c r="D183" s="417">
        <f t="shared" si="8"/>
        <v>6850</v>
      </c>
      <c r="E183" s="419"/>
    </row>
    <row r="184" ht="15.75" customHeight="1">
      <c r="A184" s="414" t="s">
        <v>1033</v>
      </c>
      <c r="B184" s="415">
        <v>458.0</v>
      </c>
      <c r="C184" s="416">
        <v>30.0</v>
      </c>
      <c r="D184" s="417">
        <f t="shared" si="8"/>
        <v>13740</v>
      </c>
      <c r="E184" s="419"/>
    </row>
    <row r="185" ht="15.75" customHeight="1">
      <c r="A185" s="413" t="s">
        <v>1034</v>
      </c>
      <c r="B185" s="47"/>
      <c r="C185" s="12"/>
      <c r="D185" s="420">
        <f>SUM(D178:D184)</f>
        <v>75401</v>
      </c>
      <c r="E185" s="369" t="s">
        <v>5</v>
      </c>
    </row>
    <row r="186" ht="15.75" customHeight="1">
      <c r="A186" s="414" t="s">
        <v>1035</v>
      </c>
      <c r="B186" s="415">
        <v>47000.0</v>
      </c>
      <c r="C186" s="416">
        <v>0.5</v>
      </c>
      <c r="D186" s="417">
        <f t="shared" ref="D186:D201" si="9">B186*C186</f>
        <v>23500</v>
      </c>
      <c r="E186" s="419"/>
    </row>
    <row r="187" ht="15.75" customHeight="1">
      <c r="A187" s="414" t="s">
        <v>1036</v>
      </c>
      <c r="B187" s="415">
        <v>10900.0</v>
      </c>
      <c r="C187" s="416">
        <v>0.5</v>
      </c>
      <c r="D187" s="417">
        <f t="shared" si="9"/>
        <v>5450</v>
      </c>
      <c r="E187" s="419"/>
    </row>
    <row r="188" ht="15.75" customHeight="1">
      <c r="A188" s="414" t="s">
        <v>1032</v>
      </c>
      <c r="B188" s="415">
        <v>13700.0</v>
      </c>
      <c r="C188" s="416">
        <v>0.3</v>
      </c>
      <c r="D188" s="417">
        <f t="shared" si="9"/>
        <v>4110</v>
      </c>
      <c r="E188" s="419"/>
    </row>
    <row r="189" ht="15.75" customHeight="1">
      <c r="A189" s="414" t="s">
        <v>1037</v>
      </c>
      <c r="B189" s="415">
        <v>28000.0</v>
      </c>
      <c r="C189" s="416">
        <v>2.2</v>
      </c>
      <c r="D189" s="417">
        <f t="shared" si="9"/>
        <v>61600</v>
      </c>
      <c r="E189" s="419"/>
    </row>
    <row r="190" ht="15.75" customHeight="1">
      <c r="A190" s="414" t="s">
        <v>1038</v>
      </c>
      <c r="B190" s="415">
        <v>23000.0</v>
      </c>
      <c r="C190" s="416">
        <v>1.1</v>
      </c>
      <c r="D190" s="417">
        <f t="shared" si="9"/>
        <v>25300</v>
      </c>
      <c r="E190" s="419"/>
    </row>
    <row r="191" ht="15.75" customHeight="1">
      <c r="A191" s="414" t="s">
        <v>1039</v>
      </c>
      <c r="B191" s="415">
        <v>4500.0</v>
      </c>
      <c r="C191" s="416">
        <v>2.5</v>
      </c>
      <c r="D191" s="417">
        <f t="shared" si="9"/>
        <v>11250</v>
      </c>
      <c r="E191" s="419"/>
    </row>
    <row r="192" ht="15.75" customHeight="1">
      <c r="A192" s="414" t="s">
        <v>1040</v>
      </c>
      <c r="B192" s="415">
        <v>899.0</v>
      </c>
      <c r="C192" s="416">
        <v>2.0</v>
      </c>
      <c r="D192" s="417">
        <f t="shared" si="9"/>
        <v>1798</v>
      </c>
      <c r="E192" s="419"/>
    </row>
    <row r="193" ht="15.75" customHeight="1">
      <c r="A193" s="414" t="s">
        <v>1041</v>
      </c>
      <c r="B193" s="415">
        <v>2500.0</v>
      </c>
      <c r="C193" s="416">
        <v>1.5</v>
      </c>
      <c r="D193" s="417">
        <f t="shared" si="9"/>
        <v>3750</v>
      </c>
      <c r="E193" s="419"/>
    </row>
    <row r="194" ht="15.75" customHeight="1">
      <c r="A194" s="414" t="s">
        <v>1042</v>
      </c>
      <c r="B194" s="415">
        <v>4500.0</v>
      </c>
      <c r="C194" s="416">
        <v>1.0</v>
      </c>
      <c r="D194" s="417">
        <f t="shared" si="9"/>
        <v>4500</v>
      </c>
      <c r="E194" s="419"/>
    </row>
    <row r="195" ht="15.75" customHeight="1">
      <c r="A195" s="414" t="s">
        <v>1043</v>
      </c>
      <c r="B195" s="415">
        <v>31990.0</v>
      </c>
      <c r="C195" s="416">
        <v>0.2</v>
      </c>
      <c r="D195" s="417">
        <f t="shared" si="9"/>
        <v>6398</v>
      </c>
      <c r="E195" s="419"/>
    </row>
    <row r="196" ht="15.75" customHeight="1">
      <c r="A196" s="414" t="s">
        <v>1044</v>
      </c>
      <c r="B196" s="415">
        <v>2567.0</v>
      </c>
      <c r="C196" s="416">
        <v>2.0</v>
      </c>
      <c r="D196" s="417">
        <f t="shared" si="9"/>
        <v>5134</v>
      </c>
      <c r="E196" s="419"/>
    </row>
    <row r="197" ht="15.75" customHeight="1">
      <c r="A197" s="414" t="s">
        <v>1045</v>
      </c>
      <c r="B197" s="415">
        <v>5800.0</v>
      </c>
      <c r="C197" s="416">
        <v>1.5</v>
      </c>
      <c r="D197" s="417">
        <f t="shared" si="9"/>
        <v>8700</v>
      </c>
      <c r="E197" s="419"/>
    </row>
    <row r="198" ht="15.75" customHeight="1">
      <c r="A198" s="414" t="s">
        <v>1046</v>
      </c>
      <c r="B198" s="415">
        <v>1300.0</v>
      </c>
      <c r="C198" s="416">
        <v>0.5</v>
      </c>
      <c r="D198" s="417">
        <f t="shared" si="9"/>
        <v>650</v>
      </c>
      <c r="E198" s="419"/>
    </row>
    <row r="199" ht="15.75" customHeight="1">
      <c r="A199" s="414" t="s">
        <v>1047</v>
      </c>
      <c r="B199" s="415">
        <v>12468.98</v>
      </c>
      <c r="C199" s="416">
        <v>4.0</v>
      </c>
      <c r="D199" s="417">
        <f t="shared" si="9"/>
        <v>49875.92</v>
      </c>
      <c r="E199" s="419"/>
    </row>
    <row r="200" ht="15.75" customHeight="1">
      <c r="A200" s="414" t="s">
        <v>1048</v>
      </c>
      <c r="B200" s="415">
        <v>458.0</v>
      </c>
      <c r="C200" s="416">
        <v>30.0</v>
      </c>
      <c r="D200" s="417">
        <f t="shared" si="9"/>
        <v>13740</v>
      </c>
      <c r="E200" s="419"/>
    </row>
    <row r="201" ht="15.75" customHeight="1">
      <c r="A201" s="414" t="s">
        <v>1021</v>
      </c>
      <c r="B201" s="415">
        <v>39000.0</v>
      </c>
      <c r="C201" s="416">
        <v>0.2</v>
      </c>
      <c r="D201" s="417">
        <f t="shared" si="9"/>
        <v>7800</v>
      </c>
      <c r="E201" s="419"/>
    </row>
    <row r="202" ht="15.75" customHeight="1">
      <c r="A202" s="413" t="s">
        <v>1049</v>
      </c>
      <c r="B202" s="47"/>
      <c r="C202" s="12"/>
      <c r="D202" s="420">
        <f>SUM(D186:D201)</f>
        <v>233555.92</v>
      </c>
      <c r="E202" s="369" t="s">
        <v>5</v>
      </c>
    </row>
    <row r="203" ht="15.75" customHeight="1">
      <c r="A203" s="414" t="s">
        <v>1050</v>
      </c>
      <c r="B203" s="415">
        <v>14846.86</v>
      </c>
      <c r="C203" s="416">
        <v>3.0</v>
      </c>
      <c r="D203" s="417">
        <f t="shared" ref="D203:D212" si="10">B203*C203</f>
        <v>44540.58</v>
      </c>
      <c r="E203" s="419"/>
    </row>
    <row r="204" ht="15.75" customHeight="1">
      <c r="A204" s="414" t="s">
        <v>1051</v>
      </c>
      <c r="B204" s="415">
        <v>12468.98</v>
      </c>
      <c r="C204" s="416">
        <v>3.0</v>
      </c>
      <c r="D204" s="417">
        <f t="shared" si="10"/>
        <v>37406.94</v>
      </c>
      <c r="E204" s="419"/>
    </row>
    <row r="205" ht="15.75" customHeight="1">
      <c r="A205" s="414" t="s">
        <v>1052</v>
      </c>
      <c r="B205" s="415">
        <v>12468.98</v>
      </c>
      <c r="C205" s="416">
        <v>2.0</v>
      </c>
      <c r="D205" s="417">
        <f t="shared" si="10"/>
        <v>24937.96</v>
      </c>
      <c r="E205" s="419"/>
    </row>
    <row r="206" ht="15.75" customHeight="1">
      <c r="A206" s="414" t="s">
        <v>1053</v>
      </c>
      <c r="B206" s="415">
        <v>12468.98</v>
      </c>
      <c r="C206" s="416">
        <v>2.0</v>
      </c>
      <c r="D206" s="417">
        <f t="shared" si="10"/>
        <v>24937.96</v>
      </c>
      <c r="E206" s="419"/>
    </row>
    <row r="207" ht="15.75" customHeight="1">
      <c r="A207" s="414" t="s">
        <v>1054</v>
      </c>
      <c r="B207" s="415">
        <v>26659.0</v>
      </c>
      <c r="C207" s="416">
        <v>0.4</v>
      </c>
      <c r="D207" s="417">
        <f t="shared" si="10"/>
        <v>10663.6</v>
      </c>
      <c r="E207" s="419"/>
    </row>
    <row r="208" ht="15.75" customHeight="1">
      <c r="A208" s="414" t="s">
        <v>1055</v>
      </c>
      <c r="B208" s="415">
        <v>25999.0</v>
      </c>
      <c r="C208" s="416">
        <v>0.4</v>
      </c>
      <c r="D208" s="417">
        <f t="shared" si="10"/>
        <v>10399.6</v>
      </c>
      <c r="E208" s="419"/>
    </row>
    <row r="209" ht="15.75" customHeight="1">
      <c r="A209" s="414" t="s">
        <v>1056</v>
      </c>
      <c r="B209" s="415">
        <v>25000.0</v>
      </c>
      <c r="C209" s="416">
        <v>0.4</v>
      </c>
      <c r="D209" s="417">
        <f t="shared" si="10"/>
        <v>10000</v>
      </c>
      <c r="E209" s="419"/>
    </row>
    <row r="210" ht="15.75" customHeight="1">
      <c r="A210" s="414" t="s">
        <v>1057</v>
      </c>
      <c r="B210" s="415">
        <v>2567.0</v>
      </c>
      <c r="C210" s="416">
        <v>1.0</v>
      </c>
      <c r="D210" s="417">
        <f t="shared" si="10"/>
        <v>2567</v>
      </c>
      <c r="E210" s="419"/>
    </row>
    <row r="211" ht="15.75" customHeight="1">
      <c r="A211" s="414" t="s">
        <v>1033</v>
      </c>
      <c r="B211" s="415">
        <v>458.0</v>
      </c>
      <c r="C211" s="416">
        <v>15.0</v>
      </c>
      <c r="D211" s="417">
        <f t="shared" si="10"/>
        <v>6870</v>
      </c>
      <c r="E211" s="419"/>
    </row>
    <row r="212" ht="15.75" customHeight="1">
      <c r="A212" s="414" t="s">
        <v>1058</v>
      </c>
      <c r="B212" s="415">
        <v>4000.0</v>
      </c>
      <c r="C212" s="416">
        <v>15.0</v>
      </c>
      <c r="D212" s="417">
        <f t="shared" si="10"/>
        <v>60000</v>
      </c>
      <c r="E212" s="419"/>
    </row>
    <row r="213" ht="15.75" customHeight="1">
      <c r="A213" s="413" t="s">
        <v>1059</v>
      </c>
      <c r="B213" s="47"/>
      <c r="C213" s="12"/>
      <c r="D213" s="420">
        <f>SUM(D203:D212)</f>
        <v>232323.64</v>
      </c>
      <c r="E213" s="369" t="s">
        <v>5</v>
      </c>
    </row>
    <row r="214" ht="15.75" customHeight="1">
      <c r="A214" s="414" t="s">
        <v>1060</v>
      </c>
      <c r="B214" s="415">
        <v>16968.0</v>
      </c>
      <c r="C214" s="416">
        <v>1.0</v>
      </c>
      <c r="D214" s="417">
        <f t="shared" ref="D214:D216" si="11">B214*C214</f>
        <v>16968</v>
      </c>
      <c r="E214" s="419"/>
    </row>
    <row r="215" ht="15.75" customHeight="1">
      <c r="A215" s="414" t="s">
        <v>1061</v>
      </c>
      <c r="B215" s="415">
        <v>3350.0</v>
      </c>
      <c r="C215" s="416">
        <v>15.0</v>
      </c>
      <c r="D215" s="417">
        <f t="shared" si="11"/>
        <v>50250</v>
      </c>
      <c r="E215" s="419"/>
    </row>
    <row r="216" ht="15.75" customHeight="1">
      <c r="A216" s="414" t="s">
        <v>1062</v>
      </c>
      <c r="B216" s="415">
        <v>15.54</v>
      </c>
      <c r="C216" s="416">
        <v>15.0</v>
      </c>
      <c r="D216" s="417">
        <f t="shared" si="11"/>
        <v>233.1</v>
      </c>
      <c r="E216" s="419"/>
    </row>
    <row r="217" ht="15.75" customHeight="1">
      <c r="A217" s="413" t="s">
        <v>1063</v>
      </c>
      <c r="B217" s="47"/>
      <c r="C217" s="12"/>
      <c r="D217" s="420">
        <f>SUM(D214:D216)</f>
        <v>67451.1</v>
      </c>
      <c r="E217" s="369" t="s">
        <v>5</v>
      </c>
    </row>
    <row r="218" ht="15.75" customHeight="1">
      <c r="A218" s="414" t="s">
        <v>1064</v>
      </c>
      <c r="B218" s="415">
        <v>20000.0</v>
      </c>
      <c r="C218" s="416">
        <v>4.0</v>
      </c>
      <c r="D218" s="417">
        <f t="shared" ref="D218:D220" si="12">B218*C218</f>
        <v>80000</v>
      </c>
      <c r="E218" s="419"/>
    </row>
    <row r="219" ht="15.75" customHeight="1">
      <c r="A219" s="414" t="s">
        <v>1065</v>
      </c>
      <c r="B219" s="415">
        <v>66276.0</v>
      </c>
      <c r="C219" s="416">
        <v>1.0</v>
      </c>
      <c r="D219" s="417">
        <f t="shared" si="12"/>
        <v>66276</v>
      </c>
      <c r="E219" s="419"/>
    </row>
    <row r="220" ht="15.75" customHeight="1">
      <c r="A220" s="414" t="s">
        <v>1066</v>
      </c>
      <c r="B220" s="415">
        <v>66276.0</v>
      </c>
      <c r="C220" s="416">
        <v>1.0</v>
      </c>
      <c r="D220" s="417">
        <f t="shared" si="12"/>
        <v>66276</v>
      </c>
      <c r="E220" s="419"/>
    </row>
    <row r="221" ht="15.75" customHeight="1">
      <c r="A221" s="413" t="s">
        <v>1067</v>
      </c>
      <c r="B221" s="47"/>
      <c r="C221" s="12"/>
      <c r="D221" s="420">
        <f>SUM(D218:D220)</f>
        <v>212552</v>
      </c>
    </row>
    <row r="222" ht="15.75" customHeight="1">
      <c r="A222" s="413" t="s">
        <v>1068</v>
      </c>
      <c r="B222" s="47"/>
      <c r="C222" s="12"/>
      <c r="D222" s="420">
        <f>D221+D217+D213+D202+D185+D177</f>
        <v>877203.66</v>
      </c>
    </row>
    <row r="223" ht="15.75" customHeight="1"/>
    <row r="224" ht="15.75" customHeight="1"/>
    <row r="225" ht="15.75" customHeight="1">
      <c r="A225" s="421" t="s">
        <v>1069</v>
      </c>
      <c r="B225" s="47"/>
      <c r="C225" s="47"/>
      <c r="D225" s="47"/>
      <c r="E225" s="12"/>
    </row>
    <row r="226" ht="15.75" customHeight="1">
      <c r="A226" s="352" t="s">
        <v>757</v>
      </c>
      <c r="B226" s="353" t="s">
        <v>22</v>
      </c>
      <c r="C226" s="353" t="s">
        <v>23</v>
      </c>
      <c r="D226" s="353" t="s">
        <v>24</v>
      </c>
      <c r="E226" s="353" t="s">
        <v>758</v>
      </c>
    </row>
    <row r="227" ht="15.75" customHeight="1">
      <c r="A227" s="422" t="s">
        <v>1021</v>
      </c>
      <c r="B227" s="423">
        <v>39000.0</v>
      </c>
      <c r="C227" s="424">
        <v>0.3</v>
      </c>
      <c r="D227" s="425">
        <f t="shared" ref="D227:D234" si="13">B227*C227</f>
        <v>11700</v>
      </c>
      <c r="E227" s="426" t="s">
        <v>1022</v>
      </c>
    </row>
    <row r="228" ht="15.75" customHeight="1">
      <c r="A228" s="422" t="s">
        <v>1023</v>
      </c>
      <c r="B228" s="423">
        <v>2011.0</v>
      </c>
      <c r="C228" s="424">
        <v>3.0</v>
      </c>
      <c r="D228" s="425">
        <f t="shared" si="13"/>
        <v>6033</v>
      </c>
      <c r="E228" s="427" t="s">
        <v>849</v>
      </c>
    </row>
    <row r="229" ht="15.75" customHeight="1">
      <c r="A229" s="422" t="s">
        <v>1024</v>
      </c>
      <c r="B229" s="423">
        <v>5400.0</v>
      </c>
      <c r="C229" s="424">
        <v>0.5</v>
      </c>
      <c r="D229" s="425">
        <f t="shared" si="13"/>
        <v>2700</v>
      </c>
      <c r="E229" s="427" t="s">
        <v>999</v>
      </c>
    </row>
    <row r="230" ht="15.75" customHeight="1">
      <c r="A230" s="422" t="s">
        <v>1025</v>
      </c>
      <c r="B230" s="423">
        <v>1548.0</v>
      </c>
      <c r="C230" s="424">
        <v>0.5</v>
      </c>
      <c r="D230" s="425">
        <f t="shared" si="13"/>
        <v>774</v>
      </c>
      <c r="E230" s="427" t="s">
        <v>963</v>
      </c>
    </row>
    <row r="231" ht="15.75" customHeight="1">
      <c r="A231" s="422" t="s">
        <v>1026</v>
      </c>
      <c r="B231" s="423">
        <v>479.0</v>
      </c>
      <c r="C231" s="424">
        <v>30.0</v>
      </c>
      <c r="D231" s="425">
        <f t="shared" si="13"/>
        <v>14370</v>
      </c>
      <c r="E231" s="427" t="s">
        <v>863</v>
      </c>
    </row>
    <row r="232" ht="15.75" customHeight="1">
      <c r="A232" s="422" t="s">
        <v>1027</v>
      </c>
      <c r="B232" s="423">
        <v>3999.0</v>
      </c>
      <c r="C232" s="424">
        <v>2.0</v>
      </c>
      <c r="D232" s="425">
        <f t="shared" si="13"/>
        <v>7998</v>
      </c>
      <c r="E232" s="427"/>
    </row>
    <row r="233" ht="15.75" customHeight="1">
      <c r="A233" s="422" t="s">
        <v>1028</v>
      </c>
      <c r="B233" s="423">
        <v>1329.0</v>
      </c>
      <c r="C233" s="424">
        <v>5.0</v>
      </c>
      <c r="D233" s="425">
        <f t="shared" si="13"/>
        <v>6645</v>
      </c>
      <c r="E233" s="427"/>
    </row>
    <row r="234" ht="15.75" customHeight="1">
      <c r="A234" s="422" t="s">
        <v>1029</v>
      </c>
      <c r="B234" s="423">
        <v>1900.0</v>
      </c>
      <c r="C234" s="424">
        <v>3.0</v>
      </c>
      <c r="D234" s="425">
        <f t="shared" si="13"/>
        <v>5700</v>
      </c>
      <c r="E234" s="427"/>
    </row>
    <row r="235" ht="15.75" customHeight="1">
      <c r="A235" s="421" t="s">
        <v>1030</v>
      </c>
      <c r="B235" s="47"/>
      <c r="C235" s="12"/>
      <c r="D235" s="428">
        <f>SUM(D227:D234)</f>
        <v>55920</v>
      </c>
      <c r="E235" s="369" t="s">
        <v>5</v>
      </c>
    </row>
    <row r="236" ht="15.75" customHeight="1">
      <c r="A236" s="422" t="s">
        <v>1021</v>
      </c>
      <c r="B236" s="423">
        <v>39000.0</v>
      </c>
      <c r="C236" s="424">
        <v>0.3</v>
      </c>
      <c r="D236" s="425">
        <f t="shared" ref="D236:D242" si="14">B236*C236</f>
        <v>11700</v>
      </c>
      <c r="E236" s="429"/>
    </row>
    <row r="237" ht="15.75" customHeight="1">
      <c r="A237" s="422" t="s">
        <v>1023</v>
      </c>
      <c r="B237" s="423">
        <v>2011.0</v>
      </c>
      <c r="C237" s="424">
        <v>2.0</v>
      </c>
      <c r="D237" s="425">
        <f t="shared" si="14"/>
        <v>4022</v>
      </c>
      <c r="E237" s="427"/>
    </row>
    <row r="238" ht="15.75" customHeight="1">
      <c r="A238" s="422" t="s">
        <v>1024</v>
      </c>
      <c r="B238" s="423">
        <v>5400.0</v>
      </c>
      <c r="C238" s="424">
        <v>0.3</v>
      </c>
      <c r="D238" s="425">
        <f t="shared" si="14"/>
        <v>1620</v>
      </c>
      <c r="E238" s="427"/>
    </row>
    <row r="239" ht="15.75" customHeight="1">
      <c r="A239" s="422" t="s">
        <v>1031</v>
      </c>
      <c r="B239" s="423">
        <v>271.0</v>
      </c>
      <c r="C239" s="424">
        <v>15.0</v>
      </c>
      <c r="D239" s="425">
        <f t="shared" si="14"/>
        <v>4065</v>
      </c>
      <c r="E239" s="427"/>
    </row>
    <row r="240" ht="15.75" customHeight="1">
      <c r="A240" s="422" t="s">
        <v>1027</v>
      </c>
      <c r="B240" s="423">
        <v>3999.0</v>
      </c>
      <c r="C240" s="424">
        <v>1.5</v>
      </c>
      <c r="D240" s="425">
        <f t="shared" si="14"/>
        <v>5998.5</v>
      </c>
      <c r="E240" s="427"/>
    </row>
    <row r="241" ht="15.75" customHeight="1">
      <c r="A241" s="422" t="s">
        <v>1032</v>
      </c>
      <c r="B241" s="423">
        <v>13700.0</v>
      </c>
      <c r="C241" s="424">
        <v>0.25</v>
      </c>
      <c r="D241" s="425">
        <f t="shared" si="14"/>
        <v>3425</v>
      </c>
      <c r="E241" s="427"/>
    </row>
    <row r="242" ht="15.75" customHeight="1">
      <c r="A242" s="422" t="s">
        <v>1033</v>
      </c>
      <c r="B242" s="423">
        <v>458.0</v>
      </c>
      <c r="C242" s="424">
        <v>15.0</v>
      </c>
      <c r="D242" s="425">
        <f t="shared" si="14"/>
        <v>6870</v>
      </c>
      <c r="E242" s="427"/>
    </row>
    <row r="243" ht="15.75" customHeight="1">
      <c r="A243" s="421" t="s">
        <v>1070</v>
      </c>
      <c r="B243" s="47"/>
      <c r="C243" s="12"/>
      <c r="D243" s="428">
        <f>SUM(D236:D242)</f>
        <v>37700.5</v>
      </c>
      <c r="E243" s="369" t="s">
        <v>5</v>
      </c>
    </row>
    <row r="244" ht="15.75" customHeight="1">
      <c r="A244" s="422" t="s">
        <v>1035</v>
      </c>
      <c r="B244" s="423">
        <v>47000.0</v>
      </c>
      <c r="C244" s="424">
        <v>0.5</v>
      </c>
      <c r="D244" s="425">
        <f t="shared" ref="D244:D259" si="15">B244*C244</f>
        <v>23500</v>
      </c>
      <c r="E244" s="427"/>
    </row>
    <row r="245" ht="15.75" customHeight="1">
      <c r="A245" s="422" t="s">
        <v>1036</v>
      </c>
      <c r="B245" s="423">
        <v>10900.0</v>
      </c>
      <c r="C245" s="424">
        <v>0.5</v>
      </c>
      <c r="D245" s="425">
        <f t="shared" si="15"/>
        <v>5450</v>
      </c>
      <c r="E245" s="427"/>
    </row>
    <row r="246" ht="15.75" customHeight="1">
      <c r="A246" s="422" t="s">
        <v>1032</v>
      </c>
      <c r="B246" s="423">
        <v>13700.0</v>
      </c>
      <c r="C246" s="424">
        <v>0.3</v>
      </c>
      <c r="D246" s="425">
        <f t="shared" si="15"/>
        <v>4110</v>
      </c>
      <c r="E246" s="427"/>
    </row>
    <row r="247" ht="15.75" customHeight="1">
      <c r="A247" s="422" t="s">
        <v>1037</v>
      </c>
      <c r="B247" s="423">
        <v>28000.0</v>
      </c>
      <c r="C247" s="424">
        <v>2.2</v>
      </c>
      <c r="D247" s="425">
        <f t="shared" si="15"/>
        <v>61600</v>
      </c>
      <c r="E247" s="427"/>
    </row>
    <row r="248" ht="15.75" customHeight="1">
      <c r="A248" s="422" t="s">
        <v>1038</v>
      </c>
      <c r="B248" s="423">
        <v>23000.0</v>
      </c>
      <c r="C248" s="424">
        <v>1.1</v>
      </c>
      <c r="D248" s="425">
        <f t="shared" si="15"/>
        <v>25300</v>
      </c>
      <c r="E248" s="427"/>
    </row>
    <row r="249" ht="15.75" customHeight="1">
      <c r="A249" s="422" t="s">
        <v>1039</v>
      </c>
      <c r="B249" s="423">
        <v>4500.0</v>
      </c>
      <c r="C249" s="424">
        <v>2.5</v>
      </c>
      <c r="D249" s="425">
        <f t="shared" si="15"/>
        <v>11250</v>
      </c>
      <c r="E249" s="427"/>
    </row>
    <row r="250" ht="15.75" customHeight="1">
      <c r="A250" s="422" t="s">
        <v>1040</v>
      </c>
      <c r="B250" s="423">
        <v>899.0</v>
      </c>
      <c r="C250" s="424">
        <v>2.0</v>
      </c>
      <c r="D250" s="425">
        <f t="shared" si="15"/>
        <v>1798</v>
      </c>
      <c r="E250" s="427"/>
    </row>
    <row r="251" ht="15.75" customHeight="1">
      <c r="A251" s="422" t="s">
        <v>1041</v>
      </c>
      <c r="B251" s="423">
        <v>2500.0</v>
      </c>
      <c r="C251" s="424">
        <v>1.5</v>
      </c>
      <c r="D251" s="425">
        <f t="shared" si="15"/>
        <v>3750</v>
      </c>
      <c r="E251" s="427"/>
    </row>
    <row r="252" ht="15.75" customHeight="1">
      <c r="A252" s="422" t="s">
        <v>1042</v>
      </c>
      <c r="B252" s="423">
        <v>4500.0</v>
      </c>
      <c r="C252" s="424">
        <v>1.0</v>
      </c>
      <c r="D252" s="425">
        <f t="shared" si="15"/>
        <v>4500</v>
      </c>
      <c r="E252" s="427"/>
    </row>
    <row r="253" ht="15.75" customHeight="1">
      <c r="A253" s="422" t="s">
        <v>1043</v>
      </c>
      <c r="B253" s="423">
        <v>31990.0</v>
      </c>
      <c r="C253" s="424">
        <v>0.2</v>
      </c>
      <c r="D253" s="425">
        <f t="shared" si="15"/>
        <v>6398</v>
      </c>
      <c r="E253" s="427"/>
    </row>
    <row r="254" ht="15.75" customHeight="1">
      <c r="A254" s="422" t="s">
        <v>1044</v>
      </c>
      <c r="B254" s="423">
        <v>2567.0</v>
      </c>
      <c r="C254" s="424">
        <v>2.0</v>
      </c>
      <c r="D254" s="425">
        <f t="shared" si="15"/>
        <v>5134</v>
      </c>
      <c r="E254" s="427"/>
    </row>
    <row r="255" ht="15.75" customHeight="1">
      <c r="A255" s="422" t="s">
        <v>1045</v>
      </c>
      <c r="B255" s="423">
        <v>5800.0</v>
      </c>
      <c r="C255" s="424">
        <v>1.5</v>
      </c>
      <c r="D255" s="425">
        <f t="shared" si="15"/>
        <v>8700</v>
      </c>
      <c r="E255" s="427"/>
    </row>
    <row r="256" ht="15.75" customHeight="1">
      <c r="A256" s="422" t="s">
        <v>1046</v>
      </c>
      <c r="B256" s="423">
        <v>1300.0</v>
      </c>
      <c r="C256" s="424">
        <v>0.5</v>
      </c>
      <c r="D256" s="425">
        <f t="shared" si="15"/>
        <v>650</v>
      </c>
      <c r="E256" s="427"/>
    </row>
    <row r="257" ht="15.75" customHeight="1">
      <c r="A257" s="422" t="s">
        <v>1047</v>
      </c>
      <c r="B257" s="423">
        <v>12468.98</v>
      </c>
      <c r="C257" s="424">
        <v>4.0</v>
      </c>
      <c r="D257" s="425">
        <f t="shared" si="15"/>
        <v>49875.92</v>
      </c>
      <c r="E257" s="427"/>
    </row>
    <row r="258" ht="15.75" customHeight="1">
      <c r="A258" s="422" t="s">
        <v>1048</v>
      </c>
      <c r="B258" s="423">
        <v>458.0</v>
      </c>
      <c r="C258" s="424">
        <v>30.0</v>
      </c>
      <c r="D258" s="425">
        <f t="shared" si="15"/>
        <v>13740</v>
      </c>
      <c r="E258" s="427"/>
    </row>
    <row r="259" ht="15.75" customHeight="1">
      <c r="A259" s="422" t="s">
        <v>1021</v>
      </c>
      <c r="B259" s="423">
        <v>39000.0</v>
      </c>
      <c r="C259" s="424">
        <v>0.2</v>
      </c>
      <c r="D259" s="425">
        <f t="shared" si="15"/>
        <v>7800</v>
      </c>
      <c r="E259" s="427"/>
    </row>
    <row r="260" ht="15.75" customHeight="1">
      <c r="A260" s="421" t="s">
        <v>1049</v>
      </c>
      <c r="B260" s="47"/>
      <c r="C260" s="12"/>
      <c r="D260" s="428">
        <f>SUM(D244:D259)</f>
        <v>233555.92</v>
      </c>
      <c r="E260" s="369" t="s">
        <v>5</v>
      </c>
    </row>
    <row r="261" ht="15.75" customHeight="1">
      <c r="A261" s="422" t="s">
        <v>1050</v>
      </c>
      <c r="B261" s="423">
        <v>14846.86</v>
      </c>
      <c r="C261" s="424">
        <v>3.0</v>
      </c>
      <c r="D261" s="425">
        <f t="shared" ref="D261:D269" si="16">B261*C261</f>
        <v>44540.58</v>
      </c>
      <c r="E261" s="427"/>
    </row>
    <row r="262" ht="15.75" customHeight="1">
      <c r="A262" s="422" t="s">
        <v>1051</v>
      </c>
      <c r="B262" s="423">
        <v>12468.98</v>
      </c>
      <c r="C262" s="424">
        <v>3.0</v>
      </c>
      <c r="D262" s="425">
        <f t="shared" si="16"/>
        <v>37406.94</v>
      </c>
      <c r="E262" s="427"/>
    </row>
    <row r="263" ht="15.75" customHeight="1">
      <c r="A263" s="422" t="s">
        <v>1052</v>
      </c>
      <c r="B263" s="423">
        <v>12468.98</v>
      </c>
      <c r="C263" s="424">
        <v>2.0</v>
      </c>
      <c r="D263" s="425">
        <f t="shared" si="16"/>
        <v>24937.96</v>
      </c>
      <c r="E263" s="427"/>
    </row>
    <row r="264" ht="15.75" customHeight="1">
      <c r="A264" s="422" t="s">
        <v>1053</v>
      </c>
      <c r="B264" s="423">
        <v>12468.98</v>
      </c>
      <c r="C264" s="424">
        <v>2.0</v>
      </c>
      <c r="D264" s="425">
        <f t="shared" si="16"/>
        <v>24937.96</v>
      </c>
      <c r="E264" s="427"/>
    </row>
    <row r="265" ht="15.75" customHeight="1">
      <c r="A265" s="422" t="s">
        <v>1054</v>
      </c>
      <c r="B265" s="423">
        <v>26659.0</v>
      </c>
      <c r="C265" s="424">
        <v>0.4</v>
      </c>
      <c r="D265" s="425">
        <f t="shared" si="16"/>
        <v>10663.6</v>
      </c>
      <c r="E265" s="427"/>
    </row>
    <row r="266" ht="15.75" customHeight="1">
      <c r="A266" s="422" t="s">
        <v>1055</v>
      </c>
      <c r="B266" s="423">
        <v>25999.0</v>
      </c>
      <c r="C266" s="424">
        <v>0.4</v>
      </c>
      <c r="D266" s="425">
        <f t="shared" si="16"/>
        <v>10399.6</v>
      </c>
      <c r="E266" s="427"/>
    </row>
    <row r="267" ht="15.75" customHeight="1">
      <c r="A267" s="422" t="s">
        <v>1056</v>
      </c>
      <c r="B267" s="423">
        <v>25000.0</v>
      </c>
      <c r="C267" s="424">
        <v>0.4</v>
      </c>
      <c r="D267" s="425">
        <f t="shared" si="16"/>
        <v>10000</v>
      </c>
      <c r="E267" s="427"/>
    </row>
    <row r="268" ht="15.75" customHeight="1">
      <c r="A268" s="422" t="s">
        <v>1057</v>
      </c>
      <c r="B268" s="423">
        <v>2567.0</v>
      </c>
      <c r="C268" s="424">
        <v>1.0</v>
      </c>
      <c r="D268" s="425">
        <f t="shared" si="16"/>
        <v>2567</v>
      </c>
      <c r="E268" s="427"/>
    </row>
    <row r="269" ht="15.75" customHeight="1">
      <c r="A269" s="422" t="s">
        <v>1033</v>
      </c>
      <c r="B269" s="423">
        <v>458.0</v>
      </c>
      <c r="C269" s="424">
        <v>15.0</v>
      </c>
      <c r="D269" s="425">
        <f t="shared" si="16"/>
        <v>6870</v>
      </c>
      <c r="E269" s="427"/>
    </row>
    <row r="270" ht="15.75" customHeight="1">
      <c r="A270" s="421" t="s">
        <v>1071</v>
      </c>
      <c r="B270" s="47"/>
      <c r="C270" s="12"/>
      <c r="D270" s="428">
        <f>SUM(D261:D269)</f>
        <v>172323.64</v>
      </c>
      <c r="E270" s="369" t="s">
        <v>5</v>
      </c>
    </row>
    <row r="271" ht="15.75" customHeight="1">
      <c r="A271" s="422" t="s">
        <v>1060</v>
      </c>
      <c r="B271" s="423">
        <v>16968.0</v>
      </c>
      <c r="C271" s="424">
        <v>1.0</v>
      </c>
      <c r="D271" s="425">
        <f t="shared" ref="D271:D273" si="17">B271*C271</f>
        <v>16968</v>
      </c>
      <c r="E271" s="427"/>
    </row>
    <row r="272" ht="15.75" customHeight="1">
      <c r="A272" s="422" t="s">
        <v>1061</v>
      </c>
      <c r="B272" s="423">
        <v>3350.0</v>
      </c>
      <c r="C272" s="424">
        <v>15.0</v>
      </c>
      <c r="D272" s="425">
        <f t="shared" si="17"/>
        <v>50250</v>
      </c>
      <c r="E272" s="427"/>
    </row>
    <row r="273" ht="15.75" customHeight="1">
      <c r="A273" s="422" t="s">
        <v>1062</v>
      </c>
      <c r="B273" s="423">
        <v>15.54</v>
      </c>
      <c r="C273" s="424">
        <v>15.0</v>
      </c>
      <c r="D273" s="425">
        <f t="shared" si="17"/>
        <v>233.1</v>
      </c>
      <c r="E273" s="427"/>
    </row>
    <row r="274" ht="15.75" customHeight="1">
      <c r="A274" s="421" t="s">
        <v>1063</v>
      </c>
      <c r="B274" s="47"/>
      <c r="C274" s="12"/>
      <c r="D274" s="428">
        <f>SUM(D271:D273)</f>
        <v>67451.1</v>
      </c>
      <c r="E274" s="369" t="s">
        <v>5</v>
      </c>
    </row>
    <row r="275" ht="15.75" customHeight="1">
      <c r="A275" s="422" t="s">
        <v>1064</v>
      </c>
      <c r="B275" s="423">
        <v>20000.0</v>
      </c>
      <c r="C275" s="424">
        <v>2.0</v>
      </c>
      <c r="D275" s="425">
        <f t="shared" ref="D275:D277" si="18">B275*C275</f>
        <v>40000</v>
      </c>
      <c r="E275" s="430"/>
    </row>
    <row r="276" ht="15.75" customHeight="1">
      <c r="A276" s="422" t="s">
        <v>1065</v>
      </c>
      <c r="B276" s="423">
        <v>66276.0</v>
      </c>
      <c r="C276" s="424">
        <v>1.0</v>
      </c>
      <c r="D276" s="425">
        <f t="shared" si="18"/>
        <v>66276</v>
      </c>
      <c r="E276" s="430"/>
    </row>
    <row r="277" ht="15.75" customHeight="1">
      <c r="A277" s="422" t="s">
        <v>1066</v>
      </c>
      <c r="B277" s="423">
        <v>66276.0</v>
      </c>
      <c r="C277" s="424">
        <v>1.0</v>
      </c>
      <c r="D277" s="425">
        <f t="shared" si="18"/>
        <v>66276</v>
      </c>
      <c r="E277" s="430"/>
    </row>
    <row r="278" ht="15.75" customHeight="1">
      <c r="A278" s="421" t="s">
        <v>1067</v>
      </c>
      <c r="B278" s="47"/>
      <c r="C278" s="12"/>
      <c r="D278" s="428">
        <f>SUM(D275:D277)</f>
        <v>172552</v>
      </c>
      <c r="E278" s="369" t="s">
        <v>5</v>
      </c>
    </row>
    <row r="279" ht="15.75" customHeight="1">
      <c r="A279" s="421" t="s">
        <v>1072</v>
      </c>
      <c r="B279" s="47"/>
      <c r="C279" s="12"/>
      <c r="D279" s="428">
        <f>D278+D274+D270+D260+D243+D235</f>
        <v>739503.16</v>
      </c>
    </row>
    <row r="280" ht="15.75" customHeight="1"/>
    <row r="281" ht="15.75" customHeight="1"/>
    <row r="282" ht="15.75" customHeight="1"/>
    <row r="283" ht="15.75" customHeight="1">
      <c r="A283" s="431" t="s">
        <v>1073</v>
      </c>
      <c r="B283" s="47"/>
      <c r="C283" s="47"/>
      <c r="D283" s="47"/>
      <c r="E283" s="12"/>
    </row>
    <row r="284" ht="15.75" customHeight="1">
      <c r="A284" s="352" t="s">
        <v>757</v>
      </c>
      <c r="B284" s="353" t="s">
        <v>22</v>
      </c>
      <c r="C284" s="353" t="s">
        <v>23</v>
      </c>
      <c r="D284" s="353" t="s">
        <v>24</v>
      </c>
      <c r="E284" s="353" t="s">
        <v>758</v>
      </c>
      <c r="G284" s="432" t="s">
        <v>1074</v>
      </c>
    </row>
    <row r="285" ht="15.75" customHeight="1">
      <c r="A285" s="433" t="s">
        <v>1075</v>
      </c>
      <c r="B285" s="434">
        <v>10000.0</v>
      </c>
      <c r="C285" s="435">
        <v>1.0</v>
      </c>
      <c r="D285" s="436">
        <f t="shared" ref="D285:D289" si="19">B285*C285</f>
        <v>10000</v>
      </c>
      <c r="E285" s="437" t="s">
        <v>1076</v>
      </c>
      <c r="G285" s="438">
        <v>2.5</v>
      </c>
    </row>
    <row r="286" ht="15.75" customHeight="1">
      <c r="A286" s="433" t="s">
        <v>1077</v>
      </c>
      <c r="B286" s="434">
        <v>3800.0</v>
      </c>
      <c r="C286" s="435">
        <v>1.0</v>
      </c>
      <c r="D286" s="436">
        <f t="shared" si="19"/>
        <v>3800</v>
      </c>
      <c r="E286" s="437" t="s">
        <v>1078</v>
      </c>
      <c r="G286" s="439" t="s">
        <v>1079</v>
      </c>
      <c r="H286" s="440">
        <f>D293*G285</f>
        <v>90750</v>
      </c>
      <c r="I286" s="56" t="s">
        <v>1080</v>
      </c>
    </row>
    <row r="287" ht="15.75" customHeight="1">
      <c r="A287" s="433" t="s">
        <v>1081</v>
      </c>
      <c r="B287" s="434">
        <v>9000.0</v>
      </c>
      <c r="C287" s="435">
        <v>1.0</v>
      </c>
      <c r="D287" s="436">
        <f t="shared" si="19"/>
        <v>9000</v>
      </c>
      <c r="E287" s="437" t="s">
        <v>1082</v>
      </c>
      <c r="G287" s="439" t="s">
        <v>1083</v>
      </c>
      <c r="H287" s="198">
        <f>H286-D293</f>
        <v>54450</v>
      </c>
    </row>
    <row r="288" ht="15.75" customHeight="1">
      <c r="A288" s="433" t="s">
        <v>1084</v>
      </c>
      <c r="B288" s="434">
        <v>11000.0</v>
      </c>
      <c r="C288" s="435">
        <v>1.0</v>
      </c>
      <c r="D288" s="436">
        <f t="shared" si="19"/>
        <v>11000</v>
      </c>
      <c r="E288" s="437" t="s">
        <v>1085</v>
      </c>
      <c r="G288" s="439" t="s">
        <v>1086</v>
      </c>
      <c r="H288" s="361">
        <f>(H286-D293)/H286</f>
        <v>0.6</v>
      </c>
    </row>
    <row r="289" ht="15.75" customHeight="1">
      <c r="A289" s="433" t="s">
        <v>1087</v>
      </c>
      <c r="B289" s="434">
        <v>2500.0</v>
      </c>
      <c r="C289" s="435">
        <v>1.0</v>
      </c>
      <c r="D289" s="436">
        <f t="shared" si="19"/>
        <v>2500</v>
      </c>
      <c r="E289" s="441"/>
    </row>
    <row r="290" ht="15.75" customHeight="1">
      <c r="A290" s="433"/>
      <c r="B290" s="434"/>
      <c r="C290" s="435"/>
      <c r="D290" s="436"/>
      <c r="E290" s="441"/>
    </row>
    <row r="291" ht="15.75" customHeight="1">
      <c r="A291" s="433"/>
      <c r="B291" s="434"/>
      <c r="C291" s="435"/>
      <c r="D291" s="436"/>
      <c r="E291" s="441"/>
    </row>
    <row r="292" ht="15.75" customHeight="1">
      <c r="A292" s="433"/>
      <c r="B292" s="434"/>
      <c r="C292" s="435"/>
      <c r="D292" s="436"/>
      <c r="E292" s="441"/>
    </row>
    <row r="293" ht="15.75" customHeight="1">
      <c r="A293" s="442" t="s">
        <v>1088</v>
      </c>
      <c r="B293" s="47"/>
      <c r="C293" s="12"/>
      <c r="D293" s="443">
        <f>SUM(D285:D292)</f>
        <v>36300</v>
      </c>
      <c r="E293" s="369" t="s">
        <v>5</v>
      </c>
      <c r="G293" s="432" t="s">
        <v>1074</v>
      </c>
    </row>
    <row r="294" ht="15.75" customHeight="1">
      <c r="A294" s="433" t="s">
        <v>1075</v>
      </c>
      <c r="B294" s="434">
        <v>10000.0</v>
      </c>
      <c r="C294" s="435">
        <v>1.0</v>
      </c>
      <c r="D294" s="436">
        <f t="shared" ref="D294:D300" si="20">B294*C294</f>
        <v>10000</v>
      </c>
      <c r="E294" s="437" t="s">
        <v>1076</v>
      </c>
      <c r="G294" s="438">
        <v>2.5</v>
      </c>
    </row>
    <row r="295" ht="15.75" customHeight="1">
      <c r="A295" s="433" t="s">
        <v>1077</v>
      </c>
      <c r="B295" s="434">
        <v>3800.0</v>
      </c>
      <c r="C295" s="435">
        <v>1.0</v>
      </c>
      <c r="D295" s="436">
        <f t="shared" si="20"/>
        <v>3800</v>
      </c>
      <c r="E295" s="437" t="s">
        <v>1078</v>
      </c>
      <c r="G295" s="439" t="s">
        <v>1079</v>
      </c>
      <c r="H295" s="444">
        <f>D303*G294</f>
        <v>113250</v>
      </c>
      <c r="I295" s="56" t="s">
        <v>1089</v>
      </c>
    </row>
    <row r="296" ht="15.75" customHeight="1">
      <c r="A296" s="433" t="s">
        <v>1081</v>
      </c>
      <c r="B296" s="434">
        <v>9000.0</v>
      </c>
      <c r="C296" s="435">
        <v>1.0</v>
      </c>
      <c r="D296" s="436">
        <f t="shared" si="20"/>
        <v>9000</v>
      </c>
      <c r="E296" s="437" t="s">
        <v>1082</v>
      </c>
      <c r="G296" s="439" t="s">
        <v>1083</v>
      </c>
      <c r="H296" s="445">
        <f>H295-D303</f>
        <v>67950</v>
      </c>
    </row>
    <row r="297" ht="15.75" customHeight="1">
      <c r="A297" s="433" t="s">
        <v>1090</v>
      </c>
      <c r="B297" s="434">
        <v>5000.0</v>
      </c>
      <c r="C297" s="435">
        <v>1.0</v>
      </c>
      <c r="D297" s="436">
        <f t="shared" si="20"/>
        <v>5000</v>
      </c>
      <c r="E297" s="437" t="s">
        <v>1010</v>
      </c>
      <c r="G297" s="439" t="s">
        <v>1086</v>
      </c>
      <c r="H297" s="361">
        <f>(H295-D303)/H295</f>
        <v>0.6</v>
      </c>
    </row>
    <row r="298" ht="15.75" customHeight="1">
      <c r="A298" s="433" t="s">
        <v>1084</v>
      </c>
      <c r="B298" s="434">
        <v>11000.0</v>
      </c>
      <c r="C298" s="435">
        <v>1.0</v>
      </c>
      <c r="D298" s="436">
        <f t="shared" si="20"/>
        <v>11000</v>
      </c>
      <c r="E298" s="437" t="s">
        <v>1085</v>
      </c>
    </row>
    <row r="299" ht="15.75" customHeight="1">
      <c r="A299" s="433" t="s">
        <v>1091</v>
      </c>
      <c r="B299" s="434">
        <v>4000.0</v>
      </c>
      <c r="C299" s="435">
        <v>1.0</v>
      </c>
      <c r="D299" s="436">
        <f t="shared" si="20"/>
        <v>4000</v>
      </c>
      <c r="E299" s="441"/>
    </row>
    <row r="300" ht="15.75" customHeight="1">
      <c r="A300" s="433" t="s">
        <v>1087</v>
      </c>
      <c r="B300" s="434">
        <v>2500.0</v>
      </c>
      <c r="C300" s="435">
        <v>1.0</v>
      </c>
      <c r="D300" s="436">
        <f t="shared" si="20"/>
        <v>2500</v>
      </c>
      <c r="E300" s="441"/>
    </row>
    <row r="301" ht="15.75" customHeight="1">
      <c r="A301" s="433"/>
      <c r="B301" s="434"/>
      <c r="C301" s="435"/>
      <c r="D301" s="436"/>
      <c r="E301" s="441"/>
    </row>
    <row r="302" ht="15.75" customHeight="1">
      <c r="A302" s="433"/>
      <c r="B302" s="434"/>
      <c r="C302" s="435"/>
      <c r="D302" s="436"/>
      <c r="E302" s="441"/>
    </row>
    <row r="303" ht="15.75" customHeight="1">
      <c r="A303" s="442" t="s">
        <v>1092</v>
      </c>
      <c r="B303" s="47"/>
      <c r="C303" s="12"/>
      <c r="D303" s="443">
        <f>SUM(D294:D302)</f>
        <v>45300</v>
      </c>
      <c r="E303" s="369" t="s">
        <v>5</v>
      </c>
      <c r="G303" s="432" t="s">
        <v>1074</v>
      </c>
    </row>
    <row r="304" ht="15.75" customHeight="1">
      <c r="A304" s="433" t="s">
        <v>1075</v>
      </c>
      <c r="B304" s="434">
        <v>10000.0</v>
      </c>
      <c r="C304" s="435">
        <v>1.0</v>
      </c>
      <c r="D304" s="436">
        <f t="shared" ref="D304:D312" si="21">B304*C304</f>
        <v>10000</v>
      </c>
      <c r="E304" s="437" t="s">
        <v>1076</v>
      </c>
      <c r="G304" s="438">
        <v>2.5</v>
      </c>
    </row>
    <row r="305" ht="15.75" customHeight="1">
      <c r="A305" s="433" t="s">
        <v>1077</v>
      </c>
      <c r="B305" s="434">
        <v>3800.0</v>
      </c>
      <c r="C305" s="435">
        <v>1.0</v>
      </c>
      <c r="D305" s="436">
        <f t="shared" si="21"/>
        <v>3800</v>
      </c>
      <c r="E305" s="437" t="s">
        <v>1078</v>
      </c>
      <c r="G305" s="439" t="s">
        <v>1079</v>
      </c>
      <c r="H305" s="440">
        <f>D314*G304</f>
        <v>150675</v>
      </c>
      <c r="I305" s="56" t="s">
        <v>1093</v>
      </c>
    </row>
    <row r="306" ht="15.75" customHeight="1">
      <c r="A306" s="433" t="s">
        <v>1081</v>
      </c>
      <c r="B306" s="434">
        <v>9000.0</v>
      </c>
      <c r="C306" s="435">
        <v>1.0</v>
      </c>
      <c r="D306" s="436">
        <f t="shared" si="21"/>
        <v>9000</v>
      </c>
      <c r="E306" s="437" t="s">
        <v>1082</v>
      </c>
      <c r="G306" s="439" t="s">
        <v>1083</v>
      </c>
      <c r="H306" s="198">
        <f>H305-D314</f>
        <v>90405</v>
      </c>
    </row>
    <row r="307" ht="15.75" customHeight="1">
      <c r="A307" s="433" t="s">
        <v>1090</v>
      </c>
      <c r="B307" s="434">
        <v>5000.0</v>
      </c>
      <c r="C307" s="435">
        <v>1.0</v>
      </c>
      <c r="D307" s="436">
        <f t="shared" si="21"/>
        <v>5000</v>
      </c>
      <c r="E307" s="437" t="s">
        <v>1010</v>
      </c>
      <c r="G307" s="439" t="s">
        <v>1086</v>
      </c>
      <c r="H307" s="361">
        <f>(H305-D314)/H305</f>
        <v>0.6</v>
      </c>
    </row>
    <row r="308" ht="15.75" customHeight="1">
      <c r="A308" s="433" t="s">
        <v>1094</v>
      </c>
      <c r="B308" s="434">
        <v>9970.0</v>
      </c>
      <c r="C308" s="435">
        <v>1.0</v>
      </c>
      <c r="D308" s="436">
        <f t="shared" si="21"/>
        <v>9970</v>
      </c>
      <c r="E308" s="446"/>
    </row>
    <row r="309" ht="15.75" customHeight="1">
      <c r="A309" s="433" t="s">
        <v>1084</v>
      </c>
      <c r="B309" s="434">
        <v>11000.0</v>
      </c>
      <c r="C309" s="435">
        <v>1.0</v>
      </c>
      <c r="D309" s="436">
        <f t="shared" si="21"/>
        <v>11000</v>
      </c>
      <c r="E309" s="437" t="s">
        <v>1085</v>
      </c>
    </row>
    <row r="310" ht="15.75" customHeight="1">
      <c r="A310" s="433" t="s">
        <v>1091</v>
      </c>
      <c r="B310" s="434">
        <v>4000.0</v>
      </c>
      <c r="C310" s="435">
        <v>1.0</v>
      </c>
      <c r="D310" s="436">
        <f t="shared" si="21"/>
        <v>4000</v>
      </c>
      <c r="E310" s="441"/>
    </row>
    <row r="311" ht="15.75" customHeight="1">
      <c r="A311" s="433" t="s">
        <v>1087</v>
      </c>
      <c r="B311" s="434">
        <v>2500.0</v>
      </c>
      <c r="C311" s="435">
        <v>1.0</v>
      </c>
      <c r="D311" s="436">
        <f t="shared" si="21"/>
        <v>2500</v>
      </c>
      <c r="E311" s="441"/>
    </row>
    <row r="312" ht="15.75" customHeight="1">
      <c r="A312" s="433" t="s">
        <v>1095</v>
      </c>
      <c r="B312" s="434">
        <v>5000.0</v>
      </c>
      <c r="C312" s="435">
        <v>1.0</v>
      </c>
      <c r="D312" s="436">
        <f t="shared" si="21"/>
        <v>5000</v>
      </c>
      <c r="E312" s="437" t="s">
        <v>1096</v>
      </c>
    </row>
    <row r="313" ht="15.75" customHeight="1">
      <c r="A313" s="433"/>
      <c r="B313" s="434"/>
      <c r="C313" s="435"/>
      <c r="D313" s="436"/>
      <c r="E313" s="441"/>
    </row>
    <row r="314" ht="15.75" customHeight="1">
      <c r="A314" s="442" t="s">
        <v>1097</v>
      </c>
      <c r="B314" s="47"/>
      <c r="C314" s="12"/>
      <c r="D314" s="443">
        <f>SUM(D304:D313)</f>
        <v>60270</v>
      </c>
      <c r="E314" s="369" t="s">
        <v>5</v>
      </c>
      <c r="G314" s="432" t="s">
        <v>1074</v>
      </c>
    </row>
    <row r="315" ht="15.75" customHeight="1">
      <c r="A315" s="433" t="s">
        <v>1098</v>
      </c>
      <c r="B315" s="434">
        <v>2000.0</v>
      </c>
      <c r="C315" s="435">
        <v>1.0</v>
      </c>
      <c r="D315" s="436">
        <f t="shared" ref="D315:D321" si="22">B315*C315</f>
        <v>2000</v>
      </c>
      <c r="E315" s="446"/>
      <c r="G315" s="438">
        <v>1.42</v>
      </c>
    </row>
    <row r="316" ht="15.75" customHeight="1">
      <c r="A316" s="433" t="s">
        <v>1099</v>
      </c>
      <c r="B316" s="434">
        <v>8800.0</v>
      </c>
      <c r="C316" s="435">
        <v>2.0</v>
      </c>
      <c r="D316" s="436">
        <f t="shared" si="22"/>
        <v>17600</v>
      </c>
      <c r="E316" s="437" t="s">
        <v>1100</v>
      </c>
      <c r="G316" s="439" t="s">
        <v>1079</v>
      </c>
      <c r="H316" s="440">
        <f>D323*G315</f>
        <v>82355.5412</v>
      </c>
    </row>
    <row r="317" ht="15.75" customHeight="1">
      <c r="A317" s="433" t="s">
        <v>1101</v>
      </c>
      <c r="B317" s="434">
        <v>4750.0</v>
      </c>
      <c r="C317" s="435">
        <v>1.0</v>
      </c>
      <c r="D317" s="436">
        <f t="shared" si="22"/>
        <v>4750</v>
      </c>
      <c r="E317" s="437" t="s">
        <v>1102</v>
      </c>
      <c r="G317" s="439" t="s">
        <v>1083</v>
      </c>
      <c r="H317" s="198">
        <f>H316-D323</f>
        <v>24358.6812</v>
      </c>
    </row>
    <row r="318" ht="15.75" customHeight="1">
      <c r="A318" s="433" t="s">
        <v>1103</v>
      </c>
      <c r="B318" s="434">
        <v>3800.0</v>
      </c>
      <c r="C318" s="435">
        <v>1.0</v>
      </c>
      <c r="D318" s="436">
        <f t="shared" si="22"/>
        <v>3800</v>
      </c>
      <c r="E318" s="437" t="s">
        <v>1104</v>
      </c>
      <c r="G318" s="439" t="s">
        <v>1086</v>
      </c>
      <c r="H318" s="361">
        <f>(H316-D323)/H316</f>
        <v>0.2957746479</v>
      </c>
    </row>
    <row r="319" ht="15.75" customHeight="1">
      <c r="A319" s="433" t="s">
        <v>1084</v>
      </c>
      <c r="B319" s="434">
        <v>11000.0</v>
      </c>
      <c r="C319" s="435">
        <v>1.0</v>
      </c>
      <c r="D319" s="436">
        <f t="shared" si="22"/>
        <v>11000</v>
      </c>
      <c r="E319" s="437" t="s">
        <v>1085</v>
      </c>
    </row>
    <row r="320" ht="15.75" customHeight="1">
      <c r="A320" s="433" t="s">
        <v>1091</v>
      </c>
      <c r="B320" s="434">
        <v>4000.0</v>
      </c>
      <c r="C320" s="435">
        <v>1.0</v>
      </c>
      <c r="D320" s="436">
        <f t="shared" si="22"/>
        <v>4000</v>
      </c>
      <c r="E320" s="441"/>
    </row>
    <row r="321" ht="15.75" customHeight="1">
      <c r="A321" s="433" t="s">
        <v>1105</v>
      </c>
      <c r="B321" s="434">
        <v>14846.86</v>
      </c>
      <c r="C321" s="435">
        <v>1.0</v>
      </c>
      <c r="D321" s="436">
        <f t="shared" si="22"/>
        <v>14846.86</v>
      </c>
      <c r="E321" s="441"/>
    </row>
    <row r="322" ht="15.75" customHeight="1">
      <c r="A322" s="433"/>
      <c r="B322" s="434"/>
      <c r="C322" s="435"/>
      <c r="D322" s="436"/>
      <c r="E322" s="441"/>
    </row>
    <row r="323" ht="15.75" customHeight="1">
      <c r="A323" s="442" t="s">
        <v>1106</v>
      </c>
      <c r="B323" s="47"/>
      <c r="C323" s="12"/>
      <c r="D323" s="443">
        <f>SUM(D315:D322)</f>
        <v>57996.86</v>
      </c>
      <c r="E323" s="369" t="s">
        <v>5</v>
      </c>
    </row>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46">
    <mergeCell ref="A2:E2"/>
    <mergeCell ref="G2:R2"/>
    <mergeCell ref="A33:C33"/>
    <mergeCell ref="A36:E36"/>
    <mergeCell ref="A44:C44"/>
    <mergeCell ref="A47:E47"/>
    <mergeCell ref="A55:C55"/>
    <mergeCell ref="A58:E58"/>
    <mergeCell ref="A60:E60"/>
    <mergeCell ref="A88:C88"/>
    <mergeCell ref="D88:E88"/>
    <mergeCell ref="A89:E89"/>
    <mergeCell ref="A146:C146"/>
    <mergeCell ref="D146:E146"/>
    <mergeCell ref="A147:C147"/>
    <mergeCell ref="A153:E153"/>
    <mergeCell ref="A164:C164"/>
    <mergeCell ref="A167:E167"/>
    <mergeCell ref="A177:C177"/>
    <mergeCell ref="A185:C185"/>
    <mergeCell ref="A202:C202"/>
    <mergeCell ref="A213:C213"/>
    <mergeCell ref="A217:C217"/>
    <mergeCell ref="A221:C221"/>
    <mergeCell ref="A222:C222"/>
    <mergeCell ref="A225:E225"/>
    <mergeCell ref="A235:C235"/>
    <mergeCell ref="A243:C243"/>
    <mergeCell ref="A279:C279"/>
    <mergeCell ref="A293:C293"/>
    <mergeCell ref="A303:C303"/>
    <mergeCell ref="A314:C314"/>
    <mergeCell ref="A323:C323"/>
    <mergeCell ref="G293:H293"/>
    <mergeCell ref="G294:H294"/>
    <mergeCell ref="G303:H303"/>
    <mergeCell ref="G304:H304"/>
    <mergeCell ref="G314:H314"/>
    <mergeCell ref="G315:H315"/>
    <mergeCell ref="A260:C260"/>
    <mergeCell ref="A270:C270"/>
    <mergeCell ref="A274:C274"/>
    <mergeCell ref="A278:C278"/>
    <mergeCell ref="A283:E283"/>
    <mergeCell ref="G284:H284"/>
    <mergeCell ref="G285:H285"/>
  </mergeCells>
  <hyperlinks>
    <hyperlink r:id="rId2" location="is_advertising=true&amp;searchVariation=MLA19814725&amp;backend_model=search-backend&amp;be_origin=backend&amp;position=2&amp;search_layout=grid&amp;type=pad&amp;tracking_id=52f71372-346d-4ea9-b34a-46a13e94b834&amp;ad_domain=VQCATCORE_LST&amp;ad_position=2&amp;ad_click_id=YzY0Mzc2MmYtYThlNi00ZTgyLWJlNDAtYmNkNmZhNGE0ZTE0" ref="E4"/>
    <hyperlink r:id="rId3" location="polycard_client=search-desktop&amp;be_origin=backend&amp;search_layout=grid&amp;position=12&amp;type=product&amp;tracking_id=7f12b2a5-c287-47f9-a06c-237b742b4a3e&amp;wid=MLA1344524638&amp;sid=search" ref="E5"/>
    <hyperlink r:id="rId4" location="polycard_client=search-desktop&amp;be_origin=backend&amp;search_layout=grid&amp;position=3&amp;type=product&amp;tracking_id=6a8320a8-51b9-4f24-8243-85541f2ca2ec&amp;wid=MLA2881099898&amp;sid=search" ref="E6"/>
    <hyperlink r:id="rId5" location="is_advertising=true&amp;searchVariation=MLA2079413843&amp;backend_model=search-backend&amp;be_origin=backend&amp;position=3&amp;search_layout=grid&amp;type=pad&amp;tracking_id=7a2018e0-b777-4680-a481-92d9f6258cd1&amp;ad_domain=VQCATCORE_LST&amp;ad_position=3&amp;ad_click_id=ZGM4YTU5MjEtMDdiOS00MjQyLTk0OTktMjMwOTNjYmVlYzk5" ref="E7"/>
    <hyperlink r:id="rId6" location="polycard_client=search-desktop&amp;be_origin=backend&amp;search_layout=grid&amp;position=6&amp;type=product&amp;tracking_id=fbd38d23-45c3-4d9c-be84-8ca73183257d&amp;wid=MLA1427465140&amp;sid=search" ref="E8"/>
    <hyperlink r:id="rId7" location="is_advertising=true&amp;searchVariation=MLA66475140&amp;backend_model=search-backend&amp;be_origin=backend&amp;position=1&amp;search_layout=grid&amp;type=pad&amp;tracking_id=50224ece-d758-454b-9fea-85f6c6c0dc51&amp;ad_domain=VQCATCORE_LST&amp;ad_position=1&amp;ad_click_id=MzM5OGNhMjAtMDQzNi00ZGYzLThjYWQtMzJlNTc2OTYyYmNm" ref="E9"/>
    <hyperlink r:id="rId8" location="polycard_client=search-desktop&amp;be_origin=backend&amp;search_layout=grid&amp;position=1&amp;type=product&amp;tracking_id=0510e84d-62ee-4607-9cc7-552686e37a72&amp;wid=MLA2055765538&amp;sid=search" ref="E10"/>
    <hyperlink r:id="rId9" location="polycard_client=search-desktop&amp;be_origin=backend&amp;search_layout=grid&amp;position=1&amp;type=product&amp;tracking_id=19b4ffc1-f144-47f3-b5a7-712e2d4cbbc0&amp;wid=MLA2640910412&amp;sid=search" ref="E11"/>
    <hyperlink r:id="rId10" location="is_advertising=true&amp;searchVariation=MLAU172121772&amp;backend_model=search-backend&amp;be_origin=backend&amp;position=13&amp;search_layout=grid&amp;type=pad&amp;tracking_id=858c37c3-e105-4956-9c6a-3c8433921c34&amp;ad_domain=VQCATCORE_LST&amp;ad_position=13&amp;ad_click_id=YzAyODcwZjctY2I0OS00ODYzLWE4NzMtMzU3N2FiZjAxZWI3" ref="E12"/>
    <hyperlink r:id="rId11" location="polycard_client=search-desktop&amp;be_origin=backend&amp;search_layout=grid&amp;position=1&amp;type=product&amp;tracking_id=0448e4dc-ee51-4e0f-b2d8-f5c5e07cbc68&amp;wid=MLA1550183164&amp;sid=search" ref="E13"/>
    <hyperlink r:id="rId12" location="polycard_client=search-desktop&amp;be_origin=backend&amp;search_layout=grid&amp;position=3&amp;type=product&amp;tracking_id=2974a200-0309-4baf-9d6d-b91296d9caaa&amp;wid=MLA3425470332&amp;sid=search" ref="E14"/>
    <hyperlink r:id="rId13" ref="E15"/>
    <hyperlink r:id="rId14" location="is_advertising=true&amp;searchVariation=MLAU251662112&amp;backend_model=search-backend&amp;be_origin=backend&amp;position=3&amp;search_layout=grid&amp;type=pad&amp;tracking_id=61a3a705-1196-47e3-8002-5ccfdc2da29b&amp;ad_domain=VQCATCORE_LST&amp;ad_position=3&amp;ad_click_id=Y2ZlMGQ1NDgtODgzNy00MmVjLTg3M2YtZDkyOGVhYjA5M2M0" ref="E16"/>
    <hyperlink r:id="rId15" location="is_advertising=true&amp;searchVariation=181679942565&amp;backend_model=search-backend&amp;be_origin=fallback&amp;position=2&amp;search_layout=grid&amp;type=pad&amp;tracking_id=12cfe631-b64b-4674-8327-3a8fb764ec5d&amp;ad_domain=VQCATCORE_LST&amp;ad_position=2&amp;ad_click_id=OTA2ZDRiYzYtMTk0Ny00NmI0LThlNzItMGRkMjllNDhiNDIw" ref="E17"/>
    <hyperlink r:id="rId16" location="polycard_client=search-desktop&amp;be_origin=backend&amp;search_layout=grid&amp;position=1&amp;type=product&amp;tracking_id=3106679b-f92b-4e86-87d1-0986665ac602&amp;wid=MLA2308182170&amp;sid=search" ref="E18"/>
    <hyperlink r:id="rId17" location="polycard_client=search-desktop&amp;be_origin=backend&amp;search_layout=grid&amp;position=1&amp;type=product&amp;tracking_id=282fcced-9d78-4739-b508-2705890e8063&amp;wid=MLA1577043742&amp;sid=search" ref="E19"/>
    <hyperlink r:id="rId18" location="polycard_client=search-desktop&amp;be_origin=backend&amp;search_layout=grid&amp;position=11&amp;type=product&amp;tracking_id=3645a96f-5562-444f-91dd-343b4d7a2f0d&amp;wid=MLA2393185416&amp;sid=search" ref="E20"/>
    <hyperlink r:id="rId19" location="polycard_client=search-desktop&amp;be_origin=backend&amp;search_layout=grid&amp;position=1&amp;type=product&amp;tracking_id=2199cd61-d95f-4eb6-97ff-a819cbd339a0&amp;wid=MLA784733418&amp;sid=search" ref="E21"/>
    <hyperlink r:id="rId20" location="polycard_client=search-desktop&amp;be_origin=backend&amp;search_layout=grid&amp;position=1&amp;type=product&amp;tracking_id=9a5cc990-3635-462b-92a9-6c9bb1b67f13&amp;wid=MLA1469873627&amp;sid=search" ref="E22"/>
    <hyperlink r:id="rId21" location="is_advertising=true&amp;searchVariation=MLA16134550&amp;backend_model=search-backend&amp;be_origin=backend&amp;position=2&amp;search_layout=grid&amp;type=pad&amp;tracking_id=b00135a6-8296-481f-bf4f-8d33268c463d&amp;ad_domain=VQCATCORE_LST&amp;ad_position=2&amp;ad_click_id=MDQ2OTA5YWQtODc4Ny00OTRjLWJkNjMtZmNhZDhkODI1NThh" ref="E23"/>
    <hyperlink r:id="rId22" location="is_advertising=true&amp;searchVariation=MLA16134550&amp;backend_model=search-backend&amp;be_origin=backend&amp;position=2&amp;search_layout=grid&amp;type=pad&amp;tracking_id=b00135a6-8296-481f-bf4f-8d33268c463d&amp;ad_domain=VQCATCORE_LST&amp;ad_position=2&amp;ad_click_id=MDQ2OTA5YWQtODc4Ny00OTRjLWJkNjMtZmNhZDhkODI1NThh" ref="E24"/>
    <hyperlink r:id="rId23" location="polycard_client=search-desktop&amp;be_origin=backend&amp;search_layout=grid&amp;position=1&amp;type=product&amp;tracking_id=28bb1b2d-2b95-47f2-a1b7-76394d68cfa9&amp;wid=MLA2864286584&amp;sid=search" ref="E25"/>
    <hyperlink r:id="rId24" location="polycard_client=search-desktop&amp;be_origin=backend&amp;search_layout=grid&amp;position=1&amp;type=product&amp;tracking_id=d67e0759-077e-4733-a683-4db29399e080&amp;wid=MLA1552750987&amp;sid=search" ref="E26"/>
    <hyperlink r:id="rId25" location="polycard_client=search-desktop&amp;be_origin=backend&amp;search_layout=grid&amp;position=4&amp;type=product&amp;tracking_id=d45db08c-b3e7-4f70-87b5-ec6af31333b8&amp;wid=MLA2187790980&amp;sid=search" ref="E27"/>
    <hyperlink r:id="rId26" location="polycard_client=search-desktop&amp;be_origin=backend&amp;search_layout=grid&amp;position=4&amp;type=product&amp;tracking_id=8f3c7d80-3227-4596-a39a-ab134b29ba5c&amp;wid=MLA1742837792&amp;sid=search" ref="E28"/>
    <hyperlink r:id="rId27" ref="E29"/>
    <hyperlink r:id="rId28" location="is_advertising=true&amp;searchVariation=MLA53768746&amp;backend_model=search-backend&amp;be_origin=backend&amp;position=1&amp;search_layout=grid&amp;type=pad&amp;tracking_id=6ae04f76-5b78-4bd3-bbe0-9714e22d7833&amp;ad_domain=VQCATCORE_LST&amp;ad_position=1&amp;ad_click_id=Y2ExYzljOGQtNDJkMi00NDljLWI4MWUtNWY0ZjM3ODY3NTRl" ref="E30"/>
    <hyperlink r:id="rId29" location="polycard_client=search-desktop&amp;be_origin=backend&amp;search_layout=grid&amp;position=11&amp;type=product&amp;tracking_id=6c7c9f39-b13e-481a-b53a-2207c1ba395f&amp;wid=MLA1835403235&amp;sid=search" ref="E31"/>
    <hyperlink r:id="rId30" location="is_advertising=true&amp;searchVariation=MLA62390963&amp;backend_model=search-backend&amp;be_origin=backend&amp;position=15&amp;search_layout=grid&amp;type=pad&amp;tracking_id=f31ecef4-f499-4b95-8a02-f222c8c6fe50&amp;ad_domain=VQCATCORE_LST&amp;ad_position=15&amp;ad_click_id=NGVkZDY1OTAtZTBmMy00MWI3LTllYTctOTc5NWM1NDNhM2Rk" ref="E32"/>
    <hyperlink r:id="rId31" ref="E38"/>
    <hyperlink r:id="rId32" ref="E39"/>
    <hyperlink r:id="rId33" ref="E40"/>
    <hyperlink r:id="rId34" ref="E41"/>
    <hyperlink r:id="rId35" ref="E42"/>
    <hyperlink r:id="rId36" ref="E43"/>
    <hyperlink r:id="rId37" location="is_advertising=true&amp;searchVariation=MLA69897374&amp;backend_model=search-backend&amp;be_origin=backend&amp;position=3&amp;search_layout=grid&amp;type=pad&amp;tracking_id=1335c266-72a3-4b5c-8245-64e17fed5615&amp;ad_domain=VQCATCORE_LST&amp;ad_position=3&amp;ad_click_id=N2Y2ZDc2NTYtYjFkNi00ODg1LWFiYjktOTczZTg3NmE5NjE2" ref="E49"/>
    <hyperlink r:id="rId38" location="is_advertising=true&amp;searchVariation=MLAU3781123456&amp;backend_model=search-backend&amp;be_origin=backend&amp;position=3&amp;search_layout=grid&amp;type=pad&amp;tracking_id=f6d0ab2e-d3d2-413d-84b9-6077edcb6737&amp;ad_domain=VQCATCORE_LST&amp;ad_position=3&amp;ad_click_id=YTdiYTY2MjgtNmE4Ni00NmIyLThhZTgtNTkzNWJmOGY1MzA3" ref="E50"/>
    <hyperlink r:id="rId39" location="is_advertising=true&amp;searchVariation=MLA28166421&amp;backend_model=search-backend&amp;be_origin=backend&amp;position=2&amp;search_layout=grid&amp;type=pad&amp;tracking_id=5c61abce-ab0d-461b-9d12-5e8abd5ca63d&amp;ad_domain=VQCATCORE_LST&amp;ad_position=2&amp;ad_click_id=NjNkYjE5MmYtZjZlNS00N2M1LWI1OTItOWZiZDI5YTc2MGZm" ref="E51"/>
    <hyperlink r:id="rId40" location="polycard_client=search-desktop&amp;be_origin=backend&amp;search_layout=grid&amp;position=8&amp;type=product&amp;tracking_id=dded79e7-033a-4578-9325-23093112b750&amp;wid=MLA2474765542&amp;sid=search" ref="E52"/>
    <hyperlink r:id="rId41" location="polycard_client=search-desktop&amp;be_origin=backend&amp;search_layout=grid&amp;position=5&amp;type=product&amp;tracking_id=2e00d185-4932-4f66-a4e4-47a118eafd2f&amp;wid=MLA874980542&amp;sid=search" ref="E53"/>
    <hyperlink r:id="rId42" location="is_advertising=true&amp;searchVariation=MLAU232854199&amp;backend_model=search-backend&amp;be_origin=backend&amp;position=16&amp;search_layout=grid&amp;type=pad&amp;tracking_id=43ac30ea-9a48-4335-8de5-4134c940fbd9&amp;ad_domain=VQCATCORE_LST&amp;ad_position=16&amp;ad_click_id=NTQ3ODRmNDEtYTQ0Ni00NzBjLWI4MGMtZDkxMTRkNzFlOTgz" ref="E54"/>
    <hyperlink r:id="rId43" ref="E61"/>
    <hyperlink r:id="rId44" ref="E62"/>
    <hyperlink r:id="rId45" location="polycard_client=search-desktop&amp;be_origin=backend&amp;search_layout=grid&amp;position=1&amp;type=product&amp;tracking_id=bdb9c835-6ef3-4f78-b7d4-23e5d7156b0e&amp;wid=MLA3341234350&amp;sid=search" ref="E63"/>
    <hyperlink r:id="rId46" location="polycard_client=search-desktop&amp;be_origin=backend&amp;search_layout=grid&amp;position=6&amp;type=product&amp;tracking_id=baddebec-dbdc-4564-b203-19f13b4de093&amp;wid=MLA1820760481&amp;sid=search" ref="E64"/>
    <hyperlink r:id="rId47" location="polycard_client=search-desktop&amp;be_origin=backend&amp;search_layout=grid&amp;position=10&amp;type=product&amp;tracking_id=550356fe-4b78-4ae8-b189-b0443fc3f726&amp;wid=MLA1729621609&amp;sid=search" ref="E65"/>
    <hyperlink r:id="rId48" location="is_advertising=true&amp;backend_model=search-backend&amp;be_origin=backend&amp;position=1&amp;search_layout=grid&amp;type=pad&amp;tracking_id=e16d4ac3-8866-4f5b-a3e6-c95f6993afcf&amp;ad_domain=VQCATCORE_LST&amp;ad_position=1&amp;ad_click_id=Yjc0OTNlMzQtNWNlNS00NjdlLWEyYTctOGIwZGE5ZmU1YzZi" ref="E66"/>
    <hyperlink r:id="rId49" ref="E67"/>
    <hyperlink r:id="rId50" ref="E68"/>
    <hyperlink r:id="rId51" location="polycard_client=search-desktop&amp;be_origin=backend&amp;search_layout=grid&amp;position=1&amp;type=product&amp;tracking_id=a56217fd-5007-4c93-a808-37c331525071&amp;wid=MLA2815696910&amp;sid=search" ref="E69"/>
    <hyperlink r:id="rId52" location="polycard_client=search-desktop&amp;be_origin=backend&amp;search_layout=grid&amp;position=2&amp;type=item&amp;tracking_id=7e5d7d70-1c35-4205-88c4-9e6742bd6183&amp;wid=MLA3480619620&amp;sid=search" ref="E70"/>
    <hyperlink r:id="rId53" location="is_advertising=true&amp;searchVariation=MLAU3513339558&amp;backend_model=search-backend&amp;be_origin=backend&amp;position=16&amp;search_layout=grid&amp;type=pad&amp;tracking_id=d7013632-8ef0-4d7b-ba01-8dbe5c900fb4&amp;ad_domain=VQCATCORE_LST&amp;ad_position=16&amp;ad_click_id=NjZkZGI5NmYtMzdiZi00OWMzLWEyMDItMjcwNGYzZmNmM2Mx" ref="E71"/>
    <hyperlink r:id="rId54" location="is_advertising=true&amp;searchVariation=MLAU298068675&amp;backend_model=search-backend&amp;be_origin=backend&amp;position=1&amp;search_layout=grid&amp;type=pad&amp;tracking_id=84432f6b-2bb5-472b-8796-a1b37a74c797&amp;ad_domain=VQCATCORE_SUPERMARKET&amp;ad_position=1&amp;ad_click_id=Yjg1MTQ5NzMtYmQ3YS00ZGFhLWJlNmUtMWEwYmNhOWJiZmEx" ref="E72"/>
    <hyperlink r:id="rId55" location="polycard_client=search-desktop&amp;be_origin=backend&amp;search_layout=grid&amp;position=1&amp;type=product&amp;tracking_id=cd61e355-093f-44e6-b709-8067c9b47c87&amp;wid=MLA2778622362&amp;sid=search" ref="E73"/>
    <hyperlink r:id="rId56" location="polycard_client=search-desktop&amp;be_origin=backend&amp;search_layout=grid&amp;position=2&amp;type=product&amp;float_highlight=last_units&amp;tracking_id=05809e3c-fb4a-4ba9-9f22-ebeb31f14082&amp;wid=MLA2103714458&amp;sid=search" ref="E74"/>
    <hyperlink r:id="rId57" location="polycard_client=search-desktop&amp;be_origin=backend&amp;search_layout=grid&amp;position=1&amp;type=product&amp;tracking_id=ac893b37-5c61-43b8-b036-a88f1831e9de&amp;wid=MLA1727207829&amp;sid=search" ref="E75"/>
    <hyperlink r:id="rId58" location="polycard_client=search-desktop&amp;be_origin=backend&amp;search_layout=grid&amp;position=7&amp;type=product&amp;tracking_id=24b47cce-f92c-4cbe-91dc-a57da8b4e077&amp;wid=MLA1767966779&amp;sid=search" ref="E76"/>
    <hyperlink r:id="rId59" location="polycard_client=search-desktop&amp;be_origin=backend&amp;search_layout=grid&amp;position=5&amp;type=product&amp;tracking_id=5b5aa983-92a5-4d5c-9cd1-159876c5cf19&amp;wid=MLA1540635891&amp;sid=search" ref="E77"/>
    <hyperlink r:id="rId60" location="polycard_client=search-desktop&amp;be_origin=backend&amp;search_layout=grid&amp;position=4&amp;type=product&amp;tracking_id=df68f099-fe30-4b0f-88f2-451a5d5d7e19&amp;wid=MLA1843423457&amp;sid=search" ref="E78"/>
    <hyperlink r:id="rId61" location="polycard_client=search-desktop&amp;be_origin=backend&amp;search_layout=grid&amp;position=1&amp;type=product&amp;tracking_id=0df0f473-9c25-4290-a00d-6a412f321768&amp;wid=MLA1971248512&amp;sid=search" ref="E79"/>
    <hyperlink r:id="rId62" location="polycard_client=search-desktop&amp;be_origin=backend&amp;search_layout=grid&amp;position=1&amp;type=product&amp;tracking_id=289ebf2e-7ac8-4e88-b42c-e8ab0203549f&amp;wid=MLA1971248514&amp;sid=search" ref="E80"/>
    <hyperlink r:id="rId63" location="is_advertising=true&amp;backend_model=search-backend&amp;be_origin=backend&amp;position=5&amp;search_layout=grid&amp;type=pad&amp;tracking_id=ba4ee8da-1cc3-4ba4-b427-32e422cb7b35&amp;ad_domain=VQCATCORE_LST&amp;ad_position=5&amp;ad_click_id=NThhYWYxZDQtNThmZS00MGUyLWEzZjktNjIwYjg2ZTdkMzY0" ref="E81"/>
    <hyperlink r:id="rId64" ref="E82"/>
    <hyperlink r:id="rId65" ref="E83"/>
    <hyperlink r:id="rId66" location="polycard_client=search-desktop&amp;be_origin=backend&amp;search_layout=grid&amp;position=1&amp;type=product&amp;tracking_id=2ffa2fdf-67e2-4c9f-bd8a-c0b29c2bbc8d&amp;wid=MLA1472882549&amp;sid=search" ref="E84"/>
    <hyperlink r:id="rId67" location="polycard_client=search-desktop&amp;be_origin=backend&amp;search_layout=grid&amp;position=1&amp;type=product&amp;tracking_id=8f2c9d13-7d39-4b94-b22b-3eccf83b7a65&amp;wid=MLA2078935456&amp;sid=search" ref="E85"/>
    <hyperlink r:id="rId68" ref="E86"/>
    <hyperlink r:id="rId69" location="polycard_client=search-desktop&amp;be_origin=backend&amp;search_layout=grid&amp;position=4&amp;type=product&amp;tracking_id=28b11a03-061b-4cb6-a585-1e01d1e33c6a&amp;wid=MLA627297386&amp;sid=search" ref="E87"/>
    <hyperlink r:id="rId70" ref="E91"/>
    <hyperlink r:id="rId71" ref="E92"/>
    <hyperlink r:id="rId72" ref="E93"/>
    <hyperlink r:id="rId73" ref="E94"/>
    <hyperlink r:id="rId74" ref="E95"/>
    <hyperlink r:id="rId75" ref="E96"/>
    <hyperlink r:id="rId76" ref="E97"/>
    <hyperlink r:id="rId77" ref="E98"/>
    <hyperlink r:id="rId78" ref="E99"/>
    <hyperlink r:id="rId79" ref="E100"/>
    <hyperlink r:id="rId80" ref="E101"/>
    <hyperlink r:id="rId81" ref="E102"/>
    <hyperlink r:id="rId82" ref="E103"/>
    <hyperlink r:id="rId83" ref="E104"/>
    <hyperlink r:id="rId84" ref="E105"/>
    <hyperlink r:id="rId85" ref="E106"/>
    <hyperlink r:id="rId86" ref="E107"/>
    <hyperlink r:id="rId87" ref="E108"/>
    <hyperlink r:id="rId88" ref="E109"/>
    <hyperlink r:id="rId89" ref="E110"/>
    <hyperlink r:id="rId90" ref="E111"/>
    <hyperlink r:id="rId91" ref="E112"/>
    <hyperlink r:id="rId92" ref="E113"/>
    <hyperlink r:id="rId93" ref="E115"/>
    <hyperlink r:id="rId94" ref="E116"/>
    <hyperlink r:id="rId95" ref="E117"/>
    <hyperlink r:id="rId96" ref="E118"/>
    <hyperlink r:id="rId97" ref="E119"/>
    <hyperlink r:id="rId98" ref="E120"/>
    <hyperlink r:id="rId99" ref="E121"/>
    <hyperlink r:id="rId100" ref="E122"/>
    <hyperlink r:id="rId101" ref="E123"/>
    <hyperlink r:id="rId102" ref="E124"/>
    <hyperlink r:id="rId103" ref="E125"/>
    <hyperlink r:id="rId104" ref="E126"/>
    <hyperlink r:id="rId105" location="polycard_client=search-desktop&amp;be_origin=backend&amp;search_layout=grid&amp;position=4&amp;type=product&amp;tracking_id=a1125566-9565-4745-b800-eba5cef651be&amp;wid=MLA2506809678&amp;sid=search" ref="E127"/>
    <hyperlink r:id="rId106" location="polycard_client=search-desktop&amp;be_origin=backend&amp;search_layout=grid&amp;position=19&amp;type=product&amp;tracking_id=8d93ebe9-b1c8-4e5e-96db-849773216d3d&amp;wid=MLA2421290960&amp;sid=search" ref="E128"/>
    <hyperlink r:id="rId107" ref="E129"/>
    <hyperlink r:id="rId108" ref="E130"/>
    <hyperlink r:id="rId109" ref="E131"/>
    <hyperlink r:id="rId110" ref="E132"/>
    <hyperlink r:id="rId111" ref="E133"/>
    <hyperlink r:id="rId112" ref="E134"/>
    <hyperlink r:id="rId113" ref="E135"/>
    <hyperlink r:id="rId114" ref="E136"/>
    <hyperlink r:id="rId115" ref="E137"/>
    <hyperlink r:id="rId116" location="polycard_client=search-desktop&amp;be_origin=backend&amp;search_layout=grid&amp;position=4&amp;type=product&amp;tracking_id=c5f8e69e-ff90-4437-8238-6b6485914973&amp;wid=MLA2045992884&amp;sid=search" ref="E138"/>
    <hyperlink r:id="rId117" ref="E142"/>
    <hyperlink r:id="rId118" location="polycard_client=search-desktop&amp;be_origin=backend&amp;search_layout=grid&amp;position=29&amp;type=product&amp;tracking_id=05c31469-c683-4225-9c09-70e8d6733c91&amp;wid=MLA2082705292&amp;sid=search" ref="E143"/>
    <hyperlink r:id="rId119" ref="A151"/>
    <hyperlink r:id="rId120" ref="E155"/>
    <hyperlink r:id="rId121" ref="E156"/>
    <hyperlink r:id="rId122" ref="E157"/>
    <hyperlink r:id="rId123" ref="E158"/>
    <hyperlink r:id="rId124" ref="E159"/>
    <hyperlink r:id="rId125" ref="E160"/>
    <hyperlink r:id="rId126" ref="E162"/>
    <hyperlink r:id="rId127" ref="E163"/>
    <hyperlink r:id="rId128" ref="E169"/>
    <hyperlink r:id="rId129" ref="E170"/>
    <hyperlink r:id="rId130" location="polycard_client=search-desktop&amp;be_origin=backend&amp;search_layout=grid&amp;position=29&amp;type=product&amp;tracking_id=05c31469-c683-4225-9c09-70e8d6733c91&amp;wid=MLA2082705292&amp;sid=search" ref="E171"/>
    <hyperlink r:id="rId131" ref="E172"/>
    <hyperlink r:id="rId132" location="polycard_client=search-desktop&amp;be_origin=backend&amp;search_layout=grid&amp;position=1&amp;type=product&amp;tracking_id=a56217fd-5007-4c93-a808-37c331525071&amp;wid=MLA2815696910&amp;sid=search" ref="E173"/>
    <hyperlink r:id="rId133" ref="E227"/>
    <hyperlink r:id="rId134" ref="E228"/>
    <hyperlink r:id="rId135" location="polycard_client=search-desktop&amp;be_origin=backend&amp;search_layout=grid&amp;position=29&amp;type=product&amp;tracking_id=05c31469-c683-4225-9c09-70e8d6733c91&amp;wid=MLA2082705292&amp;sid=search" ref="E229"/>
    <hyperlink r:id="rId136" ref="E230"/>
    <hyperlink r:id="rId137" location="polycard_client=search-desktop&amp;be_origin=backend&amp;search_layout=grid&amp;position=1&amp;type=product&amp;tracking_id=a56217fd-5007-4c93-a808-37c331525071&amp;wid=MLA2815696910&amp;sid=search" ref="E231"/>
    <hyperlink r:id="rId138" ref="E285"/>
    <hyperlink r:id="rId139" ref="E286"/>
    <hyperlink r:id="rId140" ref="E287"/>
    <hyperlink r:id="rId141" ref="E288"/>
    <hyperlink r:id="rId142" ref="E294"/>
    <hyperlink r:id="rId143" ref="E295"/>
    <hyperlink r:id="rId144" ref="E296"/>
    <hyperlink r:id="rId145" ref="E297"/>
    <hyperlink r:id="rId146" ref="E298"/>
    <hyperlink r:id="rId147" ref="E304"/>
    <hyperlink r:id="rId148" ref="E305"/>
    <hyperlink r:id="rId149" ref="E306"/>
    <hyperlink r:id="rId150" ref="E307"/>
    <hyperlink r:id="rId151" ref="E309"/>
    <hyperlink r:id="rId152" ref="E312"/>
    <hyperlink r:id="rId153" location="polycard_client=recommendations_vip-seller_items-above&amp;reco_backend=ranker-retsys-same-seller&amp;reco_model=rk_entity_sameseller&amp;reco_client=vip-seller_items-above&amp;reco_item_pos=1&amp;reco_backend_type=low_level&amp;reco_id=6ff879f3-74e8-459b-ac10-a6a33156e289&amp;wid=MLA1859086183&amp;sid=recos" ref="E316"/>
    <hyperlink r:id="rId154" ref="E317"/>
    <hyperlink r:id="rId155" ref="E318"/>
    <hyperlink r:id="rId156" ref="E319"/>
  </hyperlinks>
  <printOptions/>
  <pageMargins bottom="0.75" footer="0.0" header="0.0" left="0.7" right="0.7" top="0.75"/>
  <pageSetup orientation="landscape"/>
  <drawing r:id="rId157"/>
  <legacyDrawing r:id="rId158"/>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2020-07-20T21:42:29Z</dcterms:created>
  <dc:creator>usuario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0x010100B0A0978C92AED346A5B2D7523A4F38C1</vt:lpwstr>
  </property>
</Properties>
</file>