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commentsmeta2"/>
  <Override ContentType="application/binary" PartName="/xl/metadata"/>
  <Override ContentType="application/binary" PartName="/xl/commentsmeta3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.1 Detalle de inversión inicia" sheetId="1" r:id="rId4"/>
    <sheet state="visible" name="6.2 Detalle de Financiación" sheetId="2" r:id="rId5"/>
    <sheet state="visible" name="6.3 Curva de estacionalidad des" sheetId="3" r:id="rId6"/>
    <sheet state="visible" name="6.4.2 Estimación de ventas (Eje" sheetId="4" r:id="rId7"/>
    <sheet state="visible" name="6.5 Sueldos y cargas sociales" sheetId="5" r:id="rId8"/>
    <sheet state="visible" name="6.6 Cashflow" sheetId="6" r:id="rId9"/>
  </sheets>
  <definedNames/>
  <calcPr/>
  <extLst>
    <ext uri="GoogleSheetsCustomDataVersion2">
      <go:sheetsCustomData xmlns:go="http://customooxmlschemas.google.com/" r:id="rId10" roundtripDataChecksum="s2QpkeGUgZYA78+XBEsiMA1x7aHDf70AYSZ56mh9RTA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F35">
      <text>
        <t xml:space="preserve">======
ID#AAAB96jhrIA
Manuel Naser    (2026-06-22 22:52:57)
116.000 en cubiertas. 108.000 en camaras. lubricante 8.000 desengrasante 12.000. Parches, paños, llaves allen, herramientas varias para cambios basicos: 70.000</t>
      </text>
    </comment>
    <comment authorId="0" ref="F66">
      <text>
        <t xml:space="preserve">======
ID#AAAB-SmgoaU
Manuel Naser    (2026-06-25 15:45:38)
Se consultaron paginas de referencia y contactos en el rubro que nos dieron una cotizacion informal</t>
      </text>
    </comment>
    <comment authorId="0" ref="F32">
      <text>
        <t xml:space="preserve">======
ID#AAAB96cE5js
Manuel Naser    (2026-06-22 21:14:12)
verifique que sea el voltaje y pin de carga correcto
------
ID#AAAB96cE5j0
Manuel Naser    (2026-06-22 21:16:49)
tiempo de carga promedio por bateria: 5 horas y media</t>
      </text>
    </comment>
    <comment authorId="0" ref="F30">
      <text>
        <t xml:space="preserve">======
ID#AAAB96cE5i0
Manuel Naser    (2026-06-22 20:27:44)
$1.400.000
------
ID#AAAB96cE5i8
Manuel Naser    (2026-06-22 20:32:06)
Aca la misma a 1.180.000: https://www.mercadolibre.com.ar/bicicleta-electrica-valentini-rodado-29-32kmh-350w-negro/p/MLA60106436?matt_tool=38087446&amp;utm_source=google_shopping&amp;utm_medium=organic&amp;pdp_filters=item_id%3AMLA2447962962&amp;from=gshop
------
ID#AAAB96jhrIE
Manuel Naser    (2026-06-22 22:54:54)
Tienen rango hasta 50 km</t>
      </text>
    </comment>
    <comment authorId="0" ref="F57">
      <text>
        <t xml:space="preserve">======
ID#AAAB_q37ckE
Manuel Naser    (2026-07-11 19:36:01)
$5.999 el 1er año, luego $42.000 por año, plasmado en el cashflow.</t>
      </text>
    </comment>
  </commentList>
  <extLst>
    <ext uri="GoogleSheetsCustomDataVersion2">
      <go:sheetsCustomData xmlns:go="http://customooxmlschemas.google.com/" r:id="rId1" roundtripDataSignature="AMtx7migdp11tsS1997btc4LdOF6m+X2rQ=="/>
    </ext>
  </extL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43">
      <text>
        <t xml:space="preserve">======
ID#AAAB_q37cmM
Manuel Naser    (2026-07-11 21:41:02)
Ya reflejado en la tabla de estacionalidad</t>
      </text>
    </comment>
    <comment authorId="0" ref="B42">
      <text>
        <t xml:space="preserve">======
ID#AAAB_q37cls
Manuel Naser    (2026-07-11 21:18:17)
https://infometeoba.blogspot.com/</t>
      </text>
    </comment>
    <comment authorId="0" ref="B41">
      <text>
        <t xml:space="preserve">======
ID#AAAB_q37ck8
Manuel Naser    (2026-07-11 20:26:13)
No contamos los días no laborables que aplican a las religiones del Islam y el Judaísmo ni el día del reconocimiento al genocidio armenio por representar a un porcentaje muy pequeño de la población.</t>
      </text>
    </comment>
    <comment authorId="0" ref="B40">
      <text>
        <t xml:space="preserve">======
ID#AAAB_q37cmo
Manuel Naser    (2026-07-11 21:49:13)
https://www.argentina.gob.ar/feriados</t>
      </text>
    </comment>
    <comment authorId="0" ref="B39">
      <text>
        <t xml:space="preserve">======
ID#AAAB_q37cmw
Manuel Naser    (2026-07-11 21:49:23)
https://www.argentina.gob.ar/feriados</t>
      </text>
    </comment>
    <comment authorId="0" ref="B38">
      <text>
        <t xml:space="preserve">======
ID#AAAB_q37cms
Manuel Naser    (2026-07-11 21:49:20)
https://www.argentina.gob.ar/feriados</t>
      </text>
    </comment>
  </commentList>
  <extLst>
    <ext uri="GoogleSheetsCustomDataVersion2">
      <go:sheetsCustomData xmlns:go="http://customooxmlschemas.google.com/" r:id="rId1" roundtripDataSignature="AMtx7mjupM+fhyZGC8llPqpzCexZN/2LAQ=="/>
    </ext>
  </extL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3">
      <text>
        <t xml:space="preserve">======
ID#AAAB-Smgoas
Manuel Naser    (2026-06-25 15:57:35)
El primer archivo</t>
      </text>
    </comment>
    <comment authorId="0" ref="C5">
      <text>
        <t xml:space="preserve">======
ID#AAAB-xtzj2c
Manuel Naser    (2026-07-01 23:41:47)
Subirlos, estan muy bajos</t>
      </text>
    </comment>
  </commentList>
  <extLst>
    <ext uri="GoogleSheetsCustomDataVersion2">
      <go:sheetsCustomData xmlns:go="http://customooxmlschemas.google.com/" r:id="rId1" roundtripDataSignature="AMtx7mgfGk+2K/JXkNkp4rXK2CSfMdUbJw=="/>
    </ext>
  </extL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32">
      <text>
        <t xml:space="preserve">======
ID#AAAB_q37ckI
Manuel Naser    (2026-07-11 19:39:43)
Un pago al año</t>
      </text>
    </comment>
    <comment authorId="0" ref="A31">
      <text>
        <t xml:space="preserve">======
ID#AAAB-SRa6vc
Manuel Naser    (2026-06-24 23:53:07)
un pago al año</t>
      </text>
    </comment>
    <comment authorId="0" ref="A30">
      <text>
        <t xml:space="preserve">======
ID#AAAB-SRa6vY
Manuel Naser    (2026-06-24 23:53:00)
1 pago al año</t>
      </text>
    </comment>
    <comment authorId="0" ref="A28">
      <text>
        <t xml:space="preserve">======
ID#AAAB-SRa6v0
Manuel Naser    (2026-06-25 00:02:43)
https://www.argenprop.com/cochera-en-alquiler-en-palermo--19806819</t>
      </text>
    </comment>
    <comment authorId="0" ref="B29">
      <text>
        <t xml:space="preserve">======
ID#AAAB-RX6W98
Manuel Naser    (2026-06-24 20:26:38)
1er mes sale de stock inicial</t>
      </text>
    </comment>
    <comment authorId="0" ref="A24">
      <text>
        <t xml:space="preserve">======
ID#AAAB-SRa6v4
Manuel Naser    (2026-06-25 00:05:04)
No logramos acceder a cotizaciones. Estimado por referencias informales.</t>
      </text>
    </comment>
    <comment authorId="0" ref="A22">
      <text>
        <t xml:space="preserve">======
ID#AAAB-SR0VwM
Julieta Lena    (2026-06-25 04:55:07)
https://www.asesoresgm.com.ar/seguro-de-bicicleta/</t>
      </text>
    </comment>
    <comment authorId="0" ref="A21">
      <text>
        <t xml:space="preserve">======
ID#AAAB-SR0VwE
Julieta Lena    (2026-06-25 04:54:51)
https://www.rus.com.ar/landing/cotizar-seguro-integral-de-comercio/</t>
      </text>
    </comment>
    <comment authorId="0" ref="A20">
      <text>
        <t xml:space="preserve">======
ID#AAAB-SR0Vj4
Julieta Lena    (2026-06-25 03:22:10)
https://comparalatam.com/ar/seguro/pro/responsabilidad-civil/</t>
      </text>
    </comment>
    <comment authorId="0" ref="B48">
      <text>
        <t xml:space="preserve">======
ID#AAAB-xtzj1w
Manuel Naser    (2026-07-01 23:27:15)
Quedo muy alto. Para un negocio relativamente chico como el nuestro..
------
ID#AAAB-xtzj10
Manuel Naser    (2026-07-01 23:27:34)
Habria que tocar variables para que nos quede mas bajo
------
ID#AAAB-xtzj2A
Manuel Naser    (2026-07-01 23:32:20)
Muy alto en relacion al resto de gastos necesarios para la inversion total del negocio</t>
      </text>
    </comment>
    <comment authorId="0" ref="A14">
      <text>
        <t xml:space="preserve">======
ID#AAAB-SR0Vjg
Manuel Naser    (2026-06-25 03:14:12)
40.500 por hora</t>
      </text>
    </comment>
    <comment authorId="0" ref="A13">
      <text>
        <t xml:space="preserve">======
ID#AAAB-SR0Vks
Manuel Naser    (2026-06-25 03:33:35)
30.000 por pasajero</t>
      </text>
    </comment>
    <comment authorId="0" ref="A12">
      <text>
        <t xml:space="preserve">======
ID#AAAB-Smgogo
Manuel Naser    (2026-06-25 16:55:05)
10.000 por salida en promedio
------
ID#AAAB-Smgogs
Manuel Naser    (2026-06-25 16:55:07)
https://aubasa.com.ar/tarifas-aubasa/</t>
      </text>
    </comment>
    <comment authorId="0" ref="A11">
      <text>
        <t xml:space="preserve">======
ID#AAAB-SR0VkA
Manuel Naser    (2026-06-25 03:28:03)
532.000 por día</t>
      </text>
    </comment>
    <comment authorId="0" ref="A34">
      <text>
        <t xml:space="preserve">======
ID#AAAB-SR0Vys
Julieta Lena    (2026-06-25 05:47:07)
Pago en 18 meses</t>
      </text>
    </comment>
  </commentList>
  <extLst>
    <ext uri="GoogleSheetsCustomDataVersion2">
      <go:sheetsCustomData xmlns:go="http://customooxmlschemas.google.com/" r:id="rId1" roundtripDataSignature="AMtx7mhbSiqkEwWThuNAcre4YypiWWXYnw=="/>
    </ext>
  </extLst>
</comments>
</file>

<file path=xl/sharedStrings.xml><?xml version="1.0" encoding="utf-8"?>
<sst xmlns="http://schemas.openxmlformats.org/spreadsheetml/2006/main" count="435" uniqueCount="268">
  <si>
    <t>Tipo de cambio utilizado para inversiones en USD:</t>
  </si>
  <si>
    <t>Fecha del tipo de cambio:</t>
  </si>
  <si>
    <t>INVERSIONES REQUERIDAS</t>
  </si>
  <si>
    <t>ESPACIOS DE TRABAJO</t>
  </si>
  <si>
    <t>No modificar fórmulas</t>
  </si>
  <si>
    <t>Bienes de uso</t>
  </si>
  <si>
    <t>VARIOS</t>
  </si>
  <si>
    <t>HABILITACIONES</t>
  </si>
  <si>
    <t>COMUNICACIÓN / COMERCIALIZACIÓN</t>
  </si>
  <si>
    <t>PRE - INGRESO AL NEGOCIO</t>
  </si>
  <si>
    <t>INVERSION TOTAL REQUERIDA</t>
  </si>
  <si>
    <t>FINANCIACIÓN</t>
  </si>
  <si>
    <t>FINANCIACIÓN PROPIA</t>
  </si>
  <si>
    <t>FINANCIACIÓN TOTAL OBTENIDA</t>
  </si>
  <si>
    <t>Liquidez inicial (Financiación total – inversión total)</t>
  </si>
  <si>
    <t>ESPACIO DE TRABAJO</t>
  </si>
  <si>
    <t>DEPOSITO</t>
  </si>
  <si>
    <t>Precio unitario</t>
  </si>
  <si>
    <t>Unidades</t>
  </si>
  <si>
    <t>Subtotal</t>
  </si>
  <si>
    <t>Link de referencia del producto/servicio</t>
  </si>
  <si>
    <t>Computadoras</t>
  </si>
  <si>
    <t>Notebook Hp 14-em0002 Amd Athlon 7120u | 4gb Ram Ddr4 | 128gb Ssd | Pantalla 14 Hd Graficos Integrados Color Moonlight Blue</t>
  </si>
  <si>
    <t>Deposito alquiler Garage</t>
  </si>
  <si>
    <t>TOTAL ESPACIO DE TRABAJO</t>
  </si>
  <si>
    <t>TOTAL ESPACIOS DE TRABAJO</t>
  </si>
  <si>
    <t>Vida util (en meses):</t>
  </si>
  <si>
    <t>Bicicletas normales</t>
  </si>
  <si>
    <t>Firebird R29 Acero</t>
  </si>
  <si>
    <t>Presu bicis Firebird R29 Acero chat.png</t>
  </si>
  <si>
    <t>Presu bicis Firebird R29 Acero.jpeg</t>
  </si>
  <si>
    <t>Biciletas electricas</t>
  </si>
  <si>
    <t>https://valentinibikes.com.ar/producto/mountain-bike-electrica-29/</t>
  </si>
  <si>
    <t>Baterias de repuesto para bicis electricas</t>
  </si>
  <si>
    <t>Presu baterias bicis electricas.png</t>
  </si>
  <si>
    <t>Cargador de baterias para bicis electricas</t>
  </si>
  <si>
    <t>Cargador De Batería 42v</t>
  </si>
  <si>
    <t>Cascos</t>
  </si>
  <si>
    <t>Casco Bicicleta Dakota Regulable Liviano Con Visera Ventilación Color Negro</t>
  </si>
  <si>
    <t>Kit luces</t>
  </si>
  <si>
    <t>Kit Luces Usb Led Seguridad Bici Dakota 2218 Delantera Y Trasera + Color Negro</t>
  </si>
  <si>
    <t>Repuestos varios para biciletas (cadenas, camaras, cubiertas, lubricante, parches, etc)</t>
  </si>
  <si>
    <t>Repuestos y accesorios mayorista</t>
  </si>
  <si>
    <t>Bolso porta accesorios (solo guía)</t>
  </si>
  <si>
    <t>Bolso Porta Accesorios 20X8X12 Cm Rojo Red M Wave</t>
  </si>
  <si>
    <t>Inflador electrico</t>
  </si>
  <si>
    <t xml:space="preserve">Inflador Inalambrico eléctrico </t>
  </si>
  <si>
    <t>Trailer para bicis</t>
  </si>
  <si>
    <t>Presu trailer bicis.png</t>
  </si>
  <si>
    <t>TOTAL Bienes de uso</t>
  </si>
  <si>
    <t>Capacitaciones</t>
  </si>
  <si>
    <t>Capacitaciones del personal, unidad 5.</t>
  </si>
  <si>
    <t>Termos bomba 2.5 litros</t>
  </si>
  <si>
    <t xml:space="preserve">Termos x2 u </t>
  </si>
  <si>
    <t xml:space="preserve">Barritas energéticas </t>
  </si>
  <si>
    <r>
      <rPr>
        <rFont val="Raleway"/>
        <color rgb="FF1155CC"/>
        <sz val="11.0"/>
        <u/>
      </rPr>
      <t>Barra proteíca varios sabores x 12 u</t>
    </r>
    <r>
      <rPr>
        <rFont val="Raleway"/>
        <color rgb="FF000000"/>
        <sz val="11.0"/>
      </rPr>
      <t xml:space="preserve"> </t>
    </r>
  </si>
  <si>
    <t>Café</t>
  </si>
  <si>
    <t>Café x bulto 12 u 200 gr</t>
  </si>
  <si>
    <t>Té</t>
  </si>
  <si>
    <t>Té 100 u</t>
  </si>
  <si>
    <t>Agua</t>
  </si>
  <si>
    <t>Agua Villavicencio 500 ml x 12 u</t>
  </si>
  <si>
    <t>Servilletas</t>
  </si>
  <si>
    <t>Servilletas Sussex 140 u</t>
  </si>
  <si>
    <t>Vasos descartables</t>
  </si>
  <si>
    <t>Vasos Descartables Reciclables x 100 u</t>
  </si>
  <si>
    <t>TOTAL VARIOS</t>
  </si>
  <si>
    <t>Registro de dominio Web</t>
  </si>
  <si>
    <t>Dominios y Aranceles</t>
  </si>
  <si>
    <t>Hosting (Año 1)</t>
  </si>
  <si>
    <t>SSL</t>
  </si>
  <si>
    <t>SSL .com</t>
  </si>
  <si>
    <t>Honorarios escribanía / gestores</t>
  </si>
  <si>
    <t>EMPRESA - CONSTITUCION DE S.A., S.R.L., S.A.S. Y OTRAS</t>
  </si>
  <si>
    <t>Registro de marca INPI</t>
  </si>
  <si>
    <t>Aranceles - Clase 39: transporte, organización de viajes y excursiones
Clase 41: actividades recreativas, deportivas y de esparcimiento</t>
  </si>
  <si>
    <t>Busqueda fonética INPI</t>
  </si>
  <si>
    <t>Registro de sociedad en IGJ / Registro Provincial</t>
  </si>
  <si>
    <t>Calculá el costo de los trámites de IGJ</t>
  </si>
  <si>
    <t>TOTAL HABILITACIONES</t>
  </si>
  <si>
    <t>COMERCIALIZACIÓN</t>
  </si>
  <si>
    <t>Desarollo de página Web</t>
  </si>
  <si>
    <t>https://www.google.com/url?q=https://www.godaddy.com/resources/latam/crearweb/cuanto-cuesta-crear-pagina-en-argentina&amp;sa=D&amp;source=editors&amp;ust=1782318679900062&amp;usg=AOvVaw1pcbl6XwSfkukYRPQHXB8W</t>
  </si>
  <si>
    <t>Impresión de material físico institucional promocional y comunicacional</t>
  </si>
  <si>
    <t>TOTAL COMERCIALIZACIÓN</t>
  </si>
  <si>
    <t>No modificar fórmula (linkea con Cash Flow)</t>
  </si>
  <si>
    <t>Monto total pre-ingreso al negocio (según Cash Flow)</t>
  </si>
  <si>
    <t>TOTAL PRE - INGRESO AL NEGOCIO</t>
  </si>
  <si>
    <t>DETALLE DE FUENTES DE FINANCIAMIENTO PROPIA</t>
  </si>
  <si>
    <t>Monto:</t>
  </si>
  <si>
    <t>Fuente:</t>
  </si>
  <si>
    <t>Aporte en efectivo por el dueño/socio/accionista Nº 1</t>
  </si>
  <si>
    <t>Ahorros propios</t>
  </si>
  <si>
    <t>Aporte en efectivo por el dueño/socio/accionista Nº 2</t>
  </si>
  <si>
    <t>Aporte en efectivo por el dueño/socio/accionista Nº 3</t>
  </si>
  <si>
    <t>Financiamiento Total</t>
  </si>
  <si>
    <t>Inversión Total Requerida</t>
  </si>
  <si>
    <t>A devolver en 18 meses, a partir del segundo año</t>
  </si>
  <si>
    <t>Devolución mensual por socio</t>
  </si>
  <si>
    <t xml:space="preserve">Exprese en una tabla, planilla o gráfico la estacionalidad analizada del destino en relación a su negocio. En caso que opere más de un destino, determine los más relevantes para poder analizar las diferentes curvas de estacionalidad y analizar las temporadas baja/media/alta correspondientes. </t>
  </si>
  <si>
    <t>ESTACIONALIDAD PROMEDIO POR MES Y POR DESTINO</t>
  </si>
  <si>
    <t>JUL</t>
  </si>
  <si>
    <t>AGO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</si>
  <si>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</si>
  <si>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</si>
  <si>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</si>
  <si>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</si>
  <si>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</si>
  <si>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</si>
  <si>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</si>
  <si>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</si>
  <si>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</si>
  <si>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</si>
  <si>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San Antonio de Areco</t>
  </si>
  <si>
    <t>Berazategui (Pereyra Iraola)</t>
  </si>
  <si>
    <t>Berisso (Isla Paulino)</t>
  </si>
  <si>
    <t>Cañuelas (Uribelarrea)</t>
  </si>
  <si>
    <t>Campana (P.N. Ciervo Pantanos)</t>
  </si>
  <si>
    <t>Brandsen</t>
  </si>
  <si>
    <t>Tigre (Delta del Paraná)</t>
  </si>
  <si>
    <t>Promedio</t>
  </si>
  <si>
    <t>Alta: 3 puntos</t>
  </si>
  <si>
    <t>Media: 2 puntos</t>
  </si>
  <si>
    <t>Baja: 1 punto</t>
  </si>
  <si>
    <t>DATOS CONSIDERADOS PARA LA ESTACIONALIDAD MENSUAL DE LOS DESTINOS</t>
  </si>
  <si>
    <t>Días por mes:</t>
  </si>
  <si>
    <t>Días de fin de semana:</t>
  </si>
  <si>
    <t>Feriados:</t>
  </si>
  <si>
    <t>Días no laborables:</t>
  </si>
  <si>
    <t>Promedio de días con mas de 10 mm de lluvia:</t>
  </si>
  <si>
    <t>Demanda reportada por guias locales</t>
  </si>
  <si>
    <t>Fuente(s) de la(s) cual(es) se determinaron las curvas de los destinos:</t>
  </si>
  <si>
    <t xml:space="preserve">Guías locales </t>
  </si>
  <si>
    <t>Link(s):</t>
  </si>
  <si>
    <t>"índices elaborados por el equipo en base a criterios climáticos y comportamiento del segmento objetivo, sujetos a revisión con datos reales del primer año de operación."</t>
  </si>
  <si>
    <t>AÑO 1</t>
  </si>
  <si>
    <t>Mes</t>
  </si>
  <si>
    <t>Tour regular</t>
  </si>
  <si>
    <t>Tour privado</t>
  </si>
  <si>
    <t>Tour corporativo / team building</t>
  </si>
  <si>
    <t>Subtotal mensual</t>
  </si>
  <si>
    <t>Cantidad de pax por salida</t>
  </si>
  <si>
    <t>Cantidad de pax mensuales</t>
  </si>
  <si>
    <t>Cantidad de salidas</t>
  </si>
  <si>
    <t>Ingreso mensual</t>
  </si>
  <si>
    <t>Cantidad de grupos</t>
  </si>
  <si>
    <t>Precio por Grupo</t>
  </si>
  <si>
    <t>Julio (media)</t>
  </si>
  <si>
    <t>Agosto (baja)</t>
  </si>
  <si>
    <t>Septiembre (media)</t>
  </si>
  <si>
    <t>Octubre (alta)</t>
  </si>
  <si>
    <t>Noviembre (alta)</t>
  </si>
  <si>
    <t>Diciembre (media)</t>
  </si>
  <si>
    <t>Enero (media)</t>
  </si>
  <si>
    <t>Febrero (media)</t>
  </si>
  <si>
    <t>Marzo (alta)</t>
  </si>
  <si>
    <t>Abril (alta)</t>
  </si>
  <si>
    <t>Mayo (media)</t>
  </si>
  <si>
    <t>Junio (baja)</t>
  </si>
  <si>
    <t>TARIFAS</t>
  </si>
  <si>
    <t>Año 1 - 1er trimestre</t>
  </si>
  <si>
    <t>Año 1 - 2do trimestre (5%)</t>
  </si>
  <si>
    <t>Año 1 - 3er trimestre (5%)</t>
  </si>
  <si>
    <t>Año 1 - 4to trimestre (6%)</t>
  </si>
  <si>
    <t>Alta</t>
  </si>
  <si>
    <t>Media</t>
  </si>
  <si>
    <t>Baja</t>
  </si>
  <si>
    <t>Tour regular (bici común)</t>
  </si>
  <si>
    <t>Tour regular (bici eléctrica)</t>
  </si>
  <si>
    <t>AÑO 2</t>
  </si>
  <si>
    <t>Año 2 - 1er trimestre (5%)</t>
  </si>
  <si>
    <t>Año 2 - 2do trimestre (5%)</t>
  </si>
  <si>
    <t>Año 2 - 3er trimestre (5%)</t>
  </si>
  <si>
    <t>Año 2 - 4to trimestre (6%)</t>
  </si>
  <si>
    <t>AÑO 3</t>
  </si>
  <si>
    <t>Año 3 - 1er trimestre (5%)</t>
  </si>
  <si>
    <t>Año 3 - 2do trimestre (5%)</t>
  </si>
  <si>
    <t>Año 3 - 3er trimestre (5%)</t>
  </si>
  <si>
    <t>Año 3 - 4to trimestre (6%)</t>
  </si>
  <si>
    <t>Sindicato/Organización de la cual se obtuvieron los valores de sueldos según Convenio Colectivo de Trabajo (CCT):</t>
  </si>
  <si>
    <t>FAECYS</t>
  </si>
  <si>
    <t>Link:</t>
  </si>
  <si>
    <t>https://www.faevyt.org.ar/faecys</t>
  </si>
  <si>
    <t>SUELDOS Y CARGAS SOCIALES
INDICAR EN EL CASH FLOW (ACTUALIZAR SEGÚN INFLACIÓN)</t>
  </si>
  <si>
    <t>Aplicar inflación para el cálculo de Sueldos y Cargas Sociales (mes a mes)</t>
  </si>
  <si>
    <t>Posición</t>
  </si>
  <si>
    <t>Salario Mensual ($ BRUTOS)
Año 1</t>
  </si>
  <si>
    <t>Socio 1</t>
  </si>
  <si>
    <t>SÓLO MODIFICAR ESTOS VALORES</t>
  </si>
  <si>
    <t>Socio 2</t>
  </si>
  <si>
    <t>Socio 3</t>
  </si>
  <si>
    <t>Sub Total BRUTO (por mes)</t>
  </si>
  <si>
    <t>NO MODIFICAR FÓRMULAS</t>
  </si>
  <si>
    <t>Proporcional SAC BRUTO (mensual)</t>
  </si>
  <si>
    <t>Total mensual BRUTO (Sueldos + Proporcional SAC)</t>
  </si>
  <si>
    <t>APORTES PATRONALES EMPLEADOR (sobre sueldo BRUTO)</t>
  </si>
  <si>
    <t>Año 1 (por mes)</t>
  </si>
  <si>
    <t>Jubilacion (16%)</t>
  </si>
  <si>
    <t>PAMI (2%)</t>
  </si>
  <si>
    <t>Obra social (6%)</t>
  </si>
  <si>
    <t>Fondo Nacional de Empleo (1,5%)</t>
  </si>
  <si>
    <t>Seguro de Vida Obligatorio (0,03%)</t>
  </si>
  <si>
    <t>Información Salario</t>
  </si>
  <si>
    <t>ART (3%)</t>
  </si>
  <si>
    <t>Sub Total (Mensual) Aportes Patronales (28,53% en total)</t>
  </si>
  <si>
    <t>INFLACIÓN ESTIMADA MENSUAL AÑO 1
(calcular la inflación mes a mes)</t>
  </si>
  <si>
    <t>INFLACIÓN ESTIMADA MENSUAL AÑO 2
(calcular la inflación mes a mes)</t>
  </si>
  <si>
    <t>INFLACIÓN ESTIMADA MENSUAL AÑO 3
(calcular la inflación mes a mes)</t>
  </si>
  <si>
    <t>GASTOS CORRIENTES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</si>
  <si>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</si>
  <si>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</si>
  <si>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</si>
  <si>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</si>
  <si>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</si>
  <si>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</si>
  <si>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</si>
  <si>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</si>
  <si>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</si>
  <si>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</si>
  <si>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</si>
  <si>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</si>
  <si>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TOTAL AÑO 1</t>
  </si>
  <si>
    <t>TOTAL AÑO 2</t>
  </si>
  <si>
    <t>TOTAL AÑO 3</t>
  </si>
  <si>
    <t>Saldo inicial de caja</t>
  </si>
  <si>
    <t>INGRESOS</t>
  </si>
  <si>
    <t>Ingresos "Tour regular"</t>
  </si>
  <si>
    <t>Ingresos "Tour privado"</t>
  </si>
  <si>
    <t>Ingresos "Tour corporativo / team building"</t>
  </si>
  <si>
    <t>Total ingresos</t>
  </si>
  <si>
    <t>EGRESOS</t>
  </si>
  <si>
    <t>Alquiler camioneta</t>
  </si>
  <si>
    <t>Peajes</t>
  </si>
  <si>
    <t>Proveedores almuerzos</t>
  </si>
  <si>
    <t>Guías Terciarizados</t>
  </si>
  <si>
    <t>Sueldos Brutos</t>
  </si>
  <si>
    <t>Proporcional SAC (Aguinaldo)</t>
  </si>
  <si>
    <t>Aportes Patronales Empleador (Sueldos Brutos + Proporcional SAC)</t>
  </si>
  <si>
    <t>Gastos de Publicidad / Marketing</t>
  </si>
  <si>
    <t>Licencias de plataformas y subscripciones (Ej. Canva, ChatGPT, etc.)</t>
  </si>
  <si>
    <t>Seguros responsabilidad civil</t>
  </si>
  <si>
    <t>Seguro integral de comercio</t>
  </si>
  <si>
    <t>Seguro Bicis</t>
  </si>
  <si>
    <t>Seguro Accidentes Personales (x2000 capitas)</t>
  </si>
  <si>
    <t>Seguro trailer</t>
  </si>
  <si>
    <t>Amortización trailer</t>
  </si>
  <si>
    <t>Amortización bicicletas</t>
  </si>
  <si>
    <t>Amortización bicicletas electricas</t>
  </si>
  <si>
    <t>Alquiler garage</t>
  </si>
  <si>
    <t>Pago a proveedores de Insumos</t>
  </si>
  <si>
    <t>Pago de dominio web</t>
  </si>
  <si>
    <t>Hosting sitio web</t>
  </si>
  <si>
    <t>Mantenimiento de cuenta corriente bancaria</t>
  </si>
  <si>
    <t>Recupero de inversión dueño/socio/accionista N° 1</t>
  </si>
  <si>
    <t>Recupero de inversión dueño/socio/accionista N° 2</t>
  </si>
  <si>
    <t>Recupero de inversión dueño/socio/accionista N° 3</t>
  </si>
  <si>
    <t>Impuesto a los Ingresos Brutos - IIBB (3%)</t>
  </si>
  <si>
    <t>Impuesto a los débitos (0.6%)</t>
  </si>
  <si>
    <t>Impuesto a los créditos (0.6%)</t>
  </si>
  <si>
    <t>Sub Total Egresos Operativos</t>
  </si>
  <si>
    <t>Resultado Bruto</t>
  </si>
  <si>
    <t>Impuesto a las ganancias - IIGG (35%)</t>
  </si>
  <si>
    <t>Resultado neto: (Resultado Bruto - IIGG)</t>
  </si>
  <si>
    <t>Retiro de socios</t>
  </si>
  <si>
    <t>Saldo de cierre de caja mensual</t>
  </si>
  <si>
    <t>Saldo final de caja acumulado</t>
  </si>
  <si>
    <r>
      <rPr>
        <rFont val="Raleway"/>
        <b/>
        <color rgb="FFFF0000"/>
        <sz val="11.0"/>
      </rPr>
      <t>NO MODIFICAR FÓRMULAS</t>
    </r>
    <r>
      <rPr>
        <rFont val="Raleway"/>
        <b/>
        <color theme="1"/>
        <sz val="11.0"/>
      </rPr>
      <t xml:space="preserve">
Pre ingreso al negocio 
("Saldo final de caja acumulado" más alto en el Cash Flow)
Se indica en positivo</t>
    </r>
  </si>
  <si>
    <t>TIR: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</si>
</sst>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/mm"/>
    <numFmt numFmtId="165" formatCode="[$ $]#,##0.00"/>
    <numFmt numFmtId="166" formatCode="&quot;$&quot;#,##0.00"/>
    <numFmt numFmtId="167" formatCode="[$ $]#,##0"/>
    <numFmt numFmtId="168" formatCode="&quot;$&quot;#,##0"/>
  </numFmts>
  <fonts count="30">
    <font>
      <sz val="10.0"/>
      <color rgb="FF000000"/>
      <name val="Arial"/>
      <scheme val="minor"/>
    </font>
    <font>
      <sz val="11.0"/>
      <color theme="1"/>
      <name val="Raleway"/>
    </font>
    <font>
      <b/>
      <sz val="11.0"/>
      <color theme="1"/>
      <name val="Raleway"/>
    </font>
    <font>
      <b/>
      <sz val="14.0"/>
      <color theme="1"/>
      <name val="Raleway"/>
    </font>
    <font/>
    <font>
      <color theme="1"/>
      <name val="Arial"/>
      <scheme val="minor"/>
    </font>
    <font>
      <u/>
      <sz val="11.0"/>
      <color rgb="FF0000FF"/>
      <name val="Raleway"/>
    </font>
    <font>
      <sz val="10.0"/>
      <color theme="1"/>
      <name val="Raleway"/>
    </font>
    <font>
      <u/>
      <sz val="11.0"/>
      <color theme="1"/>
      <name val="Raleway"/>
    </font>
    <font>
      <u/>
      <sz val="10.0"/>
      <color theme="1"/>
      <name val="Raleway"/>
    </font>
    <font>
      <u/>
      <sz val="10.0"/>
      <color rgb="FF0000FF"/>
      <name val="Raleway"/>
    </font>
    <font>
      <u/>
      <sz val="11.0"/>
      <color theme="1"/>
      <name val="Raleway"/>
    </font>
    <font>
      <u/>
      <sz val="11.0"/>
      <color theme="1"/>
      <name val="Raleway"/>
    </font>
    <font>
      <color theme="1"/>
      <name val="Arial"/>
    </font>
    <font>
      <u/>
      <sz val="11.0"/>
      <color rgb="FF0000FF"/>
      <name val="Raleway"/>
    </font>
    <font>
      <b/>
      <u/>
      <sz val="11.0"/>
      <color rgb="FF0000FF"/>
      <name val="Raleway"/>
    </font>
    <font>
      <sz val="11.0"/>
      <color rgb="FF000000"/>
      <name val="Raleway"/>
    </font>
    <font>
      <b/>
      <sz val="12.0"/>
      <color rgb="FF000000"/>
      <name val="Raleway"/>
    </font>
    <font>
      <b/>
      <sz val="10.0"/>
      <color theme="1"/>
      <name val="Raleway"/>
    </font>
    <font>
      <b/>
      <sz val="18.0"/>
      <color theme="1"/>
      <name val="Raleway"/>
    </font>
    <font>
      <i/>
      <sz val="10.0"/>
      <color theme="1"/>
      <name val="Raleway"/>
    </font>
    <font>
      <u/>
      <sz val="11.0"/>
      <color rgb="FF000000"/>
      <name val="Raleway"/>
    </font>
    <font>
      <b/>
      <sz val="11.0"/>
      <color rgb="FF000000"/>
      <name val="Raleway"/>
    </font>
    <font>
      <sz val="12.0"/>
      <color rgb="FF000000"/>
      <name val="Raleway"/>
    </font>
    <font>
      <b/>
      <sz val="12.0"/>
      <color rgb="FFFF0000"/>
      <name val="Raleway"/>
    </font>
    <font>
      <u/>
      <sz val="11.0"/>
      <color rgb="FF1155CC"/>
      <name val="Raleway"/>
    </font>
    <font>
      <b/>
      <sz val="11.0"/>
      <color rgb="FFFFFFFF"/>
      <name val="Raleway"/>
    </font>
    <font>
      <sz val="11.0"/>
      <color rgb="FFFFFFFF"/>
      <name val="Raleway"/>
    </font>
    <font>
      <u/>
      <sz val="11.0"/>
      <color rgb="FF0000FF"/>
      <name val="Raleway"/>
    </font>
    <font>
      <sz val="12.0"/>
      <color theme="1"/>
      <name val="Raleway"/>
    </font>
  </fonts>
  <fills count="25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  <fill>
      <patternFill patternType="solid">
        <fgColor rgb="FF9BD3B8"/>
        <bgColor rgb="FF9BD3B8"/>
      </patternFill>
    </fill>
    <fill>
      <patternFill patternType="solid">
        <fgColor rgb="FFFEE1CC"/>
        <bgColor rgb="FFFEE1CC"/>
      </patternFill>
    </fill>
    <fill>
      <patternFill patternType="solid">
        <fgColor rgb="FFD9D9D9"/>
        <bgColor rgb="FFD9D9D9"/>
      </patternFill>
    </fill>
    <fill>
      <patternFill patternType="solid">
        <fgColor rgb="FFFFDF8B"/>
        <bgColor rgb="FFFFDF8B"/>
      </patternFill>
    </fill>
    <fill>
      <patternFill patternType="solid">
        <fgColor rgb="FFFFF2CC"/>
        <bgColor rgb="FFFFF2CC"/>
      </patternFill>
    </fill>
    <fill>
      <patternFill patternType="solid">
        <fgColor rgb="FFF9CB9C"/>
        <bgColor rgb="FFF9CB9C"/>
      </patternFill>
    </fill>
    <fill>
      <patternFill patternType="solid">
        <fgColor rgb="FFEAD1DC"/>
        <bgColor rgb="FFEAD1DC"/>
      </patternFill>
    </fill>
    <fill>
      <patternFill patternType="solid">
        <fgColor theme="4"/>
        <bgColor theme="4"/>
      </patternFill>
    </fill>
    <fill>
      <patternFill patternType="solid">
        <fgColor rgb="FF00FF00"/>
        <bgColor rgb="FF00FF00"/>
      </patternFill>
    </fill>
    <fill>
      <patternFill patternType="solid">
        <fgColor rgb="FF4A86E8"/>
        <bgColor rgb="FF4A86E8"/>
      </patternFill>
    </fill>
    <fill>
      <patternFill patternType="solid">
        <fgColor rgb="FFD0E0E3"/>
        <bgColor rgb="FFD0E0E3"/>
      </patternFill>
    </fill>
    <fill>
      <patternFill patternType="solid">
        <fgColor rgb="FFD9EAD3"/>
        <bgColor rgb="FFD9EAD3"/>
      </patternFill>
    </fill>
    <fill>
      <patternFill patternType="solid">
        <fgColor rgb="FFBFDFDA"/>
        <bgColor rgb="FFBFDFDA"/>
      </patternFill>
    </fill>
    <fill>
      <patternFill patternType="solid">
        <fgColor theme="0"/>
        <bgColor theme="0"/>
      </patternFill>
    </fill>
    <fill>
      <patternFill patternType="solid">
        <fgColor theme="6"/>
        <bgColor theme="6"/>
      </patternFill>
    </fill>
    <fill>
      <patternFill patternType="solid">
        <fgColor rgb="FF93C47D"/>
        <bgColor rgb="FF93C47D"/>
      </patternFill>
    </fill>
    <fill>
      <patternFill patternType="solid">
        <fgColor rgb="FF808080"/>
        <bgColor rgb="FF808080"/>
      </patternFill>
    </fill>
    <fill>
      <patternFill patternType="solid">
        <fgColor rgb="FFA4C2F4"/>
        <bgColor rgb="FFA4C2F4"/>
      </patternFill>
    </fill>
    <fill>
      <patternFill patternType="solid">
        <fgColor rgb="FF999999"/>
        <bgColor rgb="FF999999"/>
      </patternFill>
    </fill>
    <fill>
      <patternFill patternType="solid">
        <fgColor rgb="FFFF9900"/>
        <bgColor rgb="FFFF9900"/>
      </patternFill>
    </fill>
  </fills>
  <borders count="7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/>
      <right/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/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/>
      <right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thin">
        <color rgb="FF000000"/>
      </right>
      <top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</border>
    <border>
      <right/>
    </border>
    <border>
      <right/>
      <bottom/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/>
      <top/>
    </border>
    <border>
      <left/>
      <right/>
      <top/>
    </border>
    <border>
      <left/>
      <right/>
      <top/>
      <bottom/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164" xfId="0" applyAlignment="1" applyBorder="1" applyFont="1" applyNumberFormat="1">
      <alignment horizontal="center" readingOrder="0" shrinkToFit="0" vertical="center" wrapText="1"/>
    </xf>
    <xf borderId="2" fillId="0" fontId="3" numFmtId="0" xfId="0" applyAlignment="1" applyBorder="1" applyFont="1">
      <alignment horizontal="center" readingOrder="0" shrinkToFit="0" vertical="center" wrapText="1"/>
    </xf>
    <xf borderId="3" fillId="0" fontId="4" numFmtId="0" xfId="0" applyBorder="1" applyFont="1"/>
    <xf borderId="1" fillId="0" fontId="2" numFmtId="165" xfId="0" applyAlignment="1" applyBorder="1" applyFont="1" applyNumberFormat="1">
      <alignment horizontal="center" readingOrder="0" shrinkToFit="0" vertical="center" wrapText="1"/>
    </xf>
    <xf borderId="4" fillId="0" fontId="1" numFmtId="0" xfId="0" applyAlignment="1" applyBorder="1" applyFont="1">
      <alignment horizontal="center" readingOrder="0" shrinkToFit="0" vertical="center" wrapText="1"/>
    </xf>
    <xf borderId="1" fillId="0" fontId="2" numFmtId="166" xfId="0" applyAlignment="1" applyBorder="1" applyFont="1" applyNumberFormat="1">
      <alignment horizontal="center" readingOrder="0" shrinkToFit="0" vertical="center" wrapText="1"/>
    </xf>
    <xf borderId="5" fillId="0" fontId="4" numFmtId="0" xfId="0" applyBorder="1" applyFont="1"/>
    <xf borderId="1" fillId="0" fontId="3" numFmtId="165" xfId="0" applyAlignment="1" applyBorder="1" applyFont="1" applyNumberFormat="1">
      <alignment horizontal="center" readingOrder="0" shrinkToFit="0" vertical="center" wrapText="1"/>
    </xf>
    <xf borderId="6" fillId="0" fontId="4" numFmtId="0" xfId="0" applyBorder="1" applyFont="1"/>
    <xf borderId="1" fillId="0" fontId="1" numFmtId="165" xfId="0" applyAlignment="1" applyBorder="1" applyFont="1" applyNumberFormat="1">
      <alignment horizontal="center" readingOrder="0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shrinkToFit="0" vertical="center" wrapText="1"/>
    </xf>
    <xf borderId="7" fillId="0" fontId="4" numFmtId="0" xfId="0" applyBorder="1" applyFont="1"/>
    <xf borderId="1" fillId="0" fontId="6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Alignment="1" applyBorder="1" applyFont="1">
      <alignment horizontal="center" readingOrder="0" shrinkToFit="0" vertical="center" wrapText="1"/>
    </xf>
    <xf borderId="0" fillId="0" fontId="1" numFmtId="165" xfId="0" applyAlignment="1" applyFont="1" applyNumberFormat="1">
      <alignment horizontal="center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7" numFmtId="0" xfId="0" applyAlignment="1" applyFont="1">
      <alignment shrinkToFit="0" vertical="center" wrapText="1"/>
    </xf>
    <xf borderId="0" fillId="0" fontId="8" numFmtId="0" xfId="0" applyAlignment="1" applyFont="1">
      <alignment horizontal="center" readingOrder="0" shrinkToFit="0" vertical="center" wrapText="1"/>
    </xf>
    <xf borderId="0" fillId="0" fontId="9" numFmtId="0" xfId="0" applyAlignment="1" applyFont="1">
      <alignment readingOrder="0" shrinkToFit="0" vertical="center" wrapText="1"/>
    </xf>
    <xf borderId="0" fillId="0" fontId="7" numFmtId="0" xfId="0" applyAlignment="1" applyFont="1">
      <alignment readingOrder="0" shrinkToFit="0" vertical="center" wrapText="1"/>
    </xf>
    <xf borderId="0" fillId="0" fontId="10" numFmtId="0" xfId="0" applyAlignment="1" applyFont="1">
      <alignment readingOrder="0" shrinkToFit="0" vertical="center" wrapText="1"/>
    </xf>
    <xf borderId="0" fillId="0" fontId="5" numFmtId="0" xfId="0" applyAlignment="1" applyFont="1">
      <alignment readingOrder="0"/>
    </xf>
    <xf borderId="1" fillId="0" fontId="11" numFmtId="0" xfId="0" applyAlignment="1" applyBorder="1" applyFont="1">
      <alignment horizontal="center" readingOrder="0" shrinkToFit="0" vertical="center" wrapText="1"/>
    </xf>
    <xf borderId="0" fillId="0" fontId="7" numFmtId="0" xfId="0" applyAlignment="1" applyFont="1">
      <alignment readingOrder="0" shrinkToFit="0" vertical="center" wrapText="1"/>
    </xf>
    <xf borderId="1" fillId="0" fontId="1" numFmtId="165" xfId="0" applyAlignment="1" applyBorder="1" applyFont="1" applyNumberFormat="1">
      <alignment horizontal="center" readingOrder="0" shrinkToFit="0" vertical="center" wrapText="1"/>
    </xf>
    <xf borderId="1" fillId="0" fontId="12" numFmtId="0" xfId="0" applyAlignment="1" applyBorder="1" applyFont="1">
      <alignment horizontal="center" readingOrder="0" shrinkToFit="0" vertical="center" wrapText="1"/>
    </xf>
    <xf borderId="0" fillId="0" fontId="13" numFmtId="0" xfId="0" applyAlignment="1" applyFont="1">
      <alignment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165" xfId="0" applyAlignment="1" applyBorder="1" applyFont="1" applyNumberFormat="1">
      <alignment horizontal="center" shrinkToFit="0" vertical="center" wrapText="1"/>
    </xf>
    <xf borderId="1" fillId="0" fontId="3" numFmtId="165" xfId="0" applyAlignment="1" applyBorder="1" applyFont="1" applyNumberForma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4" fillId="0" fontId="14" numFmtId="0" xfId="0" applyAlignment="1" applyBorder="1" applyFont="1">
      <alignment horizontal="center" readingOrder="0" shrinkToFit="0" vertical="center" wrapText="1"/>
    </xf>
    <xf borderId="1" fillId="0" fontId="15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2" fillId="0" fontId="3" numFmtId="165" xfId="0" applyAlignment="1" applyBorder="1" applyFont="1" applyNumberFormat="1">
      <alignment horizontal="center" readingOrder="0" shrinkToFit="0" vertical="center" wrapText="1"/>
    </xf>
    <xf borderId="1" fillId="0" fontId="3" numFmtId="166" xfId="0" applyAlignment="1" applyBorder="1" applyFont="1" applyNumberFormat="1">
      <alignment horizontal="center" readingOrder="0" shrinkToFit="0" vertical="center" wrapText="1"/>
    </xf>
    <xf borderId="0" fillId="0" fontId="7" numFmtId="0" xfId="0" applyFont="1"/>
    <xf borderId="2" fillId="2" fontId="3" numFmtId="0" xfId="0" applyAlignment="1" applyBorder="1" applyFill="1" applyFont="1">
      <alignment horizontal="center" readingOrder="0" shrinkToFit="0" vertical="center" wrapText="1"/>
    </xf>
    <xf borderId="1" fillId="2" fontId="3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horizontal="center" readingOrder="0" shrinkToFit="0" vertical="center" wrapText="1"/>
    </xf>
    <xf borderId="1" fillId="3" fontId="16" numFmtId="0" xfId="0" applyAlignment="1" applyBorder="1" applyFill="1" applyFont="1">
      <alignment horizontal="center" readingOrder="0" shrinkToFit="0" vertical="center" wrapText="1"/>
    </xf>
    <xf borderId="1" fillId="3" fontId="16" numFmtId="165" xfId="0" applyAlignment="1" applyBorder="1" applyFont="1" applyNumberFormat="1">
      <alignment horizontal="center" readingOrder="0" shrinkToFit="0" vertical="center" wrapText="1"/>
    </xf>
    <xf borderId="1" fillId="3" fontId="16" numFmtId="0" xfId="0" applyAlignment="1" applyBorder="1" applyFont="1">
      <alignment horizontal="center" shrinkToFit="0" vertical="center" wrapText="1"/>
    </xf>
    <xf borderId="4" fillId="3" fontId="16" numFmtId="0" xfId="0" applyAlignment="1" applyBorder="1" applyFont="1">
      <alignment horizontal="center" readingOrder="0" shrinkToFit="0" vertical="center" wrapText="1"/>
    </xf>
    <xf borderId="4" fillId="3" fontId="16" numFmtId="165" xfId="0" applyAlignment="1" applyBorder="1" applyFont="1" applyNumberFormat="1">
      <alignment horizontal="center" readingOrder="0" shrinkToFit="0" vertical="center" wrapText="1"/>
    </xf>
    <xf borderId="8" fillId="3" fontId="16" numFmtId="0" xfId="0" applyAlignment="1" applyBorder="1" applyFont="1">
      <alignment horizontal="center" readingOrder="0" shrinkToFit="0" vertical="center" wrapText="1"/>
    </xf>
    <xf borderId="9" fillId="3" fontId="16" numFmtId="165" xfId="0" applyAlignment="1" applyBorder="1" applyFont="1" applyNumberFormat="1">
      <alignment horizontal="center" shrinkToFit="0" vertical="center" wrapText="1"/>
    </xf>
    <xf borderId="1" fillId="4" fontId="1" numFmtId="0" xfId="0" applyAlignment="1" applyBorder="1" applyFill="1" applyFont="1">
      <alignment horizontal="center" shrinkToFit="0" vertical="center" wrapText="1"/>
    </xf>
    <xf borderId="1" fillId="3" fontId="16" numFmtId="167" xfId="0" applyAlignment="1" applyBorder="1" applyFont="1" applyNumberFormat="1">
      <alignment horizontal="center" readingOrder="0" shrinkToFit="0" vertical="center" wrapText="1"/>
    </xf>
    <xf borderId="1" fillId="3" fontId="16" numFmtId="167" xfId="0" applyAlignment="1" applyBorder="1" applyFont="1" applyNumberFormat="1">
      <alignment horizontal="center" shrinkToFit="0" vertical="center" wrapText="1"/>
    </xf>
    <xf borderId="2" fillId="0" fontId="17" numFmtId="0" xfId="0" applyAlignment="1" applyBorder="1" applyFont="1">
      <alignment horizontal="center" readingOrder="0" shrinkToFit="0" vertical="center" wrapText="1"/>
    </xf>
    <xf borderId="0" fillId="0" fontId="18" numFmtId="0" xfId="0" applyAlignment="1" applyFont="1">
      <alignment horizontal="center" readingOrder="0"/>
    </xf>
    <xf borderId="10" fillId="0" fontId="19" numFmtId="0" xfId="0" applyAlignment="1" applyBorder="1" applyFont="1">
      <alignment horizontal="center" readingOrder="0"/>
    </xf>
    <xf borderId="11" fillId="0" fontId="4" numFmtId="0" xfId="0" applyBorder="1" applyFont="1"/>
    <xf borderId="12" fillId="0" fontId="4" numFmtId="0" xfId="0" applyBorder="1" applyFont="1"/>
    <xf borderId="13" fillId="0" fontId="7" numFmtId="0" xfId="0" applyAlignment="1" applyBorder="1" applyFont="1">
      <alignment horizontal="center"/>
    </xf>
    <xf borderId="13" fillId="0" fontId="18" numFmtId="0" xfId="0" applyAlignment="1" applyBorder="1" applyFont="1">
      <alignment horizontal="center" readingOrder="0"/>
    </xf>
    <xf borderId="14" fillId="0" fontId="18" numFmtId="0" xfId="0" applyAlignment="1" applyBorder="1" applyFont="1">
      <alignment horizontal="center" readingOrder="0"/>
    </xf>
    <xf borderId="15" fillId="0" fontId="7" numFmtId="0" xfId="0" applyAlignment="1" applyBorder="1" applyFont="1">
      <alignment horizontal="center" readingOrder="0"/>
    </xf>
    <xf borderId="6" fillId="0" fontId="7" numFmtId="0" xfId="0" applyAlignment="1" applyBorder="1" applyFont="1">
      <alignment horizontal="center" readingOrder="0"/>
    </xf>
    <xf borderId="16" fillId="0" fontId="7" numFmtId="0" xfId="0" applyAlignment="1" applyBorder="1" applyFont="1">
      <alignment horizontal="center" readingOrder="0"/>
    </xf>
    <xf borderId="17" fillId="0" fontId="18" numFmtId="0" xfId="0" applyAlignment="1" applyBorder="1" applyFont="1">
      <alignment horizontal="center" readingOrder="0"/>
    </xf>
    <xf borderId="18" fillId="0" fontId="7" numFmtId="0" xfId="0" applyAlignment="1" applyBorder="1" applyFont="1">
      <alignment horizontal="center" readingOrder="0"/>
    </xf>
    <xf borderId="1" fillId="0" fontId="7" numFmtId="0" xfId="0" applyAlignment="1" applyBorder="1" applyFont="1">
      <alignment horizontal="center" readingOrder="0"/>
    </xf>
    <xf borderId="19" fillId="0" fontId="7" numFmtId="0" xfId="0" applyAlignment="1" applyBorder="1" applyFont="1">
      <alignment horizontal="center" readingOrder="0"/>
    </xf>
    <xf borderId="20" fillId="0" fontId="20" numFmtId="0" xfId="0" applyAlignment="1" applyBorder="1" applyFont="1">
      <alignment horizontal="center" readingOrder="0"/>
    </xf>
    <xf borderId="21" fillId="0" fontId="20" numFmtId="2" xfId="0" applyAlignment="1" applyBorder="1" applyFont="1" applyNumberFormat="1">
      <alignment horizontal="center"/>
    </xf>
    <xf borderId="22" fillId="0" fontId="20" numFmtId="2" xfId="0" applyAlignment="1" applyBorder="1" applyFont="1" applyNumberFormat="1">
      <alignment horizontal="center"/>
    </xf>
    <xf borderId="23" fillId="0" fontId="20" numFmtId="2" xfId="0" applyAlignment="1" applyBorder="1" applyFont="1" applyNumberFormat="1">
      <alignment horizontal="center"/>
    </xf>
    <xf borderId="0" fillId="0" fontId="7" numFmtId="0" xfId="0" applyAlignment="1" applyFont="1">
      <alignment horizontal="center" readingOrder="0"/>
    </xf>
    <xf borderId="2" fillId="0" fontId="18" numFmtId="0" xfId="0" applyAlignment="1" applyBorder="1" applyFont="1">
      <alignment horizontal="center" readingOrder="0"/>
    </xf>
    <xf borderId="24" fillId="0" fontId="7" numFmtId="0" xfId="0" applyAlignment="1" applyBorder="1" applyFont="1">
      <alignment readingOrder="0"/>
    </xf>
    <xf borderId="0" fillId="0" fontId="7" numFmtId="0" xfId="0" applyAlignment="1" applyFont="1">
      <alignment readingOrder="0"/>
    </xf>
    <xf borderId="0" fillId="0" fontId="7" numFmtId="0" xfId="0" applyAlignment="1" applyFont="1">
      <alignment horizontal="right" readingOrder="0"/>
    </xf>
    <xf borderId="25" fillId="0" fontId="7" numFmtId="0" xfId="0" applyAlignment="1" applyBorder="1" applyFont="1">
      <alignment readingOrder="0"/>
    </xf>
    <xf borderId="24" fillId="0" fontId="5" numFmtId="0" xfId="0" applyAlignment="1" applyBorder="1" applyFont="1">
      <alignment readingOrder="0"/>
    </xf>
    <xf borderId="24" fillId="0" fontId="7" numFmtId="0" xfId="0" applyAlignment="1" applyBorder="1" applyFont="1">
      <alignment readingOrder="0" shrinkToFit="0" wrapText="1"/>
    </xf>
    <xf borderId="26" fillId="0" fontId="7" numFmtId="0" xfId="0" applyAlignment="1" applyBorder="1" applyFont="1">
      <alignment readingOrder="0"/>
    </xf>
    <xf borderId="27" fillId="0" fontId="7" numFmtId="0" xfId="0" applyBorder="1" applyFont="1"/>
    <xf borderId="28" fillId="0" fontId="7" numFmtId="0" xfId="0" applyBorder="1" applyFont="1"/>
    <xf borderId="2" fillId="0" fontId="2" numFmtId="0" xfId="0" applyAlignment="1" applyBorder="1" applyFont="1">
      <alignment horizontal="left" readingOrder="0" shrinkToFit="0" vertical="center" wrapText="1"/>
    </xf>
    <xf borderId="2" fillId="0" fontId="7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left" shrinkToFit="0" vertical="center" wrapText="1"/>
    </xf>
    <xf borderId="2" fillId="0" fontId="20" numFmtId="0" xfId="0" applyAlignment="1" applyBorder="1" applyFont="1">
      <alignment horizontal="center" readingOrder="0" shrinkToFit="0" vertical="center" wrapText="1"/>
    </xf>
    <xf borderId="0" fillId="0" fontId="7" numFmtId="0" xfId="0" applyAlignment="1" applyFont="1">
      <alignment horizontal="center" vertical="center"/>
    </xf>
    <xf borderId="0" fillId="0" fontId="3" numFmtId="0" xfId="0" applyAlignment="1" applyFont="1">
      <alignment horizontal="center" shrinkToFit="0" vertical="center" wrapText="1"/>
    </xf>
    <xf borderId="10" fillId="5" fontId="3" numFmtId="0" xfId="0" applyAlignment="1" applyBorder="1" applyFill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29" fillId="5" fontId="2" numFmtId="0" xfId="0" applyAlignment="1" applyBorder="1" applyFont="1">
      <alignment horizontal="center" shrinkToFit="0" vertical="center" wrapText="1"/>
    </xf>
    <xf borderId="14" fillId="6" fontId="2" numFmtId="0" xfId="0" applyAlignment="1" applyBorder="1" applyFill="1" applyFont="1">
      <alignment horizontal="center" readingOrder="0" shrinkToFit="0" vertical="center" wrapText="1"/>
    </xf>
    <xf borderId="27" fillId="0" fontId="4" numFmtId="0" xfId="0" applyBorder="1" applyFont="1"/>
    <xf borderId="30" fillId="0" fontId="4" numFmtId="0" xfId="0" applyBorder="1" applyFont="1"/>
    <xf borderId="31" fillId="5" fontId="2" numFmtId="0" xfId="0" applyAlignment="1" applyBorder="1" applyFont="1">
      <alignment horizontal="center" shrinkToFit="0" vertical="center" wrapText="1"/>
    </xf>
    <xf borderId="32" fillId="4" fontId="1" numFmtId="0" xfId="0" applyAlignment="1" applyBorder="1" applyFont="1">
      <alignment horizontal="center" shrinkToFit="0" vertical="center" wrapText="1"/>
    </xf>
    <xf borderId="14" fillId="0" fontId="4" numFmtId="0" xfId="0" applyBorder="1" applyFont="1"/>
    <xf borderId="33" fillId="6" fontId="2" numFmtId="0" xfId="0" applyAlignment="1" applyBorder="1" applyFont="1">
      <alignment horizontal="center" readingOrder="0" shrinkToFit="0" vertical="center" wrapText="1"/>
    </xf>
    <xf borderId="34" fillId="6" fontId="2" numFmtId="0" xfId="0" applyAlignment="1" applyBorder="1" applyFont="1">
      <alignment horizontal="center" readingOrder="0" shrinkToFit="0" vertical="center" wrapText="1"/>
    </xf>
    <xf borderId="34" fillId="6" fontId="2" numFmtId="0" xfId="0" applyAlignment="1" applyBorder="1" applyFont="1">
      <alignment horizontal="center" shrinkToFit="0" vertical="center" wrapText="1"/>
    </xf>
    <xf borderId="35" fillId="6" fontId="2" numFmtId="0" xfId="0" applyAlignment="1" applyBorder="1" applyFont="1">
      <alignment horizontal="center" shrinkToFit="0" vertical="center" wrapText="1"/>
    </xf>
    <xf borderId="15" fillId="6" fontId="2" numFmtId="0" xfId="0" applyAlignment="1" applyBorder="1" applyFont="1">
      <alignment horizontal="center" readingOrder="0" shrinkToFit="0" vertical="center" wrapText="1"/>
    </xf>
    <xf borderId="36" fillId="6" fontId="2" numFmtId="0" xfId="0" applyAlignment="1" applyBorder="1" applyFont="1">
      <alignment horizontal="center" readingOrder="0" shrinkToFit="0" vertical="center" wrapText="1"/>
    </xf>
    <xf borderId="37" fillId="6" fontId="2" numFmtId="0" xfId="0" applyAlignment="1" applyBorder="1" applyFont="1">
      <alignment horizontal="center" shrinkToFit="0" vertical="center" wrapText="1"/>
    </xf>
    <xf borderId="38" fillId="0" fontId="4" numFmtId="0" xfId="0" applyBorder="1" applyFont="1"/>
    <xf borderId="39" fillId="0" fontId="4" numFmtId="0" xfId="0" applyBorder="1" applyFont="1"/>
    <xf borderId="0" fillId="0" fontId="7" numFmtId="0" xfId="0" applyAlignment="1" applyFont="1">
      <alignment horizontal="center" readingOrder="0" vertical="center"/>
    </xf>
    <xf borderId="17" fillId="3" fontId="2" numFmtId="0" xfId="0" applyAlignment="1" applyBorder="1" applyFont="1">
      <alignment horizontal="center" readingOrder="0" shrinkToFit="0" vertical="center" wrapText="1"/>
    </xf>
    <xf borderId="15" fillId="0" fontId="1" numFmtId="0" xfId="0" applyAlignment="1" applyBorder="1" applyFont="1">
      <alignment horizontal="center" readingOrder="0" shrinkToFit="0" vertical="center" wrapText="1"/>
    </xf>
    <xf borderId="28" fillId="0" fontId="1" numFmtId="0" xfId="0" applyAlignment="1" applyBorder="1" applyFont="1">
      <alignment horizontal="center" readingOrder="0" shrinkToFit="0" vertical="center" wrapText="1"/>
    </xf>
    <xf borderId="34" fillId="3" fontId="1" numFmtId="168" xfId="0" applyAlignment="1" applyBorder="1" applyFont="1" applyNumberFormat="1">
      <alignment horizontal="center" readingOrder="0" shrinkToFit="0" vertical="center" wrapText="1"/>
    </xf>
    <xf borderId="34" fillId="0" fontId="1" numFmtId="168" xfId="0" applyAlignment="1" applyBorder="1" applyFont="1" applyNumberFormat="1">
      <alignment horizontal="center" readingOrder="0" shrinkToFit="0" vertical="center" wrapText="1"/>
    </xf>
    <xf borderId="35" fillId="3" fontId="1" numFmtId="168" xfId="0" applyAlignment="1" applyBorder="1" applyFont="1" applyNumberFormat="1">
      <alignment horizontal="center" shrinkToFit="0" vertical="center" wrapText="1"/>
    </xf>
    <xf borderId="40" fillId="7" fontId="1" numFmtId="166" xfId="0" applyAlignment="1" applyBorder="1" applyFill="1" applyFont="1" applyNumberFormat="1">
      <alignment horizontal="center" vertical="center"/>
    </xf>
    <xf borderId="34" fillId="3" fontId="1" numFmtId="168" xfId="0" applyAlignment="1" applyBorder="1" applyFont="1" applyNumberFormat="1">
      <alignment horizontal="center" shrinkToFit="0" vertical="center" wrapText="1"/>
    </xf>
    <xf borderId="38" fillId="7" fontId="1" numFmtId="166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 vertical="center"/>
    </xf>
    <xf borderId="20" fillId="3" fontId="2" numFmtId="0" xfId="0" applyAlignment="1" applyBorder="1" applyFont="1">
      <alignment horizontal="center" readingOrder="0" shrinkToFit="0" vertical="center" wrapText="1"/>
    </xf>
    <xf borderId="41" fillId="0" fontId="1" numFmtId="0" xfId="0" applyAlignment="1" applyBorder="1" applyFont="1">
      <alignment horizontal="center" readingOrder="0" shrinkToFit="0" vertical="center" wrapText="1"/>
    </xf>
    <xf borderId="42" fillId="0" fontId="1" numFmtId="0" xfId="0" applyAlignment="1" applyBorder="1" applyFont="1">
      <alignment horizontal="center" readingOrder="0" shrinkToFit="0" vertical="center" wrapText="1"/>
    </xf>
    <xf borderId="43" fillId="3" fontId="1" numFmtId="168" xfId="0" applyAlignment="1" applyBorder="1" applyFont="1" applyNumberFormat="1">
      <alignment horizontal="center" shrinkToFit="0" vertical="center" wrapText="1"/>
    </xf>
    <xf borderId="43" fillId="0" fontId="1" numFmtId="168" xfId="0" applyAlignment="1" applyBorder="1" applyFont="1" applyNumberFormat="1">
      <alignment horizontal="center" readingOrder="0" shrinkToFit="0" vertical="center" wrapText="1"/>
    </xf>
    <xf borderId="44" fillId="3" fontId="1" numFmtId="168" xfId="0" applyAlignment="1" applyBorder="1" applyFont="1" applyNumberFormat="1">
      <alignment horizontal="center" shrinkToFit="0" vertical="center" wrapText="1"/>
    </xf>
    <xf borderId="45" fillId="7" fontId="1" numFmtId="166" xfId="0" applyAlignment="1" applyBorder="1" applyFont="1" applyNumberFormat="1">
      <alignment horizontal="center" vertical="center"/>
    </xf>
    <xf borderId="27" fillId="0" fontId="7" numFmtId="0" xfId="0" applyAlignment="1" applyBorder="1" applyFont="1">
      <alignment horizontal="center" vertical="center"/>
    </xf>
    <xf borderId="0" fillId="0" fontId="7" numFmtId="168" xfId="0" applyAlignment="1" applyFont="1" applyNumberFormat="1">
      <alignment horizontal="center" vertical="center"/>
    </xf>
    <xf borderId="25" fillId="0" fontId="7" numFmtId="0" xfId="0" applyAlignment="1" applyBorder="1" applyFont="1">
      <alignment horizontal="center" vertical="center"/>
    </xf>
    <xf borderId="46" fillId="8" fontId="2" numFmtId="0" xfId="0" applyAlignment="1" applyBorder="1" applyFill="1" applyFont="1">
      <alignment horizontal="center" shrinkToFit="0" vertical="center" wrapText="1"/>
    </xf>
    <xf borderId="47" fillId="8" fontId="2" numFmtId="0" xfId="0" applyAlignment="1" applyBorder="1" applyFont="1">
      <alignment horizontal="center" readingOrder="0" shrinkToFit="0" vertical="center" wrapText="1"/>
    </xf>
    <xf borderId="48" fillId="0" fontId="4" numFmtId="0" xfId="0" applyBorder="1" applyFont="1"/>
    <xf borderId="49" fillId="0" fontId="4" numFmtId="0" xfId="0" applyBorder="1" applyFont="1"/>
    <xf borderId="2" fillId="8" fontId="2" numFmtId="0" xfId="0" applyAlignment="1" applyBorder="1" applyFont="1">
      <alignment horizontal="center" readingOrder="0" shrinkToFit="0" vertical="center" wrapText="1"/>
    </xf>
    <xf borderId="0" fillId="0" fontId="13" numFmtId="0" xfId="0" applyAlignment="1" applyFont="1">
      <alignment horizontal="center" vertical="center"/>
    </xf>
    <xf borderId="36" fillId="0" fontId="4" numFmtId="0" xfId="0" applyBorder="1" applyFont="1"/>
    <xf borderId="34" fillId="8" fontId="2" numFmtId="0" xfId="0" applyAlignment="1" applyBorder="1" applyFont="1">
      <alignment horizontal="center" shrinkToFit="0" vertical="center" wrapText="1"/>
    </xf>
    <xf borderId="1" fillId="8" fontId="2" numFmtId="0" xfId="0" applyAlignment="1" applyBorder="1" applyFont="1">
      <alignment horizontal="center" shrinkToFit="0" vertical="center" wrapText="1"/>
    </xf>
    <xf borderId="1" fillId="8" fontId="2" numFmtId="0" xfId="0" applyAlignment="1" applyBorder="1" applyFont="1">
      <alignment horizontal="center" shrinkToFit="0" vertical="center" wrapText="1"/>
    </xf>
    <xf borderId="1" fillId="8" fontId="2" numFmtId="0" xfId="0" applyAlignment="1" applyBorder="1" applyFont="1">
      <alignment horizontal="center" shrinkToFit="0" vertical="center" wrapText="1"/>
    </xf>
    <xf borderId="34" fillId="9" fontId="2" numFmtId="0" xfId="0" applyAlignment="1" applyBorder="1" applyFill="1" applyFont="1">
      <alignment horizontal="center" readingOrder="0" shrinkToFit="0" vertical="center" wrapText="1"/>
    </xf>
    <xf borderId="34" fillId="3" fontId="1" numFmtId="168" xfId="0" applyAlignment="1" applyBorder="1" applyFont="1" applyNumberFormat="1">
      <alignment horizontal="center" readingOrder="0" shrinkToFit="0" vertical="center" wrapText="1"/>
    </xf>
    <xf borderId="47" fillId="3" fontId="1" numFmtId="168" xfId="0" applyAlignment="1" applyBorder="1" applyFont="1" applyNumberFormat="1">
      <alignment horizontal="center" readingOrder="0" shrinkToFit="0" vertical="center" wrapText="1"/>
    </xf>
    <xf borderId="1" fillId="3" fontId="1" numFmtId="168" xfId="0" applyAlignment="1" applyBorder="1" applyFont="1" applyNumberFormat="1">
      <alignment horizontal="center" readingOrder="0" shrinkToFit="0" vertical="center" wrapText="1"/>
    </xf>
    <xf borderId="1" fillId="3" fontId="1" numFmtId="168" xfId="0" applyAlignment="1" applyBorder="1" applyFont="1" applyNumberFormat="1">
      <alignment horizontal="center" shrinkToFit="0" vertical="center" wrapText="1"/>
    </xf>
    <xf borderId="10" fillId="5" fontId="3" numFmtId="0" xfId="0" applyAlignment="1" applyBorder="1" applyFont="1">
      <alignment horizontal="center" shrinkToFit="0" vertical="center" wrapText="1"/>
    </xf>
    <xf borderId="50" fillId="6" fontId="2" numFmtId="0" xfId="0" applyAlignment="1" applyBorder="1" applyFont="1">
      <alignment horizontal="center" readingOrder="0" shrinkToFit="0" vertical="center" wrapText="1"/>
    </xf>
    <xf borderId="51" fillId="0" fontId="4" numFmtId="0" xfId="0" applyBorder="1" applyFont="1"/>
    <xf borderId="52" fillId="0" fontId="4" numFmtId="0" xfId="0" applyBorder="1" applyFont="1"/>
    <xf borderId="27" fillId="6" fontId="2" numFmtId="0" xfId="0" applyAlignment="1" applyBorder="1" applyFont="1">
      <alignment horizontal="center" readingOrder="0" shrinkToFit="0" vertical="center" wrapText="1"/>
    </xf>
    <xf borderId="53" fillId="5" fontId="2" numFmtId="0" xfId="0" applyAlignment="1" applyBorder="1" applyFont="1">
      <alignment horizontal="center" shrinkToFit="0" vertical="center" wrapText="1"/>
    </xf>
    <xf borderId="54" fillId="4" fontId="1" numFmtId="0" xfId="0" applyAlignment="1" applyBorder="1" applyFont="1">
      <alignment horizontal="center" shrinkToFit="0" vertical="center" wrapText="1"/>
    </xf>
    <xf borderId="18" fillId="6" fontId="2" numFmtId="0" xfId="0" applyAlignment="1" applyBorder="1" applyFont="1">
      <alignment horizontal="center" readingOrder="0" shrinkToFit="0" vertical="center" wrapText="1"/>
    </xf>
    <xf borderId="1" fillId="6" fontId="2" numFmtId="0" xfId="0" applyAlignment="1" applyBorder="1" applyFont="1">
      <alignment horizontal="center" shrinkToFit="0" vertical="center" wrapText="1"/>
    </xf>
    <xf borderId="19" fillId="6" fontId="2" numFmtId="0" xfId="0" applyAlignment="1" applyBorder="1" applyFont="1">
      <alignment horizontal="center" shrinkToFit="0" vertical="center" wrapText="1"/>
    </xf>
    <xf borderId="3" fillId="6" fontId="2" numFmtId="0" xfId="0" applyAlignment="1" applyBorder="1" applyFont="1">
      <alignment horizontal="center" readingOrder="0" shrinkToFit="0" vertical="center" wrapText="1"/>
    </xf>
    <xf borderId="2" fillId="6" fontId="2" numFmtId="0" xfId="0" applyAlignment="1" applyBorder="1" applyFont="1">
      <alignment horizontal="center" shrinkToFit="0" vertical="center" wrapText="1"/>
    </xf>
    <xf borderId="55" fillId="0" fontId="4" numFmtId="0" xfId="0" applyBorder="1" applyFont="1"/>
    <xf borderId="18" fillId="0" fontId="1" numFmtId="0" xfId="0" applyAlignment="1" applyBorder="1" applyFont="1">
      <alignment horizontal="center" readingOrder="0" shrinkToFit="0" vertical="center" wrapText="1"/>
    </xf>
    <xf borderId="19" fillId="3" fontId="1" numFmtId="168" xfId="0" applyAlignment="1" applyBorder="1" applyFont="1" applyNumberFormat="1">
      <alignment horizontal="center" shrinkToFit="0" vertical="center" wrapText="1"/>
    </xf>
    <xf borderId="1" fillId="0" fontId="1" numFmtId="168" xfId="0" applyAlignment="1" applyBorder="1" applyFont="1" applyNumberFormat="1">
      <alignment horizontal="center" readingOrder="0" shrinkToFit="0" vertical="center" wrapText="1"/>
    </xf>
    <xf borderId="2" fillId="3" fontId="1" numFmtId="168" xfId="0" applyAlignment="1" applyBorder="1" applyFont="1" applyNumberFormat="1">
      <alignment horizontal="center" shrinkToFit="0" vertical="center" wrapText="1"/>
    </xf>
    <xf borderId="56" fillId="7" fontId="1" numFmtId="166" xfId="0" applyAlignment="1" applyBorder="1" applyFont="1" applyNumberFormat="1">
      <alignment horizontal="center" vertical="center"/>
    </xf>
    <xf borderId="21" fillId="0" fontId="1" numFmtId="0" xfId="0" applyAlignment="1" applyBorder="1" applyFont="1">
      <alignment horizontal="center" readingOrder="0" shrinkToFit="0" vertical="center" wrapText="1"/>
    </xf>
    <xf borderId="22" fillId="0" fontId="1" numFmtId="0" xfId="0" applyAlignment="1" applyBorder="1" applyFont="1">
      <alignment horizontal="center" readingOrder="0" shrinkToFit="0" vertical="center" wrapText="1"/>
    </xf>
    <xf borderId="23" fillId="3" fontId="1" numFmtId="168" xfId="0" applyAlignment="1" applyBorder="1" applyFont="1" applyNumberFormat="1">
      <alignment horizontal="center" shrinkToFit="0" vertical="center" wrapText="1"/>
    </xf>
    <xf borderId="22" fillId="0" fontId="1" numFmtId="168" xfId="0" applyAlignment="1" applyBorder="1" applyFont="1" applyNumberFormat="1">
      <alignment horizontal="center" readingOrder="0" shrinkToFit="0" vertical="center" wrapText="1"/>
    </xf>
    <xf borderId="57" fillId="3" fontId="1" numFmtId="168" xfId="0" applyAlignment="1" applyBorder="1" applyFont="1" applyNumberFormat="1">
      <alignment horizontal="center" shrinkToFit="0" vertical="center" wrapText="1"/>
    </xf>
    <xf borderId="58" fillId="8" fontId="2" numFmtId="0" xfId="0" applyAlignment="1" applyBorder="1" applyFont="1">
      <alignment horizontal="center" vertical="center"/>
    </xf>
    <xf borderId="50" fillId="8" fontId="2" numFmtId="0" xfId="0" applyAlignment="1" applyBorder="1" applyFont="1">
      <alignment horizontal="center" readingOrder="0" vertical="center"/>
    </xf>
    <xf borderId="51" fillId="8" fontId="2" numFmtId="0" xfId="0" applyAlignment="1" applyBorder="1" applyFont="1">
      <alignment horizontal="center" readingOrder="0" shrinkToFit="0" vertical="center" wrapText="1"/>
    </xf>
    <xf borderId="59" fillId="0" fontId="4" numFmtId="0" xfId="0" applyBorder="1" applyFont="1"/>
    <xf borderId="50" fillId="8" fontId="2" numFmtId="0" xfId="0" applyAlignment="1" applyBorder="1" applyFont="1">
      <alignment horizontal="center" readingOrder="0" shrinkToFit="0" vertical="center" wrapText="1"/>
    </xf>
    <xf borderId="60" fillId="0" fontId="4" numFmtId="0" xfId="0" applyBorder="1" applyFont="1"/>
    <xf borderId="21" fillId="8" fontId="2" numFmtId="0" xfId="0" applyAlignment="1" applyBorder="1" applyFont="1">
      <alignment horizontal="center" vertical="center"/>
    </xf>
    <xf borderId="22" fillId="8" fontId="2" numFmtId="0" xfId="0" applyAlignment="1" applyBorder="1" applyFont="1">
      <alignment horizontal="center" vertical="center"/>
    </xf>
    <xf borderId="23" fillId="8" fontId="2" numFmtId="0" xfId="0" applyAlignment="1" applyBorder="1" applyFont="1">
      <alignment horizontal="center" vertical="center"/>
    </xf>
    <xf borderId="61" fillId="8" fontId="2" numFmtId="0" xfId="0" applyAlignment="1" applyBorder="1" applyFont="1">
      <alignment horizontal="center" shrinkToFit="0" vertical="center" wrapText="1"/>
    </xf>
    <xf borderId="22" fillId="8" fontId="2" numFmtId="0" xfId="0" applyAlignment="1" applyBorder="1" applyFont="1">
      <alignment horizontal="center" shrinkToFit="0" vertical="center" wrapText="1"/>
    </xf>
    <xf borderId="57" fillId="8" fontId="2" numFmtId="0" xfId="0" applyAlignment="1" applyBorder="1" applyFont="1">
      <alignment horizontal="center" shrinkToFit="0" vertical="center" wrapText="1"/>
    </xf>
    <xf borderId="21" fillId="8" fontId="2" numFmtId="0" xfId="0" applyAlignment="1" applyBorder="1" applyFont="1">
      <alignment horizontal="center" shrinkToFit="0" vertical="center" wrapText="1"/>
    </xf>
    <xf borderId="22" fillId="8" fontId="2" numFmtId="0" xfId="0" applyAlignment="1" applyBorder="1" applyFont="1">
      <alignment horizontal="center" shrinkToFit="0" vertical="center" wrapText="1"/>
    </xf>
    <xf borderId="23" fillId="8" fontId="2" numFmtId="0" xfId="0" applyAlignment="1" applyBorder="1" applyFont="1">
      <alignment horizontal="center" shrinkToFit="0" vertical="center" wrapText="1"/>
    </xf>
    <xf borderId="21" fillId="8" fontId="2" numFmtId="0" xfId="0" applyAlignment="1" applyBorder="1" applyFont="1">
      <alignment horizontal="center" shrinkToFit="0" vertical="center" wrapText="1"/>
    </xf>
    <xf borderId="23" fillId="8" fontId="2" numFmtId="0" xfId="0" applyAlignment="1" applyBorder="1" applyFont="1">
      <alignment horizontal="center" shrinkToFit="0" vertical="center" wrapText="1"/>
    </xf>
    <xf borderId="14" fillId="9" fontId="2" numFmtId="0" xfId="0" applyAlignment="1" applyBorder="1" applyFont="1">
      <alignment horizontal="center" readingOrder="0" shrinkToFit="0" vertical="center" wrapText="1"/>
    </xf>
    <xf borderId="15" fillId="3" fontId="1" numFmtId="168" xfId="0" applyAlignment="1" applyBorder="1" applyFont="1" applyNumberFormat="1">
      <alignment horizontal="center" readingOrder="0" vertical="center"/>
    </xf>
    <xf borderId="6" fillId="3" fontId="1" numFmtId="168" xfId="0" applyAlignment="1" applyBorder="1" applyFont="1" applyNumberFormat="1">
      <alignment horizontal="center" readingOrder="0" vertical="center"/>
    </xf>
    <xf borderId="16" fillId="3" fontId="1" numFmtId="168" xfId="0" applyAlignment="1" applyBorder="1" applyFont="1" applyNumberFormat="1">
      <alignment horizontal="center" readingOrder="0" vertical="center"/>
    </xf>
    <xf borderId="28" fillId="3" fontId="1" numFmtId="168" xfId="0" applyAlignment="1" applyBorder="1" applyFont="1" applyNumberFormat="1">
      <alignment horizontal="center" readingOrder="0" shrinkToFit="0" vertical="center" wrapText="1"/>
    </xf>
    <xf borderId="26" fillId="3" fontId="1" numFmtId="168" xfId="0" applyAlignment="1" applyBorder="1" applyFont="1" applyNumberFormat="1">
      <alignment horizontal="center" readingOrder="0" vertical="center"/>
    </xf>
    <xf borderId="15" fillId="3" fontId="1" numFmtId="168" xfId="0" applyAlignment="1" applyBorder="1" applyFont="1" applyNumberFormat="1">
      <alignment horizontal="center" shrinkToFit="0" vertical="center" wrapText="1"/>
    </xf>
    <xf borderId="17" fillId="9" fontId="2" numFmtId="0" xfId="0" applyAlignment="1" applyBorder="1" applyFont="1">
      <alignment horizontal="center" readingOrder="0" shrinkToFit="0" vertical="center" wrapText="1"/>
    </xf>
    <xf borderId="18" fillId="3" fontId="1" numFmtId="168" xfId="0" applyAlignment="1" applyBorder="1" applyFont="1" applyNumberFormat="1">
      <alignment horizontal="center" readingOrder="0" vertical="center"/>
    </xf>
    <xf borderId="1" fillId="3" fontId="1" numFmtId="168" xfId="0" applyAlignment="1" applyBorder="1" applyFont="1" applyNumberFormat="1">
      <alignment horizontal="center" readingOrder="0" vertical="center"/>
    </xf>
    <xf borderId="19" fillId="3" fontId="1" numFmtId="168" xfId="0" applyAlignment="1" applyBorder="1" applyFont="1" applyNumberFormat="1">
      <alignment horizontal="center" readingOrder="0" vertical="center"/>
    </xf>
    <xf borderId="3" fillId="3" fontId="1" numFmtId="168" xfId="0" applyAlignment="1" applyBorder="1" applyFont="1" applyNumberFormat="1">
      <alignment horizontal="center" readingOrder="0" shrinkToFit="0" vertical="center" wrapText="1"/>
    </xf>
    <xf borderId="2" fillId="3" fontId="1" numFmtId="168" xfId="0" applyAlignment="1" applyBorder="1" applyFont="1" applyNumberFormat="1">
      <alignment horizontal="center" readingOrder="0" shrinkToFit="0" vertical="center" wrapText="1"/>
    </xf>
    <xf borderId="18" fillId="3" fontId="1" numFmtId="168" xfId="0" applyAlignment="1" applyBorder="1" applyFont="1" applyNumberFormat="1">
      <alignment horizontal="center" shrinkToFit="0" vertical="center" wrapText="1"/>
    </xf>
    <xf borderId="19" fillId="3" fontId="1" numFmtId="168" xfId="0" applyAlignment="1" applyBorder="1" applyFont="1" applyNumberFormat="1">
      <alignment horizontal="center" shrinkToFit="0" vertical="center" wrapText="1"/>
    </xf>
    <xf borderId="20" fillId="9" fontId="2" numFmtId="0" xfId="0" applyAlignment="1" applyBorder="1" applyFont="1">
      <alignment horizontal="center" readingOrder="0" shrinkToFit="0" vertical="center" wrapText="1"/>
    </xf>
    <xf borderId="21" fillId="3" fontId="1" numFmtId="168" xfId="0" applyAlignment="1" applyBorder="1" applyFont="1" applyNumberFormat="1">
      <alignment horizontal="center" vertical="center"/>
    </xf>
    <xf borderId="22" fillId="3" fontId="1" numFmtId="168" xfId="0" applyAlignment="1" applyBorder="1" applyFont="1" applyNumberFormat="1">
      <alignment horizontal="center" vertical="center"/>
    </xf>
    <xf borderId="23" fillId="3" fontId="1" numFmtId="168" xfId="0" applyAlignment="1" applyBorder="1" applyFont="1" applyNumberFormat="1">
      <alignment horizontal="center" vertical="center"/>
    </xf>
    <xf borderId="61" fillId="3" fontId="1" numFmtId="168" xfId="0" applyAlignment="1" applyBorder="1" applyFont="1" applyNumberFormat="1">
      <alignment horizontal="center" shrinkToFit="0" vertical="center" wrapText="1"/>
    </xf>
    <xf borderId="22" fillId="3" fontId="1" numFmtId="168" xfId="0" applyAlignment="1" applyBorder="1" applyFont="1" applyNumberFormat="1">
      <alignment horizontal="center" shrinkToFit="0" vertical="center" wrapText="1"/>
    </xf>
    <xf borderId="57" fillId="3" fontId="1" numFmtId="168" xfId="0" applyAlignment="1" applyBorder="1" applyFont="1" applyNumberFormat="1">
      <alignment horizontal="center" shrinkToFit="0" vertical="center" wrapText="1"/>
    </xf>
    <xf borderId="21" fillId="3" fontId="1" numFmtId="168" xfId="0" applyAlignment="1" applyBorder="1" applyFont="1" applyNumberFormat="1">
      <alignment horizontal="center" shrinkToFit="0" vertical="center" wrapText="1"/>
    </xf>
    <xf borderId="23" fillId="3" fontId="1" numFmtId="168" xfId="0" applyAlignment="1" applyBorder="1" applyFont="1" applyNumberFormat="1">
      <alignment horizontal="center" shrinkToFit="0" vertical="center" wrapText="1"/>
    </xf>
    <xf borderId="0" fillId="0" fontId="5" numFmtId="165" xfId="0" applyAlignment="1" applyFont="1" applyNumberFormat="1">
      <alignment horizontal="center" vertical="center"/>
    </xf>
    <xf borderId="28" fillId="0" fontId="4" numFmtId="0" xfId="0" applyBorder="1" applyFont="1"/>
    <xf borderId="62" fillId="4" fontId="1" numFmtId="0" xfId="0" applyAlignment="1" applyBorder="1" applyFont="1">
      <alignment horizontal="center" shrinkToFit="0" vertical="center" wrapText="1"/>
    </xf>
    <xf borderId="4" fillId="8" fontId="2" numFmtId="0" xfId="0" applyAlignment="1" applyBorder="1" applyFont="1">
      <alignment horizontal="center" vertical="center"/>
    </xf>
    <xf borderId="2" fillId="8" fontId="2" numFmtId="0" xfId="0" applyAlignment="1" applyBorder="1" applyFont="1">
      <alignment horizontal="center" readingOrder="0" vertical="center"/>
    </xf>
    <xf borderId="1" fillId="8" fontId="2" numFmtId="0" xfId="0" applyAlignment="1" applyBorder="1" applyFont="1">
      <alignment horizontal="center" vertical="center"/>
    </xf>
    <xf borderId="1" fillId="9" fontId="2" numFmtId="0" xfId="0" applyAlignment="1" applyBorder="1" applyFont="1">
      <alignment horizontal="center" readingOrder="0" shrinkToFit="0" vertical="center" wrapText="1"/>
    </xf>
    <xf borderId="1" fillId="3" fontId="1" numFmtId="168" xfId="0" applyAlignment="1" applyBorder="1" applyFont="1" applyNumberFormat="1">
      <alignment horizontal="center" vertical="center"/>
    </xf>
    <xf borderId="0" fillId="0" fontId="1" numFmtId="0" xfId="0" applyAlignment="1" applyFont="1">
      <alignment horizontal="left" shrinkToFit="0" vertical="center" wrapText="1"/>
    </xf>
    <xf borderId="2" fillId="0" fontId="1" numFmtId="0" xfId="0" applyAlignment="1" applyBorder="1" applyFont="1">
      <alignment horizontal="left" shrinkToFit="0" vertical="center" wrapText="1"/>
    </xf>
    <xf borderId="2" fillId="0" fontId="1" numFmtId="0" xfId="0" applyAlignment="1" applyBorder="1" applyFont="1">
      <alignment horizontal="center" readingOrder="0" shrinkToFit="0" vertical="center" wrapText="1"/>
    </xf>
    <xf borderId="2" fillId="0" fontId="21" numFmtId="0" xfId="0" applyAlignment="1" applyBorder="1" applyFont="1">
      <alignment horizontal="center" readingOrder="0" shrinkToFit="0" vertical="center" wrapText="1"/>
    </xf>
    <xf borderId="2" fillId="0" fontId="22" numFmtId="0" xfId="0" applyAlignment="1" applyBorder="1" applyFont="1">
      <alignment horizontal="center" shrinkToFit="0" vertical="center" wrapText="1"/>
    </xf>
    <xf borderId="1" fillId="4" fontId="2" numFmtId="0" xfId="0" applyAlignment="1" applyBorder="1" applyFont="1">
      <alignment horizontal="center" shrinkToFit="0" vertical="center" wrapText="1"/>
    </xf>
    <xf borderId="1" fillId="10" fontId="22" numFmtId="0" xfId="0" applyAlignment="1" applyBorder="1" applyFill="1" applyFont="1">
      <alignment horizontal="center" shrinkToFit="0" vertical="center" wrapText="1"/>
    </xf>
    <xf borderId="1" fillId="11" fontId="22" numFmtId="165" xfId="0" applyAlignment="1" applyBorder="1" applyFill="1" applyFont="1" applyNumberFormat="1">
      <alignment horizontal="center" shrinkToFit="0" vertical="center" wrapText="1"/>
    </xf>
    <xf borderId="1" fillId="3" fontId="22" numFmtId="0" xfId="0" applyAlignment="1" applyBorder="1" applyFont="1">
      <alignment horizontal="center" readingOrder="0" shrinkToFit="0" vertical="center" wrapText="1"/>
    </xf>
    <xf borderId="1" fillId="11" fontId="23" numFmtId="165" xfId="0" applyAlignment="1" applyBorder="1" applyFont="1" applyNumberFormat="1">
      <alignment horizontal="center" readingOrder="0" shrinkToFit="0" vertical="center" wrapText="1"/>
    </xf>
    <xf borderId="4" fillId="4" fontId="2" numFmtId="0" xfId="0" applyAlignment="1" applyBorder="1" applyFont="1">
      <alignment horizontal="center" shrinkToFit="0" vertical="center" wrapText="1"/>
    </xf>
    <xf borderId="1" fillId="12" fontId="22" numFmtId="0" xfId="0" applyAlignment="1" applyBorder="1" applyFill="1" applyFont="1">
      <alignment horizontal="center" shrinkToFit="0" vertical="center" wrapText="1"/>
    </xf>
    <xf borderId="1" fillId="12" fontId="1" numFmtId="165" xfId="0" applyAlignment="1" applyBorder="1" applyFont="1" applyNumberFormat="1">
      <alignment horizontal="center" shrinkToFit="0" vertical="center" wrapText="1"/>
    </xf>
    <xf borderId="4" fillId="4" fontId="24" numFmtId="0" xfId="0" applyAlignment="1" applyBorder="1" applyFont="1">
      <alignment horizontal="center" shrinkToFit="0" vertical="center" wrapText="1"/>
    </xf>
    <xf borderId="1" fillId="13" fontId="22" numFmtId="0" xfId="0" applyAlignment="1" applyBorder="1" applyFill="1" applyFont="1">
      <alignment horizontal="center" shrinkToFit="0" vertical="center" wrapText="1"/>
    </xf>
    <xf borderId="1" fillId="13" fontId="16" numFmtId="165" xfId="0" applyAlignment="1" applyBorder="1" applyFont="1" applyNumberFormat="1">
      <alignment horizontal="center" shrinkToFit="0" vertical="center" wrapText="1"/>
    </xf>
    <xf borderId="4" fillId="10" fontId="22" numFmtId="0" xfId="0" applyAlignment="1" applyBorder="1" applyFont="1">
      <alignment horizontal="center" shrinkToFit="0" vertical="center" wrapText="1"/>
    </xf>
    <xf borderId="4" fillId="11" fontId="22" numFmtId="165" xfId="0" applyAlignment="1" applyBorder="1" applyFont="1" applyNumberFormat="1">
      <alignment horizontal="center" shrinkToFit="0" vertical="center" wrapText="1"/>
    </xf>
    <xf borderId="0" fillId="0" fontId="16" numFmtId="0" xfId="0" applyAlignment="1" applyFont="1">
      <alignment horizontal="center" shrinkToFit="0" vertical="center" wrapText="1"/>
    </xf>
    <xf borderId="1" fillId="11" fontId="16" numFmtId="165" xfId="0" applyAlignment="1" applyBorder="1" applyFont="1" applyNumberFormat="1">
      <alignment horizontal="center" shrinkToFit="0" vertical="center" wrapText="1"/>
    </xf>
    <xf borderId="0" fillId="0" fontId="25" numFmtId="0" xfId="0" applyAlignment="1" applyFont="1">
      <alignment horizontal="center" shrinkToFit="0" vertical="center" wrapText="1"/>
    </xf>
    <xf borderId="1" fillId="12" fontId="22" numFmtId="0" xfId="0" applyAlignment="1" applyBorder="1" applyFont="1">
      <alignment horizontal="center" readingOrder="0" shrinkToFit="0" vertical="center" wrapText="1"/>
    </xf>
    <xf borderId="1" fillId="12" fontId="16" numFmtId="165" xfId="0" applyAlignment="1" applyBorder="1" applyFont="1" applyNumberFormat="1">
      <alignment horizontal="center" shrinkToFit="0" vertical="center" wrapText="1"/>
    </xf>
    <xf borderId="63" fillId="4" fontId="2" numFmtId="0" xfId="0" applyAlignment="1" applyBorder="1" applyFont="1">
      <alignment horizontal="center" readingOrder="0" vertical="center"/>
    </xf>
    <xf borderId="62" fillId="14" fontId="2" numFmtId="9" xfId="0" applyAlignment="1" applyBorder="1" applyFill="1" applyFont="1" applyNumberFormat="1">
      <alignment horizontal="center" readingOrder="0" vertical="center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 readingOrder="0" vertical="center"/>
    </xf>
    <xf borderId="64" fillId="4" fontId="2" numFmtId="0" xfId="0" applyAlignment="1" applyBorder="1" applyFont="1">
      <alignment horizontal="center" vertical="center"/>
    </xf>
    <xf borderId="64" fillId="14" fontId="2" numFmtId="9" xfId="0" applyAlignment="1" applyBorder="1" applyFont="1" applyNumberFormat="1">
      <alignment horizontal="center" vertical="center"/>
    </xf>
    <xf borderId="63" fillId="4" fontId="2" numFmtId="0" xfId="0" applyAlignment="1" applyBorder="1" applyFont="1">
      <alignment horizontal="center" vertical="center"/>
    </xf>
    <xf borderId="63" fillId="14" fontId="2" numFmtId="9" xfId="0" applyAlignment="1" applyBorder="1" applyFont="1" applyNumberFormat="1">
      <alignment horizontal="center" vertical="center"/>
    </xf>
    <xf borderId="31" fillId="0" fontId="1" numFmtId="0" xfId="0" applyAlignment="1" applyBorder="1" applyFont="1">
      <alignment horizontal="center" shrinkToFit="0" vertical="center" wrapText="1"/>
    </xf>
    <xf borderId="50" fillId="15" fontId="1" numFmtId="0" xfId="0" applyAlignment="1" applyBorder="1" applyFill="1" applyFont="1">
      <alignment horizontal="center" vertical="center"/>
    </xf>
    <xf borderId="7" fillId="16" fontId="1" numFmtId="0" xfId="0" applyAlignment="1" applyBorder="1" applyFill="1" applyFont="1">
      <alignment horizontal="center" vertical="center"/>
    </xf>
    <xf borderId="10" fillId="17" fontId="1" numFmtId="0" xfId="0" applyAlignment="1" applyBorder="1" applyFill="1" applyFont="1">
      <alignment horizontal="center" vertical="center"/>
    </xf>
    <xf borderId="13" fillId="0" fontId="1" numFmtId="0" xfId="0" applyAlignment="1" applyBorder="1" applyFont="1">
      <alignment horizontal="center" readingOrder="0" shrinkToFit="0" vertical="center" wrapText="1"/>
    </xf>
    <xf borderId="18" fillId="15" fontId="16" numFmtId="0" xfId="0" applyAlignment="1" applyBorder="1" applyFont="1">
      <alignment horizontal="center" readingOrder="0" vertical="center"/>
    </xf>
    <xf borderId="1" fillId="15" fontId="16" numFmtId="0" xfId="0" applyAlignment="1" applyBorder="1" applyFont="1">
      <alignment horizontal="center" readingOrder="0" vertical="center"/>
    </xf>
    <xf borderId="19" fillId="15" fontId="1" numFmtId="0" xfId="0" applyAlignment="1" applyBorder="1" applyFont="1">
      <alignment horizontal="center" readingOrder="0" vertical="center"/>
    </xf>
    <xf borderId="3" fillId="16" fontId="16" numFmtId="0" xfId="0" applyAlignment="1" applyBorder="1" applyFont="1">
      <alignment horizontal="center" readingOrder="0" vertical="center"/>
    </xf>
    <xf borderId="1" fillId="16" fontId="16" numFmtId="0" xfId="0" applyAlignment="1" applyBorder="1" applyFont="1">
      <alignment horizontal="center" readingOrder="0" vertical="center"/>
    </xf>
    <xf borderId="2" fillId="16" fontId="1" numFmtId="0" xfId="0" applyAlignment="1" applyBorder="1" applyFont="1">
      <alignment horizontal="center" readingOrder="0" vertical="center"/>
    </xf>
    <xf borderId="13" fillId="17" fontId="16" numFmtId="0" xfId="0" applyAlignment="1" applyBorder="1" applyFont="1">
      <alignment horizontal="center" readingOrder="0" vertical="center"/>
    </xf>
    <xf borderId="13" fillId="17" fontId="1" numFmtId="0" xfId="0" applyAlignment="1" applyBorder="1" applyFont="1">
      <alignment horizontal="center" readingOrder="0" vertical="center"/>
    </xf>
    <xf borderId="38" fillId="0" fontId="1" numFmtId="0" xfId="0" applyAlignment="1" applyBorder="1" applyFont="1">
      <alignment horizontal="center" shrinkToFit="0" vertical="center" wrapText="1"/>
    </xf>
    <xf borderId="21" fillId="4" fontId="1" numFmtId="165" xfId="0" applyAlignment="1" applyBorder="1" applyFont="1" applyNumberFormat="1">
      <alignment horizontal="center" vertical="center"/>
    </xf>
    <xf borderId="22" fillId="18" fontId="1" numFmtId="165" xfId="0" applyAlignment="1" applyBorder="1" applyFill="1" applyFont="1" applyNumberFormat="1">
      <alignment horizontal="center" readingOrder="0" vertical="center"/>
    </xf>
    <xf borderId="23" fillId="19" fontId="1" numFmtId="165" xfId="0" applyAlignment="1" applyBorder="1" applyFill="1" applyFont="1" applyNumberFormat="1">
      <alignment horizontal="center" vertical="center"/>
    </xf>
    <xf borderId="65" fillId="19" fontId="1" numFmtId="165" xfId="0" applyAlignment="1" applyBorder="1" applyFont="1" applyNumberFormat="1">
      <alignment horizontal="center" vertical="center"/>
    </xf>
    <xf borderId="66" fillId="19" fontId="1" numFmtId="165" xfId="0" applyAlignment="1" applyBorder="1" applyFont="1" applyNumberFormat="1">
      <alignment horizontal="center" vertical="center"/>
    </xf>
    <xf borderId="0" fillId="0" fontId="1" numFmtId="165" xfId="0" applyAlignment="1" applyFont="1" applyNumberFormat="1">
      <alignment horizontal="center" vertical="center"/>
    </xf>
    <xf borderId="67" fillId="20" fontId="26" numFmtId="0" xfId="0" applyAlignment="1" applyBorder="1" applyFill="1" applyFont="1">
      <alignment horizontal="center" shrinkToFit="0" vertical="center" wrapText="1"/>
    </xf>
    <xf borderId="10" fillId="20" fontId="27" numFmtId="0" xfId="0" applyAlignment="1" applyBorder="1" applyFont="1">
      <alignment horizontal="center" vertical="center"/>
    </xf>
    <xf borderId="0" fillId="0" fontId="27" numFmtId="0" xfId="0" applyAlignment="1" applyFont="1">
      <alignment horizontal="center" vertical="center"/>
    </xf>
    <xf borderId="67" fillId="12" fontId="27" numFmtId="0" xfId="0" applyAlignment="1" applyBorder="1" applyFont="1">
      <alignment horizontal="center" readingOrder="0" shrinkToFit="0" vertical="center" wrapText="1"/>
    </xf>
    <xf borderId="68" fillId="12" fontId="27" numFmtId="166" xfId="0" applyAlignment="1" applyBorder="1" applyFont="1" applyNumberFormat="1">
      <alignment horizontal="center" vertical="center"/>
    </xf>
    <xf borderId="69" fillId="12" fontId="27" numFmtId="166" xfId="0" applyAlignment="1" applyBorder="1" applyFont="1" applyNumberFormat="1">
      <alignment horizontal="center" vertical="center"/>
    </xf>
    <xf borderId="70" fillId="12" fontId="27" numFmtId="166" xfId="0" applyAlignment="1" applyBorder="1" applyFont="1" applyNumberFormat="1">
      <alignment horizontal="center" vertical="center"/>
    </xf>
    <xf borderId="40" fillId="19" fontId="27" numFmtId="166" xfId="0" applyAlignment="1" applyBorder="1" applyFont="1" applyNumberFormat="1">
      <alignment horizontal="center" vertical="center"/>
    </xf>
    <xf borderId="28" fillId="12" fontId="27" numFmtId="166" xfId="0" applyAlignment="1" applyBorder="1" applyFont="1" applyNumberFormat="1">
      <alignment horizontal="center" vertical="center"/>
    </xf>
    <xf borderId="6" fillId="12" fontId="27" numFmtId="166" xfId="0" applyAlignment="1" applyBorder="1" applyFont="1" applyNumberFormat="1">
      <alignment horizontal="center" vertical="center"/>
    </xf>
    <xf borderId="26" fillId="12" fontId="27" numFmtId="166" xfId="0" applyAlignment="1" applyBorder="1" applyFont="1" applyNumberFormat="1">
      <alignment horizontal="center" vertical="center"/>
    </xf>
    <xf borderId="6" fillId="19" fontId="27" numFmtId="166" xfId="0" applyAlignment="1" applyBorder="1" applyFont="1" applyNumberFormat="1">
      <alignment horizontal="center" vertical="center"/>
    </xf>
    <xf borderId="0" fillId="0" fontId="27" numFmtId="166" xfId="0" applyAlignment="1" applyFont="1" applyNumberFormat="1">
      <alignment horizontal="center" vertical="center"/>
    </xf>
    <xf borderId="18" fillId="12" fontId="27" numFmtId="166" xfId="0" applyAlignment="1" applyBorder="1" applyFont="1" applyNumberFormat="1">
      <alignment horizontal="center" vertical="center"/>
    </xf>
    <xf borderId="1" fillId="12" fontId="27" numFmtId="166" xfId="0" applyAlignment="1" applyBorder="1" applyFont="1" applyNumberFormat="1">
      <alignment horizontal="center" vertical="center"/>
    </xf>
    <xf borderId="2" fillId="12" fontId="27" numFmtId="166" xfId="0" applyAlignment="1" applyBorder="1" applyFont="1" applyNumberFormat="1">
      <alignment horizontal="center" vertical="center"/>
    </xf>
    <xf borderId="67" fillId="19" fontId="27" numFmtId="166" xfId="0" applyAlignment="1" applyBorder="1" applyFont="1" applyNumberFormat="1">
      <alignment horizontal="center" vertical="center"/>
    </xf>
    <xf borderId="3" fillId="12" fontId="27" numFmtId="166" xfId="0" applyAlignment="1" applyBorder="1" applyFont="1" applyNumberFormat="1">
      <alignment horizontal="center" vertical="center"/>
    </xf>
    <xf borderId="1" fillId="12" fontId="27" numFmtId="168" xfId="0" applyAlignment="1" applyBorder="1" applyFont="1" applyNumberFormat="1">
      <alignment horizontal="center" readingOrder="0" vertical="center"/>
    </xf>
    <xf borderId="1" fillId="19" fontId="27" numFmtId="166" xfId="0" applyAlignment="1" applyBorder="1" applyFont="1" applyNumberFormat="1">
      <alignment horizontal="center" vertical="center"/>
    </xf>
    <xf borderId="67" fillId="21" fontId="27" numFmtId="0" xfId="0" applyAlignment="1" applyBorder="1" applyFill="1" applyFont="1">
      <alignment horizontal="center" shrinkToFit="0" vertical="center" wrapText="1"/>
    </xf>
    <xf borderId="21" fillId="21" fontId="27" numFmtId="165" xfId="0" applyAlignment="1" applyBorder="1" applyFont="1" applyNumberFormat="1">
      <alignment horizontal="center" vertical="center"/>
    </xf>
    <xf borderId="71" fillId="19" fontId="27" numFmtId="165" xfId="0" applyAlignment="1" applyBorder="1" applyFont="1" applyNumberFormat="1">
      <alignment horizontal="center" vertical="center"/>
    </xf>
    <xf borderId="4" fillId="19" fontId="27" numFmtId="165" xfId="0" applyAlignment="1" applyBorder="1" applyFont="1" applyNumberFormat="1">
      <alignment horizontal="center" vertical="center"/>
    </xf>
    <xf borderId="0" fillId="0" fontId="27" numFmtId="165" xfId="0" applyAlignment="1" applyFont="1" applyNumberFormat="1">
      <alignment horizontal="center" vertical="center"/>
    </xf>
    <xf borderId="67" fillId="0" fontId="1" numFmtId="0" xfId="0" applyAlignment="1" applyBorder="1" applyFont="1">
      <alignment horizontal="center" readingOrder="0" shrinkToFit="0" vertical="center" wrapText="1"/>
    </xf>
    <xf borderId="18" fillId="0" fontId="1" numFmtId="165" xfId="0" applyAlignment="1" applyBorder="1" applyFont="1" applyNumberFormat="1">
      <alignment horizontal="center" readingOrder="0" vertical="center"/>
    </xf>
    <xf borderId="1" fillId="0" fontId="1" numFmtId="165" xfId="0" applyAlignment="1" applyBorder="1" applyFont="1" applyNumberFormat="1">
      <alignment horizontal="center" readingOrder="0" vertical="center"/>
    </xf>
    <xf borderId="2" fillId="0" fontId="1" numFmtId="165" xfId="0" applyAlignment="1" applyBorder="1" applyFont="1" applyNumberFormat="1">
      <alignment horizontal="center" readingOrder="0" vertical="center"/>
    </xf>
    <xf borderId="67" fillId="19" fontId="1" numFmtId="165" xfId="0" applyAlignment="1" applyBorder="1" applyFont="1" applyNumberFormat="1">
      <alignment horizontal="center" vertical="center"/>
    </xf>
    <xf borderId="3" fillId="0" fontId="1" numFmtId="165" xfId="0" applyAlignment="1" applyBorder="1" applyFont="1" applyNumberFormat="1">
      <alignment horizontal="center" vertical="center"/>
    </xf>
    <xf borderId="1" fillId="0" fontId="1" numFmtId="165" xfId="0" applyAlignment="1" applyBorder="1" applyFont="1" applyNumberFormat="1">
      <alignment horizontal="center" vertical="center"/>
    </xf>
    <xf borderId="3" fillId="0" fontId="1" numFmtId="165" xfId="0" applyAlignment="1" applyBorder="1" applyFont="1" applyNumberFormat="1">
      <alignment horizontal="center" readingOrder="0" vertical="center"/>
    </xf>
    <xf borderId="19" fillId="19" fontId="1" numFmtId="165" xfId="0" applyAlignment="1" applyBorder="1" applyFont="1" applyNumberFormat="1">
      <alignment horizontal="center" vertical="center"/>
    </xf>
    <xf borderId="2" fillId="0" fontId="1" numFmtId="165" xfId="0" applyAlignment="1" applyBorder="1" applyFont="1" applyNumberFormat="1">
      <alignment horizontal="center" vertical="center"/>
    </xf>
    <xf borderId="20" fillId="0" fontId="28" numFmtId="0" xfId="0" applyAlignment="1" applyBorder="1" applyFont="1">
      <alignment horizontal="center" readingOrder="0" shrinkToFit="0" vertical="center" wrapText="1"/>
    </xf>
    <xf borderId="22" fillId="0" fontId="1" numFmtId="165" xfId="0" applyAlignment="1" applyBorder="1" applyFont="1" applyNumberFormat="1">
      <alignment horizontal="center" readingOrder="0" vertical="center"/>
    </xf>
    <xf borderId="22" fillId="0" fontId="1" numFmtId="165" xfId="0" applyAlignment="1" applyBorder="1" applyFont="1" applyNumberFormat="1">
      <alignment horizontal="center" readingOrder="0" vertical="center"/>
    </xf>
    <xf borderId="22" fillId="19" fontId="1" numFmtId="165" xfId="0" applyAlignment="1" applyBorder="1" applyFont="1" applyNumberFormat="1">
      <alignment horizontal="center" vertical="center"/>
    </xf>
    <xf borderId="72" fillId="0" fontId="1" numFmtId="165" xfId="0" applyAlignment="1" applyBorder="1" applyFont="1" applyNumberFormat="1">
      <alignment horizontal="center" vertical="center"/>
    </xf>
    <xf borderId="38" fillId="22" fontId="1" numFmtId="0" xfId="0" applyAlignment="1" applyBorder="1" applyFill="1" applyFont="1">
      <alignment horizontal="center" shrinkToFit="0" vertical="center" wrapText="1"/>
    </xf>
    <xf borderId="15" fillId="22" fontId="1" numFmtId="165" xfId="0" applyAlignment="1" applyBorder="1" applyFont="1" applyNumberFormat="1">
      <alignment horizontal="center" shrinkToFit="0" vertical="center" wrapText="1"/>
    </xf>
    <xf borderId="6" fillId="0" fontId="1" numFmtId="165" xfId="0" applyAlignment="1" applyBorder="1" applyFont="1" applyNumberFormat="1">
      <alignment horizontal="center" vertical="center"/>
    </xf>
    <xf borderId="26" fillId="0" fontId="1" numFmtId="165" xfId="0" applyAlignment="1" applyBorder="1" applyFont="1" applyNumberFormat="1">
      <alignment horizontal="center" vertical="center"/>
    </xf>
    <xf borderId="38" fillId="19" fontId="1" numFmtId="165" xfId="0" applyAlignment="1" applyBorder="1" applyFont="1" applyNumberFormat="1">
      <alignment horizontal="center" vertical="center"/>
    </xf>
    <xf borderId="28" fillId="0" fontId="1" numFmtId="165" xfId="0" applyAlignment="1" applyBorder="1" applyFont="1" applyNumberFormat="1">
      <alignment horizontal="center" vertical="center"/>
    </xf>
    <xf borderId="16" fillId="19" fontId="1" numFmtId="165" xfId="0" applyAlignment="1" applyBorder="1" applyFont="1" applyNumberFormat="1">
      <alignment horizontal="center" vertical="center"/>
    </xf>
    <xf borderId="67" fillId="22" fontId="1" numFmtId="0" xfId="0" applyAlignment="1" applyBorder="1" applyFont="1">
      <alignment horizontal="center" shrinkToFit="0" vertical="center" wrapText="1"/>
    </xf>
    <xf borderId="18" fillId="22" fontId="1" numFmtId="165" xfId="0" applyAlignment="1" applyBorder="1" applyFont="1" applyNumberFormat="1">
      <alignment horizontal="center" shrinkToFit="0" vertical="center" wrapText="1"/>
    </xf>
    <xf borderId="1" fillId="0" fontId="1" numFmtId="165" xfId="0" applyAlignment="1" applyBorder="1" applyFont="1" applyNumberFormat="1">
      <alignment horizontal="center" vertical="center"/>
    </xf>
    <xf borderId="2" fillId="0" fontId="1" numFmtId="165" xfId="0" applyAlignment="1" applyBorder="1" applyFont="1" applyNumberFormat="1">
      <alignment horizontal="center" vertical="center"/>
    </xf>
    <xf borderId="3" fillId="0" fontId="1" numFmtId="165" xfId="0" applyAlignment="1" applyBorder="1" applyFont="1" applyNumberFormat="1">
      <alignment horizontal="center" vertical="center"/>
    </xf>
    <xf borderId="71" fillId="22" fontId="1" numFmtId="0" xfId="0" applyAlignment="1" applyBorder="1" applyFont="1">
      <alignment horizontal="center" shrinkToFit="0" vertical="center" wrapText="1"/>
    </xf>
    <xf borderId="21" fillId="22" fontId="1" numFmtId="165" xfId="0" applyAlignment="1" applyBorder="1" applyFont="1" applyNumberFormat="1">
      <alignment horizontal="center" shrinkToFit="0" vertical="center" wrapText="1"/>
    </xf>
    <xf borderId="22" fillId="0" fontId="1" numFmtId="165" xfId="0" applyAlignment="1" applyBorder="1" applyFont="1" applyNumberFormat="1">
      <alignment horizontal="center" vertical="center"/>
    </xf>
    <xf borderId="57" fillId="0" fontId="1" numFmtId="165" xfId="0" applyAlignment="1" applyBorder="1" applyFont="1" applyNumberFormat="1">
      <alignment horizontal="center" vertical="center"/>
    </xf>
    <xf borderId="71" fillId="19" fontId="1" numFmtId="165" xfId="0" applyAlignment="1" applyBorder="1" applyFont="1" applyNumberFormat="1">
      <alignment horizontal="center" vertical="center"/>
    </xf>
    <xf borderId="61" fillId="0" fontId="1" numFmtId="165" xfId="0" applyAlignment="1" applyBorder="1" applyFont="1" applyNumberFormat="1">
      <alignment horizontal="center" vertical="center"/>
    </xf>
    <xf borderId="38" fillId="0" fontId="1" numFmtId="0" xfId="0" applyAlignment="1" applyBorder="1" applyFont="1">
      <alignment horizontal="center" shrinkToFit="0" vertical="center" wrapText="1"/>
    </xf>
    <xf borderId="38" fillId="0" fontId="1" numFmtId="0" xfId="0" applyAlignment="1" applyBorder="1" applyFont="1">
      <alignment horizontal="center" readingOrder="0" shrinkToFit="0" vertical="center" wrapText="1"/>
    </xf>
    <xf borderId="67" fillId="0" fontId="1" numFmtId="0" xfId="0" applyAlignment="1" applyBorder="1" applyFont="1">
      <alignment horizontal="center" shrinkToFit="0" vertical="center" wrapText="1"/>
    </xf>
    <xf borderId="18" fillId="0" fontId="1" numFmtId="165" xfId="0" applyAlignment="1" applyBorder="1" applyFont="1" applyNumberFormat="1">
      <alignment horizontal="center" readingOrder="0" vertical="center"/>
    </xf>
    <xf borderId="71" fillId="0" fontId="1" numFmtId="0" xfId="0" applyAlignment="1" applyBorder="1" applyFont="1">
      <alignment horizontal="center" readingOrder="0" shrinkToFit="0" vertical="center" wrapText="1"/>
    </xf>
    <xf borderId="21" fillId="0" fontId="1" numFmtId="165" xfId="0" applyAlignment="1" applyBorder="1" applyFont="1" applyNumberFormat="1">
      <alignment horizontal="center" readingOrder="0" vertical="center"/>
    </xf>
    <xf borderId="68" fillId="0" fontId="1" numFmtId="165" xfId="0" applyAlignment="1" applyBorder="1" applyFont="1" applyNumberFormat="1">
      <alignment horizontal="center" vertical="center"/>
    </xf>
    <xf borderId="69" fillId="0" fontId="1" numFmtId="165" xfId="0" applyAlignment="1" applyBorder="1" applyFont="1" applyNumberFormat="1">
      <alignment horizontal="center" vertical="center"/>
    </xf>
    <xf borderId="73" fillId="0" fontId="1" numFmtId="165" xfId="0" applyAlignment="1" applyBorder="1" applyFont="1" applyNumberFormat="1">
      <alignment horizontal="center" vertical="center"/>
    </xf>
    <xf borderId="70" fillId="0" fontId="1" numFmtId="165" xfId="0" applyAlignment="1" applyBorder="1" applyFont="1" applyNumberFormat="1">
      <alignment horizontal="center" vertical="center"/>
    </xf>
    <xf borderId="40" fillId="19" fontId="1" numFmtId="165" xfId="0" applyAlignment="1" applyBorder="1" applyFont="1" applyNumberFormat="1">
      <alignment horizontal="center" vertical="center"/>
    </xf>
    <xf borderId="18" fillId="0" fontId="1" numFmtId="165" xfId="0" applyAlignment="1" applyBorder="1" applyFont="1" applyNumberFormat="1">
      <alignment horizontal="center" vertical="center"/>
    </xf>
    <xf borderId="19" fillId="0" fontId="1" numFmtId="165" xfId="0" applyAlignment="1" applyBorder="1" applyFont="1" applyNumberFormat="1">
      <alignment horizontal="center" vertical="center"/>
    </xf>
    <xf borderId="21" fillId="0" fontId="1" numFmtId="165" xfId="0" applyAlignment="1" applyBorder="1" applyFont="1" applyNumberFormat="1">
      <alignment horizontal="center" vertical="center"/>
    </xf>
    <xf borderId="23" fillId="0" fontId="1" numFmtId="165" xfId="0" applyAlignment="1" applyBorder="1" applyFont="1" applyNumberFormat="1">
      <alignment horizontal="center" vertical="center"/>
    </xf>
    <xf borderId="74" fillId="23" fontId="27" numFmtId="0" xfId="0" applyAlignment="1" applyBorder="1" applyFill="1" applyFont="1">
      <alignment horizontal="center" shrinkToFit="0" vertical="center" wrapText="1"/>
    </xf>
    <xf borderId="8" fillId="23" fontId="27" numFmtId="165" xfId="0" applyAlignment="1" applyBorder="1" applyFont="1" applyNumberFormat="1">
      <alignment horizontal="center" vertical="center"/>
    </xf>
    <xf borderId="74" fillId="23" fontId="27" numFmtId="165" xfId="0" applyAlignment="1" applyBorder="1" applyFont="1" applyNumberFormat="1">
      <alignment horizontal="center" vertical="center"/>
    </xf>
    <xf borderId="13" fillId="23" fontId="27" numFmtId="165" xfId="0" applyAlignment="1" applyBorder="1" applyFont="1" applyNumberFormat="1">
      <alignment horizontal="center" vertical="center"/>
    </xf>
    <xf borderId="5" fillId="23" fontId="27" numFmtId="165" xfId="0" applyAlignment="1" applyBorder="1" applyFont="1" applyNumberFormat="1">
      <alignment horizontal="center" vertical="center"/>
    </xf>
    <xf borderId="40" fillId="0" fontId="1" numFmtId="0" xfId="0" applyAlignment="1" applyBorder="1" applyFont="1">
      <alignment horizontal="center" shrinkToFit="0" vertical="center" wrapText="1"/>
    </xf>
    <xf borderId="40" fillId="0" fontId="1" numFmtId="165" xfId="0" applyAlignment="1" applyBorder="1" applyFont="1" applyNumberFormat="1">
      <alignment horizontal="center" vertical="center"/>
    </xf>
    <xf borderId="59" fillId="0" fontId="1" numFmtId="165" xfId="0" applyAlignment="1" applyBorder="1" applyFont="1" applyNumberFormat="1">
      <alignment horizontal="center" vertical="center"/>
    </xf>
    <xf borderId="21" fillId="18" fontId="1" numFmtId="165" xfId="0" applyAlignment="1" applyBorder="1" applyFont="1" applyNumberFormat="1">
      <alignment horizontal="center" vertical="center"/>
    </xf>
    <xf borderId="22" fillId="18" fontId="1" numFmtId="165" xfId="0" applyAlignment="1" applyBorder="1" applyFont="1" applyNumberFormat="1">
      <alignment horizontal="center" vertical="center"/>
    </xf>
    <xf borderId="57" fillId="18" fontId="1" numFmtId="165" xfId="0" applyAlignment="1" applyBorder="1" applyFont="1" applyNumberFormat="1">
      <alignment horizontal="center" vertical="center"/>
    </xf>
    <xf borderId="71" fillId="21" fontId="27" numFmtId="165" xfId="0" applyAlignment="1" applyBorder="1" applyFont="1" applyNumberFormat="1">
      <alignment horizontal="center" vertical="center"/>
    </xf>
    <xf borderId="61" fillId="18" fontId="1" numFmtId="165" xfId="0" applyAlignment="1" applyBorder="1" applyFont="1" applyNumberFormat="1">
      <alignment horizontal="center" vertical="center"/>
    </xf>
    <xf borderId="71" fillId="21" fontId="16" numFmtId="165" xfId="0" applyAlignment="1" applyBorder="1" applyFont="1" applyNumberFormat="1">
      <alignment horizontal="center" vertical="center"/>
    </xf>
    <xf borderId="38" fillId="23" fontId="27" numFmtId="0" xfId="0" applyAlignment="1" applyBorder="1" applyFont="1">
      <alignment horizontal="center" shrinkToFit="0" vertical="center" wrapText="1"/>
    </xf>
    <xf borderId="75" fillId="23" fontId="27" numFmtId="165" xfId="0" applyAlignment="1" applyBorder="1" applyFont="1" applyNumberFormat="1">
      <alignment horizontal="center" vertical="center"/>
    </xf>
    <xf borderId="76" fillId="23" fontId="27" numFmtId="165" xfId="0" applyAlignment="1" applyBorder="1" applyFont="1" applyNumberFormat="1">
      <alignment horizontal="center" vertical="center"/>
    </xf>
    <xf borderId="38" fillId="23" fontId="27" numFmtId="165" xfId="0" applyAlignment="1" applyBorder="1" applyFont="1" applyNumberFormat="1">
      <alignment horizontal="center" vertical="center"/>
    </xf>
    <xf borderId="6" fillId="23" fontId="27" numFmtId="165" xfId="0" applyAlignment="1" applyBorder="1" applyFont="1" applyNumberFormat="1">
      <alignment horizontal="center" vertical="center"/>
    </xf>
    <xf borderId="26" fillId="23" fontId="27" numFmtId="165" xfId="0" applyAlignment="1" applyBorder="1" applyFont="1" applyNumberFormat="1">
      <alignment horizontal="center" vertical="center"/>
    </xf>
    <xf borderId="28" fillId="23" fontId="27" numFmtId="165" xfId="0" applyAlignment="1" applyBorder="1" applyFont="1" applyNumberFormat="1">
      <alignment horizontal="center" vertical="center"/>
    </xf>
    <xf borderId="29" fillId="0" fontId="29" numFmtId="165" xfId="0" applyAlignment="1" applyBorder="1" applyFont="1" applyNumberFormat="1">
      <alignment horizontal="center" readingOrder="0" vertical="center"/>
    </xf>
    <xf borderId="67" fillId="0" fontId="1" numFmtId="165" xfId="0" applyAlignment="1" applyBorder="1" applyFont="1" applyNumberFormat="1">
      <alignment horizontal="center" vertical="center"/>
    </xf>
    <xf borderId="67" fillId="23" fontId="27" numFmtId="0" xfId="0" applyAlignment="1" applyBorder="1" applyFont="1">
      <alignment horizontal="center" shrinkToFit="0" vertical="center" wrapText="1"/>
    </xf>
    <xf borderId="68" fillId="23" fontId="27" numFmtId="165" xfId="0" applyAlignment="1" applyBorder="1" applyFont="1" applyNumberFormat="1">
      <alignment horizontal="center" vertical="center"/>
    </xf>
    <xf borderId="69" fillId="23" fontId="27" numFmtId="165" xfId="0" applyAlignment="1" applyBorder="1" applyFont="1" applyNumberFormat="1">
      <alignment horizontal="center" vertical="center"/>
    </xf>
    <xf borderId="73" fillId="23" fontId="27" numFmtId="165" xfId="0" applyAlignment="1" applyBorder="1" applyFont="1" applyNumberFormat="1">
      <alignment horizontal="center" vertical="center"/>
    </xf>
    <xf borderId="67" fillId="23" fontId="27" numFmtId="165" xfId="0" applyAlignment="1" applyBorder="1" applyFont="1" applyNumberFormat="1">
      <alignment horizontal="center" vertical="center"/>
    </xf>
    <xf borderId="3" fillId="23" fontId="27" numFmtId="165" xfId="0" applyAlignment="1" applyBorder="1" applyFont="1" applyNumberFormat="1">
      <alignment horizontal="center" vertical="center"/>
    </xf>
    <xf borderId="1" fillId="23" fontId="27" numFmtId="165" xfId="0" applyAlignment="1" applyBorder="1" applyFont="1" applyNumberFormat="1">
      <alignment horizontal="center" vertical="center"/>
    </xf>
    <xf borderId="2" fillId="23" fontId="27" numFmtId="165" xfId="0" applyAlignment="1" applyBorder="1" applyFont="1" applyNumberFormat="1">
      <alignment horizontal="center" vertical="center"/>
    </xf>
    <xf borderId="71" fillId="23" fontId="27" numFmtId="0" xfId="0" applyAlignment="1" applyBorder="1" applyFont="1">
      <alignment horizontal="center" shrinkToFit="0" vertical="center" wrapText="1"/>
    </xf>
    <xf borderId="21" fillId="23" fontId="27" numFmtId="165" xfId="0" applyAlignment="1" applyBorder="1" applyFont="1" applyNumberFormat="1">
      <alignment horizontal="center" vertical="center"/>
    </xf>
    <xf borderId="22" fillId="23" fontId="27" numFmtId="165" xfId="0" applyAlignment="1" applyBorder="1" applyFont="1" applyNumberFormat="1">
      <alignment horizontal="center" vertical="center"/>
    </xf>
    <xf borderId="71" fillId="23" fontId="27" numFmtId="165" xfId="0" applyAlignment="1" applyBorder="1" applyFont="1" applyNumberFormat="1">
      <alignment horizontal="center" vertical="center"/>
    </xf>
    <xf borderId="1" fillId="24" fontId="2" numFmtId="0" xfId="0" applyAlignment="1" applyBorder="1" applyFill="1" applyFont="1">
      <alignment horizontal="center" shrinkToFit="0" vertical="center" wrapText="1"/>
    </xf>
    <xf borderId="1" fillId="24" fontId="2" numFmtId="166" xfId="0" applyAlignment="1" applyBorder="1" applyFont="1" applyNumberFormat="1">
      <alignment horizontal="center" shrinkToFit="0" vertical="center" wrapText="1"/>
    </xf>
    <xf borderId="0" fillId="0" fontId="5" numFmtId="0" xfId="0" applyAlignment="1" applyFont="1">
      <alignment readingOrder="0" shrinkToFit="0" wrapText="1"/>
    </xf>
    <xf borderId="0" fillId="0" fontId="1" numFmtId="9" xfId="0" applyAlignment="1" applyFont="1" applyNumberFormat="1">
      <alignment horizontal="center" vertic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  <dxf>
      <font>
        <color rgb="FFFF0000"/>
      </font>
      <fill>
        <patternFill patternType="none"/>
      </fill>
      <border/>
    </dxf>
  </dxfs>
  <tableStyles count="1">
    <tableStyle count="2" pivot="0" name="6.6 Cashflow-style">
      <tableStyleElement dxfId="1" type="firstRowStripe"/>
      <tableStyleElement dxfId="2" type="secondRowStripe"/>
    </tableStyle>
  </tableStyle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<Relationships xmlns="http://schemas.openxmlformats.org/package/2006/relationships"><Relationship Id="rId1" Type="http://customschemas.google.com/relationships/workbookmetadata" Target="commentsmeta3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0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Curva de estacionalidad</a:t>
            </a:r>
          </a:p>
        </c:rich>
      </c:tx>
      <c:overlay val="0"/>
    </c:title>
    <c:plotArea>
      <c:layout>
        <c:manualLayout>
          <c:xMode val="edge"/>
          <c:yMode val="edge"/>
          <c:x val="0.07904571227006688"/>
          <c:y val="0.1467479674796748"/>
          <c:w val="0.6081449231814381"/>
          <c:h val="0.7299457994579946"/>
        </c:manualLayout>
      </c:layout>
      <c:lineChart>
        <c:ser>
          <c:idx val="0"/>
          <c:order val="0"/>
          <c:tx>
            <c:strRef>
              <c:f>'6.3 Curva de estacionalidad des'!$B$6</c:f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'6.3 Curva de estacionalidad des'!$C$5:$N$5</c:f>
            </c:strRef>
          </c:cat>
          <c:val>
            <c:numRef>
              <c:f>'6.3 Curva de estacionalidad des'!$C$6:$N$6</c:f>
              <c:numCache/>
            </c:numRef>
          </c:val>
          <c:smooth val="1"/>
        </c:ser>
        <c:ser>
          <c:idx val="1"/>
          <c:order val="1"/>
          <c:tx>
            <c:strRef>
              <c:f>'6.3 Curva de estacionalidad des'!$B$7</c:f>
            </c:strRef>
          </c:tx>
          <c:spPr>
            <a:ln cmpd="sng">
              <a:solidFill>
                <a:srgbClr val="EA4335"/>
              </a:solidFill>
            </a:ln>
          </c:spPr>
          <c:marker>
            <c:symbol val="none"/>
          </c:marker>
          <c:cat>
            <c:strRef>
              <c:f>'6.3 Curva de estacionalidad des'!$C$5:$N$5</c:f>
            </c:strRef>
          </c:cat>
          <c:val>
            <c:numRef>
              <c:f>'6.3 Curva de estacionalidad des'!$C$7:$N$7</c:f>
              <c:numCache/>
            </c:numRef>
          </c:val>
          <c:smooth val="1"/>
        </c:ser>
        <c:ser>
          <c:idx val="2"/>
          <c:order val="2"/>
          <c:tx>
            <c:strRef>
              <c:f>'6.3 Curva de estacionalidad des'!$B$8</c:f>
            </c:strRef>
          </c:tx>
          <c:spPr>
            <a:ln cmpd="sng">
              <a:solidFill>
                <a:srgbClr val="FBBC04"/>
              </a:solidFill>
            </a:ln>
          </c:spPr>
          <c:marker>
            <c:symbol val="none"/>
          </c:marker>
          <c:cat>
            <c:strRef>
              <c:f>'6.3 Curva de estacionalidad des'!$C$5:$N$5</c:f>
            </c:strRef>
          </c:cat>
          <c:val>
            <c:numRef>
              <c:f>'6.3 Curva de estacionalidad des'!$C$8:$N$8</c:f>
              <c:numCache/>
            </c:numRef>
          </c:val>
          <c:smooth val="1"/>
        </c:ser>
        <c:ser>
          <c:idx val="3"/>
          <c:order val="3"/>
          <c:tx>
            <c:strRef>
              <c:f>'6.3 Curva de estacionalidad des'!$B$9</c:f>
            </c:strRef>
          </c:tx>
          <c:spPr>
            <a:ln cmpd="sng">
              <a:solidFill>
                <a:srgbClr val="34A853"/>
              </a:solidFill>
            </a:ln>
          </c:spPr>
          <c:marker>
            <c:symbol val="none"/>
          </c:marker>
          <c:cat>
            <c:strRef>
              <c:f>'6.3 Curva de estacionalidad des'!$C$5:$N$5</c:f>
            </c:strRef>
          </c:cat>
          <c:val>
            <c:numRef>
              <c:f>'6.3 Curva de estacionalidad des'!$C$9:$N$9</c:f>
              <c:numCache/>
            </c:numRef>
          </c:val>
          <c:smooth val="1"/>
        </c:ser>
        <c:ser>
          <c:idx val="4"/>
          <c:order val="4"/>
          <c:tx>
            <c:strRef>
              <c:f>'6.3 Curva de estacionalidad des'!$B$10</c:f>
            </c:strRef>
          </c:tx>
          <c:spPr>
            <a:ln cmpd="sng">
              <a:solidFill>
                <a:srgbClr val="FF6D01"/>
              </a:solidFill>
            </a:ln>
          </c:spPr>
          <c:marker>
            <c:symbol val="none"/>
          </c:marker>
          <c:cat>
            <c:strRef>
              <c:f>'6.3 Curva de estacionalidad des'!$C$5:$N$5</c:f>
            </c:strRef>
          </c:cat>
          <c:val>
            <c:numRef>
              <c:f>'6.3 Curva de estacionalidad des'!$C$10:$N$10</c:f>
              <c:numCache/>
            </c:numRef>
          </c:val>
          <c:smooth val="1"/>
        </c:ser>
        <c:ser>
          <c:idx val="5"/>
          <c:order val="5"/>
          <c:tx>
            <c:strRef>
              <c:f>'6.3 Curva de estacionalidad des'!$B$11</c:f>
            </c:strRef>
          </c:tx>
          <c:spPr>
            <a:ln cmpd="sng">
              <a:solidFill>
                <a:srgbClr val="46BDC6"/>
              </a:solidFill>
            </a:ln>
          </c:spPr>
          <c:marker>
            <c:symbol val="none"/>
          </c:marker>
          <c:cat>
            <c:strRef>
              <c:f>'6.3 Curva de estacionalidad des'!$C$5:$N$5</c:f>
            </c:strRef>
          </c:cat>
          <c:val>
            <c:numRef>
              <c:f>'6.3 Curva de estacionalidad des'!$C$11:$N$11</c:f>
              <c:numCache/>
            </c:numRef>
          </c:val>
          <c:smooth val="1"/>
        </c:ser>
        <c:ser>
          <c:idx val="6"/>
          <c:order val="6"/>
          <c:tx>
            <c:strRef>
              <c:f>'6.3 Curva de estacionalidad des'!$B$12</c:f>
            </c:strRef>
          </c:tx>
          <c:spPr>
            <a:ln cmpd="sng">
              <a:solidFill>
                <a:srgbClr val="7BAAF7"/>
              </a:solidFill>
            </a:ln>
          </c:spPr>
          <c:marker>
            <c:symbol val="none"/>
          </c:marker>
          <c:cat>
            <c:strRef>
              <c:f>'6.3 Curva de estacionalidad des'!$C$5:$N$5</c:f>
            </c:strRef>
          </c:cat>
          <c:val>
            <c:numRef>
              <c:f>'6.3 Curva de estacionalidad des'!$C$12:$N$12</c:f>
              <c:numCache/>
            </c:numRef>
          </c:val>
          <c:smooth val="1"/>
        </c:ser>
        <c:axId val="217304690"/>
        <c:axId val="27283746"/>
      </c:lineChart>
      <c:catAx>
        <c:axId val="21730469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7283746"/>
      </c:catAx>
      <c:valAx>
        <c:axId val="2728374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17304690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161925</xdr:colOff>
      <xdr:row>13</xdr:row>
      <xdr:rowOff>171450</xdr:rowOff>
    </xdr:from>
    <xdr:ext cx="8458200" cy="3905250"/>
    <xdr:graphicFrame>
      <xdr:nvGraphicFramePr>
        <xdr:cNvPr id="1598287580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38100</xdr:colOff>
      <xdr:row>13</xdr:row>
      <xdr:rowOff>342900</xdr:rowOff>
    </xdr:from>
    <xdr:ext cx="5448300" cy="24193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4:AO36" displayName="Table_1" name="Table_1" id="1">
  <tableColumns count="4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  <tableColumn name="Column34" id="34"/>
    <tableColumn name="Column35" id="35"/>
    <tableColumn name="Column36" id="36"/>
    <tableColumn name="Column37" id="37"/>
    <tableColumn name="Column38" id="38"/>
    <tableColumn name="Column39" id="39"/>
    <tableColumn name="Column40" id="40"/>
    <tableColumn name="Column41" id="41"/>
  </tableColumns>
  <tableStyleInfo name="6.6 Cashflow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maxiconsumo.com/sucursal_moreno/servilleta-sussex-ultra-max-140-un-3542.html" TargetMode="External"/><Relationship Id="rId22" Type="http://schemas.openxmlformats.org/officeDocument/2006/relationships/hyperlink" Target="https://nic.ar/es/dominios/dominios_y_aranceles" TargetMode="External"/><Relationship Id="rId21" Type="http://schemas.openxmlformats.org/officeDocument/2006/relationships/hyperlink" Target="https://www.mercadolibre.com.ar/vasos-de-cafe-descartables-polipapel-kraft-8oz-100u/up/MLAU1749133591" TargetMode="External"/><Relationship Id="rId24" Type="http://schemas.openxmlformats.org/officeDocument/2006/relationships/hyperlink" Target="https://drive.google.com/file/d/111GYDtGrVMl9KBbR1JQsj1OPxagHpLty/view" TargetMode="External"/><Relationship Id="rId23" Type="http://schemas.openxmlformats.org/officeDocument/2006/relationships/hyperlink" Target="https://www.hostinger.com/ar/dominios?utm_source=google&amp;utm_medium=cpc&amp;utm_id=11473939400&amp;utm_campaign=Generic-Domains%7CNT:Se%7CLO:AR&amp;utm_term=nombre+de+dominio&amp;utm_content=583969613689&amp;gad_source=1&amp;gad_campaignid=11473939400&amp;gbraid=0AAAAADMy-hYkv5v3QX1pwl4Yi6PYCg2-Z&amp;gclid=CjwKCAjw08fSBhA7EiwAfbQTsMpnBi1wEAucma4bDUNWRvfFzV8NP57Oq3eq1MQHTOiS4BdCHoZmeBoCutEQAvD_BwE" TargetMode="External"/><Relationship Id="rId1" Type="http://schemas.openxmlformats.org/officeDocument/2006/relationships/comments" Target="../comments1.xml"/><Relationship Id="rId2" Type="http://schemas.openxmlformats.org/officeDocument/2006/relationships/hyperlink" Target="https://www.mercadolibre.com.ar/notebook-hp-14-em0002-amd-athlon-7120u-4gb-ram-ddr4-128gb-ssd-pantalla-14-hd-graficos-integrados-color-moonlight-blue/p/MLA68356673?pdp_filters=price%3A*-1000000" TargetMode="External"/><Relationship Id="rId3" Type="http://schemas.openxmlformats.org/officeDocument/2006/relationships/hyperlink" Target="https://www.centerbikeshopvm.com.ar/productos/firebird-21v-acero-1m0dl/" TargetMode="External"/><Relationship Id="rId4" Type="http://schemas.openxmlformats.org/officeDocument/2006/relationships/hyperlink" Target="https://drive.google.com/file/d/13Qe9YfWl0mp2JGw6YdIWT1tisHrjLYGr/view?usp=sharing" TargetMode="External"/><Relationship Id="rId9" Type="http://schemas.openxmlformats.org/officeDocument/2006/relationships/hyperlink" Target="https://www.mercadolibre.com.ar/casco-bicicleta-dakota-regulable-liviano-con-visera-ventilacion-color-negro/p/MLA45065818?pdp_filters=item_id:MLA2082689186" TargetMode="External"/><Relationship Id="rId26" Type="http://schemas.openxmlformats.org/officeDocument/2006/relationships/hyperlink" Target="https://www.argentina.gob.ar/justicia/igj/calculador-modulos" TargetMode="External"/><Relationship Id="rId25" Type="http://schemas.openxmlformats.org/officeDocument/2006/relationships/hyperlink" Target="https://portaltramites.inpi.gob.ar/InfoPortal/Aranceles" TargetMode="External"/><Relationship Id="rId28" Type="http://schemas.openxmlformats.org/officeDocument/2006/relationships/drawing" Target="../drawings/drawing1.xml"/><Relationship Id="rId27" Type="http://schemas.openxmlformats.org/officeDocument/2006/relationships/hyperlink" Target="https://www.godaddy.com/resources/latam/crearweb/cuanto-cuesta-crear-pagina-en-argentina" TargetMode="External"/><Relationship Id="rId5" Type="http://schemas.openxmlformats.org/officeDocument/2006/relationships/hyperlink" Target="https://drive.google.com/file/d/1FPZx9PiENaXr6C3Ly7I4GSBpea4v-iwn/view?usp=sharing" TargetMode="External"/><Relationship Id="rId6" Type="http://schemas.openxmlformats.org/officeDocument/2006/relationships/hyperlink" Target="https://valentinibikes.com.ar/producto/mountain-bike-electrica-29/" TargetMode="External"/><Relationship Id="rId29" Type="http://schemas.openxmlformats.org/officeDocument/2006/relationships/vmlDrawing" Target="../drawings/vmlDrawing1.vml"/><Relationship Id="rId7" Type="http://schemas.openxmlformats.org/officeDocument/2006/relationships/hyperlink" Target="https://drive.google.com/file/d/1w0igI7flzw225pt7UYaK9XizcEgxYRrn/view?usp=drive_link" TargetMode="External"/><Relationship Id="rId8" Type="http://schemas.openxmlformats.org/officeDocument/2006/relationships/hyperlink" Target="https://www.mercadolibre.com.ar/cargador-de-bateria-42v-2a-para-baterias-de-litio-de-36v-r/p/MLA2062004396?matt_tool=38087446&amp;utm_source=google_shopping&amp;utm_medium=organic&amp;pdp_filters=item_id%3AMLA2781255898&amp;from=gshop&amp;quantity=3" TargetMode="External"/><Relationship Id="rId11" Type="http://schemas.openxmlformats.org/officeDocument/2006/relationships/hyperlink" Target="https://www.elpalaciodelrodado.com/mayorista/" TargetMode="External"/><Relationship Id="rId10" Type="http://schemas.openxmlformats.org/officeDocument/2006/relationships/hyperlink" Target="https://www.mercadolibre.com.ar/kit-luces-usb-led-seguridad-bici-dakota-2218-delantera-y-trasera-color-negro/p/MLA27869989" TargetMode="External"/><Relationship Id="rId13" Type="http://schemas.openxmlformats.org/officeDocument/2006/relationships/hyperlink" Target="https://www.mercadolibre.com.ar/inflador-portatil-inalambrico-inteligente-de-mano-compresor/p/MLA28266699" TargetMode="External"/><Relationship Id="rId12" Type="http://schemas.openxmlformats.org/officeDocument/2006/relationships/hyperlink" Target="https://www.easy.com.ar/bolso-al-cuadro/p" TargetMode="External"/><Relationship Id="rId15" Type="http://schemas.openxmlformats.org/officeDocument/2006/relationships/hyperlink" Target="https://www.mercadolibre.com.ar/termos-x2-bomba-25-acero-inoxidable-x-dos-unidades/up/MLAU1487552222?pdp_filters=item_id%3AMLA1451842617&amp;from=gshop&amp;matt_tool=52404955&amp;matt_word=&amp;matt_source=google&amp;matt_campaign_id=23390549003&amp;matt_ad_group_id=189479933943&amp;matt_match_type=&amp;matt_network=g&amp;matt_device=c&amp;matt_creative=789984785494&amp;matt_keyword=&amp;matt_ad_position=&amp;matt_ad_type=pla&amp;matt_merchant_id=5432654755&amp;matt_product_id=MLAU1487552222&amp;matt_product_partition_id=2455743150865&amp;matt_target_id=aud-2418879674545:pla-2455743150865&amp;cq_src=google_ads&amp;cq_cmp=23390549003&amp;cq_net=g&amp;cq_plt=gp&amp;cq_med=pla&amp;gad_source=1&amp;gad_campaignid=23390549003&amp;gbraid=0AAAAAD01zQbxQBWaaZ9uLV91WBZEDaicm&amp;gclid=CjwKCAjwuuPRBhAnEiwA2Ji8elrpTpzBAEsAqEZn7sEwewXvAk0Y0OqGYzxLGmYsMk1z3QTcAznf2hoCQmIQAvD_BwE" TargetMode="External"/><Relationship Id="rId14" Type="http://schemas.openxmlformats.org/officeDocument/2006/relationships/hyperlink" Target="https://drive.google.com/file/d/1DK7QBZv6IQAbGpryfGVFI3QPyzGBUOC2/view?usp=sharing" TargetMode="External"/><Relationship Id="rId17" Type="http://schemas.openxmlformats.org/officeDocument/2006/relationships/hyperlink" Target="https://www.maxiconsumo.com/sucursal_moreno/cafe-bonafide-tostado-intenso-200-gr-28830.html" TargetMode="External"/><Relationship Id="rId16" Type="http://schemas.openxmlformats.org/officeDocument/2006/relationships/hyperlink" Target="https://www.nutriraw.com.ar/productos/barrita-proteica-cacao/" TargetMode="External"/><Relationship Id="rId19" Type="http://schemas.openxmlformats.org/officeDocument/2006/relationships/hyperlink" Target="https://www.maxiconsumo.com/sucursal_moreno/agua-villavicencio-500-cc-2009.html" TargetMode="External"/><Relationship Id="rId18" Type="http://schemas.openxmlformats.org/officeDocument/2006/relationships/hyperlink" Target="https://www.maxiconsumo.com/sucursal_moreno/te-taragui-100-un-1989.html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2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hyperlink" Target="https://www.faevyt.org.ar/faecys" TargetMode="External"/><Relationship Id="rId3" Type="http://schemas.openxmlformats.org/officeDocument/2006/relationships/hyperlink" Target="https://www.argentina.gob.ar/trabajo/buscastrabajo/conocetusderechos/salario" TargetMode="External"/><Relationship Id="rId4" Type="http://schemas.openxmlformats.org/officeDocument/2006/relationships/drawing" Target="../drawings/drawing5.xml"/><Relationship Id="rId5" Type="http://schemas.openxmlformats.org/officeDocument/2006/relationships/vmlDrawing" Target="../drawings/vmlDrawing3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hyperlink" Target="https://www.aguitba.org.ar/honorarios-sugeridos/" TargetMode="External"/><Relationship Id="rId3" Type="http://schemas.openxmlformats.org/officeDocument/2006/relationships/drawing" Target="../drawings/drawing6.xml"/><Relationship Id="rId4" Type="http://schemas.openxmlformats.org/officeDocument/2006/relationships/vmlDrawing" Target="../drawings/vmlDrawing4.vml"/><Relationship Id="rId6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77E3E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.13"/>
    <col customWidth="1" min="2" max="2" width="47.88"/>
    <col customWidth="1" min="3" max="3" width="18.25"/>
    <col customWidth="1" min="4" max="4" width="11.88"/>
    <col customWidth="1" min="5" max="5" width="18.0"/>
    <col customWidth="1" min="6" max="6" width="38.13"/>
    <col customWidth="1" min="7" max="7" width="17.38"/>
    <col customWidth="1" min="8" max="9" width="17.88"/>
  </cols>
  <sheetData>
    <row r="1" ht="13.5" customHeight="1">
      <c r="A1" s="1"/>
      <c r="B1" s="2"/>
      <c r="C1" s="2"/>
      <c r="D1" s="2"/>
      <c r="E1" s="2"/>
      <c r="F1" s="2"/>
      <c r="G1" s="1"/>
      <c r="H1" s="2"/>
      <c r="I1" s="2"/>
    </row>
    <row r="2" ht="27.0" customHeight="1">
      <c r="A2" s="1"/>
      <c r="B2" s="3" t="s">
        <v>0</v>
      </c>
      <c r="C2" s="4">
        <v>1495.0</v>
      </c>
      <c r="D2" s="1"/>
      <c r="E2" s="2"/>
      <c r="F2" s="2"/>
      <c r="G2" s="1"/>
      <c r="H2" s="2"/>
      <c r="I2" s="2"/>
    </row>
    <row r="3" ht="27.0" customHeight="1">
      <c r="A3" s="1"/>
      <c r="B3" s="3" t="s">
        <v>1</v>
      </c>
      <c r="C3" s="5">
        <v>46197.0</v>
      </c>
      <c r="D3" s="1"/>
      <c r="E3" s="2"/>
      <c r="F3" s="2"/>
      <c r="G3" s="1"/>
      <c r="H3" s="2"/>
      <c r="I3" s="2"/>
    </row>
    <row r="4" ht="27.0" customHeight="1">
      <c r="A4" s="1"/>
      <c r="B4" s="6" t="s">
        <v>2</v>
      </c>
      <c r="C4" s="7"/>
      <c r="D4" s="1"/>
      <c r="E4" s="2"/>
      <c r="F4" s="2"/>
      <c r="G4" s="1"/>
      <c r="H4" s="2"/>
      <c r="I4" s="2"/>
    </row>
    <row r="5" ht="27.0" customHeight="1">
      <c r="A5" s="1"/>
      <c r="B5" s="3" t="s">
        <v>3</v>
      </c>
      <c r="C5" s="8">
        <f>E25</f>
        <v>1669997</v>
      </c>
      <c r="D5" s="9" t="s">
        <v>4</v>
      </c>
      <c r="E5" s="2"/>
      <c r="F5" s="2"/>
      <c r="G5" s="1"/>
      <c r="H5" s="2"/>
      <c r="I5" s="2"/>
    </row>
    <row r="6" ht="27.0" customHeight="1">
      <c r="A6" s="1"/>
      <c r="B6" s="3" t="s">
        <v>5</v>
      </c>
      <c r="C6" s="10">
        <f>E39</f>
        <v>25212326.6</v>
      </c>
      <c r="D6" s="11"/>
      <c r="E6" s="2"/>
      <c r="F6" s="2"/>
      <c r="G6" s="1"/>
      <c r="H6" s="2"/>
      <c r="I6" s="2"/>
    </row>
    <row r="7" ht="27.0" customHeight="1">
      <c r="A7" s="1"/>
      <c r="B7" s="3" t="s">
        <v>6</v>
      </c>
      <c r="C7" s="8">
        <f>E51</f>
        <v>1311217.78</v>
      </c>
      <c r="D7" s="11"/>
      <c r="E7" s="2"/>
      <c r="F7" s="2"/>
      <c r="G7" s="1"/>
      <c r="H7" s="2"/>
      <c r="I7" s="2"/>
    </row>
    <row r="8" ht="27.0" customHeight="1">
      <c r="A8" s="1"/>
      <c r="B8" s="3" t="s">
        <v>7</v>
      </c>
      <c r="C8" s="8">
        <f>E62</f>
        <v>1353497.48</v>
      </c>
      <c r="D8" s="11"/>
      <c r="E8" s="2"/>
      <c r="F8" s="2"/>
      <c r="G8" s="1"/>
      <c r="H8" s="2"/>
      <c r="I8" s="2"/>
    </row>
    <row r="9" ht="27.0" customHeight="1">
      <c r="A9" s="1"/>
      <c r="B9" s="3" t="s">
        <v>8</v>
      </c>
      <c r="C9" s="8">
        <f>E68</f>
        <v>1316000</v>
      </c>
      <c r="D9" s="11"/>
      <c r="E9" s="2"/>
      <c r="F9" s="2"/>
      <c r="G9" s="1"/>
      <c r="H9" s="2"/>
      <c r="I9" s="2"/>
    </row>
    <row r="10" ht="27.0" customHeight="1">
      <c r="A10" s="1"/>
      <c r="B10" s="3" t="s">
        <v>9</v>
      </c>
      <c r="C10" s="8">
        <f>'6.6 Cashflow'!B48</f>
        <v>9808912.035</v>
      </c>
      <c r="D10" s="11"/>
      <c r="E10" s="2"/>
      <c r="F10" s="2"/>
      <c r="G10" s="1"/>
      <c r="H10" s="2"/>
      <c r="I10" s="2"/>
    </row>
    <row r="11" ht="27.0" customHeight="1">
      <c r="A11" s="1"/>
      <c r="B11" s="8" t="s">
        <v>10</v>
      </c>
      <c r="C11" s="12">
        <f>SUM(C5:C10)</f>
        <v>40671950.9</v>
      </c>
      <c r="D11" s="13"/>
      <c r="E11" s="2"/>
      <c r="F11" s="2"/>
      <c r="G11" s="1"/>
      <c r="H11" s="2"/>
      <c r="I11" s="2"/>
    </row>
    <row r="12" ht="27.0" customHeight="1">
      <c r="A12" s="1"/>
      <c r="B12" s="1"/>
      <c r="C12" s="1"/>
      <c r="D12" s="1"/>
      <c r="E12" s="2"/>
      <c r="F12" s="2"/>
      <c r="G12" s="1"/>
      <c r="H12" s="2"/>
      <c r="I12" s="2"/>
    </row>
    <row r="13" ht="27.0" customHeight="1">
      <c r="A13" s="1"/>
      <c r="B13" s="6" t="s">
        <v>11</v>
      </c>
      <c r="C13" s="7"/>
      <c r="D13" s="9" t="s">
        <v>4</v>
      </c>
      <c r="E13" s="2"/>
      <c r="F13" s="2"/>
      <c r="G13" s="1"/>
      <c r="H13" s="2"/>
      <c r="I13" s="2"/>
    </row>
    <row r="14" ht="27.0" customHeight="1">
      <c r="A14" s="1"/>
      <c r="B14" s="14" t="s">
        <v>12</v>
      </c>
      <c r="C14" s="14">
        <f>'6.2 Detalle de Financiación'!C8</f>
        <v>40671950.9</v>
      </c>
      <c r="D14" s="11"/>
      <c r="E14" s="2"/>
      <c r="F14" s="2"/>
      <c r="G14" s="1"/>
      <c r="H14" s="2"/>
      <c r="I14" s="2"/>
    </row>
    <row r="15" ht="27.0" customHeight="1">
      <c r="A15" s="1"/>
      <c r="B15" s="8" t="s">
        <v>13</v>
      </c>
      <c r="C15" s="8">
        <f>SUM(C14)</f>
        <v>40671950.9</v>
      </c>
      <c r="D15" s="11"/>
      <c r="E15" s="2"/>
      <c r="F15" s="2"/>
      <c r="G15" s="1"/>
      <c r="H15" s="2"/>
      <c r="I15" s="2"/>
    </row>
    <row r="16" ht="27.0" customHeight="1">
      <c r="A16" s="1"/>
      <c r="B16" s="15"/>
      <c r="C16" s="7"/>
      <c r="D16" s="11"/>
      <c r="E16" s="2"/>
      <c r="F16" s="2"/>
      <c r="G16" s="1"/>
      <c r="H16" s="2"/>
      <c r="I16" s="2"/>
    </row>
    <row r="17">
      <c r="A17" s="1"/>
      <c r="B17" s="12" t="s">
        <v>14</v>
      </c>
      <c r="C17" s="12">
        <f>C15-C11</f>
        <v>0</v>
      </c>
      <c r="D17" s="13"/>
      <c r="E17" s="2"/>
      <c r="F17" s="2"/>
      <c r="G17" s="1"/>
      <c r="H17" s="2"/>
      <c r="I17" s="2"/>
    </row>
    <row r="18" ht="27.0" customHeight="1">
      <c r="A18" s="1"/>
      <c r="B18" s="2"/>
      <c r="C18" s="2"/>
      <c r="D18" s="2"/>
      <c r="E18" s="2"/>
      <c r="F18" s="2"/>
      <c r="G18" s="1"/>
      <c r="H18" s="2"/>
      <c r="I18" s="2"/>
    </row>
    <row r="19" ht="27.0" customHeight="1">
      <c r="A19" s="1"/>
      <c r="B19" s="1"/>
      <c r="C19" s="1"/>
      <c r="D19" s="1"/>
      <c r="E19" s="1"/>
      <c r="F19" s="1"/>
      <c r="G19" s="1"/>
      <c r="H19" s="16"/>
      <c r="I19" s="16"/>
    </row>
    <row r="20" ht="27.0" customHeight="1">
      <c r="A20" s="1"/>
      <c r="B20" s="6" t="s">
        <v>15</v>
      </c>
      <c r="C20" s="17"/>
      <c r="D20" s="17"/>
      <c r="E20" s="17"/>
      <c r="F20" s="7"/>
      <c r="G20" s="1"/>
      <c r="H20" s="16"/>
      <c r="I20" s="16"/>
    </row>
    <row r="21" ht="23.25" customHeight="1">
      <c r="A21" s="1"/>
      <c r="B21" s="3" t="s">
        <v>16</v>
      </c>
      <c r="C21" s="3" t="s">
        <v>17</v>
      </c>
      <c r="D21" s="3" t="s">
        <v>18</v>
      </c>
      <c r="E21" s="3" t="s">
        <v>19</v>
      </c>
      <c r="F21" s="3" t="s">
        <v>20</v>
      </c>
      <c r="G21" s="1"/>
      <c r="H21" s="16"/>
      <c r="I21" s="16"/>
    </row>
    <row r="22">
      <c r="A22" s="1"/>
      <c r="B22" s="4" t="s">
        <v>21</v>
      </c>
      <c r="C22" s="14">
        <v>489999.0</v>
      </c>
      <c r="D22" s="4">
        <v>3.0</v>
      </c>
      <c r="E22" s="14">
        <f t="shared" ref="E22:E23" si="1">C22*D22</f>
        <v>1469997</v>
      </c>
      <c r="F22" s="18" t="s">
        <v>22</v>
      </c>
      <c r="G22" s="1"/>
      <c r="H22" s="16"/>
      <c r="I22" s="16"/>
    </row>
    <row r="23">
      <c r="A23" s="1"/>
      <c r="B23" s="4" t="s">
        <v>23</v>
      </c>
      <c r="C23" s="14">
        <v>200000.0</v>
      </c>
      <c r="D23" s="4">
        <v>1.0</v>
      </c>
      <c r="E23" s="14">
        <f t="shared" si="1"/>
        <v>200000</v>
      </c>
      <c r="F23" s="19"/>
      <c r="G23" s="1"/>
      <c r="H23" s="16"/>
      <c r="I23" s="16"/>
    </row>
    <row r="24" ht="23.25" customHeight="1">
      <c r="A24" s="1"/>
      <c r="B24" s="20" t="s">
        <v>24</v>
      </c>
      <c r="C24" s="17"/>
      <c r="D24" s="7"/>
      <c r="E24" s="8">
        <f>SUM(E22:E23)</f>
        <v>1669997</v>
      </c>
      <c r="F24" s="4" t="s">
        <v>4</v>
      </c>
      <c r="G24" s="1"/>
      <c r="H24" s="16"/>
      <c r="I24" s="16"/>
    </row>
    <row r="25" ht="23.25" customHeight="1">
      <c r="A25" s="1"/>
      <c r="B25" s="6" t="s">
        <v>25</v>
      </c>
      <c r="C25" s="17"/>
      <c r="D25" s="7"/>
      <c r="E25" s="12">
        <f>E24</f>
        <v>1669997</v>
      </c>
      <c r="F25" s="4" t="s">
        <v>4</v>
      </c>
      <c r="G25" s="1"/>
      <c r="H25" s="16"/>
      <c r="I25" s="16"/>
    </row>
    <row r="26" ht="23.25" customHeight="1">
      <c r="A26" s="1"/>
      <c r="B26" s="1"/>
      <c r="C26" s="21"/>
      <c r="D26" s="1"/>
      <c r="E26" s="21"/>
      <c r="F26" s="1"/>
      <c r="G26" s="22"/>
      <c r="H26" s="16"/>
      <c r="I26" s="16"/>
    </row>
    <row r="27" ht="54.0" customHeight="1">
      <c r="A27" s="1"/>
      <c r="B27" s="6" t="s">
        <v>5</v>
      </c>
      <c r="C27" s="17"/>
      <c r="D27" s="17"/>
      <c r="E27" s="17"/>
      <c r="F27" s="7"/>
      <c r="G27" s="1"/>
      <c r="H27" s="16"/>
      <c r="I27" s="16"/>
    </row>
    <row r="28" ht="23.25" customHeight="1">
      <c r="A28" s="1"/>
      <c r="B28" s="3"/>
      <c r="C28" s="8" t="s">
        <v>17</v>
      </c>
      <c r="D28" s="3" t="s">
        <v>18</v>
      </c>
      <c r="E28" s="8" t="s">
        <v>19</v>
      </c>
      <c r="F28" s="3" t="s">
        <v>20</v>
      </c>
      <c r="G28" s="1"/>
      <c r="H28" s="23"/>
      <c r="I28" s="22" t="s">
        <v>26</v>
      </c>
    </row>
    <row r="29" ht="23.25" customHeight="1">
      <c r="A29" s="1"/>
      <c r="B29" s="4" t="s">
        <v>27</v>
      </c>
      <c r="C29" s="14">
        <v>266000.0</v>
      </c>
      <c r="D29" s="4">
        <v>15.0</v>
      </c>
      <c r="E29" s="14">
        <f t="shared" ref="E29:E38" si="2">C29*D29</f>
        <v>3990000</v>
      </c>
      <c r="F29" s="18" t="s">
        <v>28</v>
      </c>
      <c r="G29" s="24" t="s">
        <v>29</v>
      </c>
      <c r="H29" s="25" t="s">
        <v>30</v>
      </c>
      <c r="I29" s="26">
        <v>72.0</v>
      </c>
    </row>
    <row r="30">
      <c r="A30" s="1"/>
      <c r="B30" s="4" t="s">
        <v>31</v>
      </c>
      <c r="C30" s="14">
        <v>1400000.0</v>
      </c>
      <c r="D30" s="4">
        <v>5.0</v>
      </c>
      <c r="E30" s="14">
        <f t="shared" si="2"/>
        <v>7000000</v>
      </c>
      <c r="F30" s="27" t="s">
        <v>32</v>
      </c>
      <c r="G30" s="22"/>
      <c r="I30" s="28">
        <v>60.0</v>
      </c>
    </row>
    <row r="31" ht="27.75" customHeight="1">
      <c r="A31" s="1"/>
      <c r="B31" s="4" t="s">
        <v>33</v>
      </c>
      <c r="C31" s="14">
        <v>360000.0</v>
      </c>
      <c r="D31" s="4">
        <v>5.0</v>
      </c>
      <c r="E31" s="14">
        <f t="shared" si="2"/>
        <v>1800000</v>
      </c>
      <c r="F31" s="29" t="s">
        <v>34</v>
      </c>
      <c r="G31" s="1"/>
      <c r="H31" s="23"/>
      <c r="I31" s="23"/>
    </row>
    <row r="32" ht="31.5" customHeight="1">
      <c r="A32" s="1"/>
      <c r="B32" s="14" t="s">
        <v>35</v>
      </c>
      <c r="C32" s="14">
        <v>21145.0</v>
      </c>
      <c r="D32" s="4">
        <v>5.0</v>
      </c>
      <c r="E32" s="14">
        <f t="shared" si="2"/>
        <v>105725</v>
      </c>
      <c r="F32" s="18" t="s">
        <v>36</v>
      </c>
      <c r="G32" s="1"/>
      <c r="H32" s="23"/>
      <c r="I32" s="23"/>
    </row>
    <row r="33">
      <c r="A33" s="1"/>
      <c r="B33" s="4" t="s">
        <v>37</v>
      </c>
      <c r="C33" s="14">
        <v>27274.68</v>
      </c>
      <c r="D33" s="4">
        <v>20.0</v>
      </c>
      <c r="E33" s="14">
        <f t="shared" si="2"/>
        <v>545493.6</v>
      </c>
      <c r="F33" s="18" t="s">
        <v>38</v>
      </c>
      <c r="G33" s="1"/>
      <c r="H33" s="30"/>
      <c r="I33" s="30"/>
    </row>
    <row r="34">
      <c r="A34" s="1"/>
      <c r="B34" s="4" t="s">
        <v>39</v>
      </c>
      <c r="C34" s="14">
        <v>7986.0</v>
      </c>
      <c r="D34" s="4">
        <v>20.0</v>
      </c>
      <c r="E34" s="14">
        <f t="shared" si="2"/>
        <v>159720</v>
      </c>
      <c r="F34" s="18" t="s">
        <v>40</v>
      </c>
      <c r="G34" s="1"/>
      <c r="H34" s="23"/>
      <c r="I34" s="23"/>
    </row>
    <row r="35">
      <c r="A35" s="1"/>
      <c r="B35" s="4" t="s">
        <v>41</v>
      </c>
      <c r="C35" s="14">
        <v>314000.0</v>
      </c>
      <c r="D35" s="4">
        <v>1.0</v>
      </c>
      <c r="E35" s="14">
        <f t="shared" si="2"/>
        <v>314000</v>
      </c>
      <c r="F35" s="18" t="s">
        <v>42</v>
      </c>
      <c r="G35" s="22"/>
      <c r="H35" s="23"/>
      <c r="I35" s="23"/>
    </row>
    <row r="36" ht="27.75" customHeight="1">
      <c r="A36" s="1"/>
      <c r="B36" s="31" t="s">
        <v>43</v>
      </c>
      <c r="C36" s="14">
        <v>19990.0</v>
      </c>
      <c r="D36" s="4">
        <v>1.0</v>
      </c>
      <c r="E36" s="14">
        <f t="shared" si="2"/>
        <v>19990</v>
      </c>
      <c r="F36" s="18" t="s">
        <v>44</v>
      </c>
      <c r="G36" s="1"/>
      <c r="H36" s="23"/>
      <c r="I36" s="23"/>
    </row>
    <row r="37" ht="23.25" customHeight="1">
      <c r="A37" s="1"/>
      <c r="B37" s="4" t="s">
        <v>45</v>
      </c>
      <c r="C37" s="14">
        <v>32449.0</v>
      </c>
      <c r="D37" s="4">
        <v>2.0</v>
      </c>
      <c r="E37" s="14">
        <f t="shared" si="2"/>
        <v>64898</v>
      </c>
      <c r="F37" s="18" t="s">
        <v>46</v>
      </c>
      <c r="G37" s="1"/>
      <c r="H37" s="23"/>
      <c r="I37" s="23"/>
    </row>
    <row r="38" ht="55.5" customHeight="1">
      <c r="A38" s="1"/>
      <c r="B38" s="4" t="s">
        <v>47</v>
      </c>
      <c r="C38" s="14">
        <f>7500*C2</f>
        <v>11212500</v>
      </c>
      <c r="D38" s="4">
        <v>1.0</v>
      </c>
      <c r="E38" s="14">
        <f t="shared" si="2"/>
        <v>11212500</v>
      </c>
      <c r="F38" s="32" t="s">
        <v>48</v>
      </c>
      <c r="G38" s="22"/>
      <c r="I38" s="22">
        <v>120.0</v>
      </c>
    </row>
    <row r="39" ht="23.25" customHeight="1">
      <c r="A39" s="1"/>
      <c r="B39" s="6" t="s">
        <v>49</v>
      </c>
      <c r="C39" s="17"/>
      <c r="D39" s="7"/>
      <c r="E39" s="12">
        <f>SUM(E29:E38)</f>
        <v>25212326.6</v>
      </c>
      <c r="F39" s="4" t="s">
        <v>4</v>
      </c>
      <c r="G39" s="1"/>
      <c r="H39" s="23"/>
      <c r="I39" s="23"/>
    </row>
    <row r="40" ht="23.25" customHeight="1">
      <c r="A40" s="1"/>
      <c r="B40" s="1"/>
      <c r="C40" s="21"/>
      <c r="D40" s="1"/>
      <c r="E40" s="21"/>
      <c r="F40" s="1"/>
      <c r="G40" s="1"/>
      <c r="H40" s="23"/>
      <c r="I40" s="23"/>
    </row>
    <row r="41" ht="23.25" customHeight="1">
      <c r="A41" s="33"/>
      <c r="B41" s="6" t="s">
        <v>6</v>
      </c>
      <c r="C41" s="17"/>
      <c r="D41" s="17"/>
      <c r="E41" s="17"/>
      <c r="F41" s="7"/>
      <c r="G41" s="33"/>
      <c r="H41" s="33"/>
      <c r="I41" s="33"/>
    </row>
    <row r="42" ht="23.25" customHeight="1">
      <c r="A42" s="33"/>
      <c r="B42" s="34"/>
      <c r="C42" s="35" t="s">
        <v>17</v>
      </c>
      <c r="D42" s="34" t="s">
        <v>18</v>
      </c>
      <c r="E42" s="35" t="s">
        <v>19</v>
      </c>
      <c r="F42" s="34" t="s">
        <v>20</v>
      </c>
      <c r="G42" s="33"/>
      <c r="H42" s="33"/>
      <c r="I42" s="33"/>
    </row>
    <row r="43" ht="23.25" customHeight="1">
      <c r="A43" s="33"/>
      <c r="B43" s="4" t="s">
        <v>50</v>
      </c>
      <c r="C43" s="14">
        <v>928000.0</v>
      </c>
      <c r="D43" s="4">
        <v>1.0</v>
      </c>
      <c r="E43" s="14">
        <f t="shared" ref="E43:E50" si="3">C43*D43</f>
        <v>928000</v>
      </c>
      <c r="F43" s="19" t="s">
        <v>51</v>
      </c>
      <c r="G43" s="33"/>
      <c r="H43" s="33"/>
      <c r="I43" s="33"/>
    </row>
    <row r="44" ht="21.0" customHeight="1">
      <c r="A44" s="33"/>
      <c r="B44" s="4" t="s">
        <v>52</v>
      </c>
      <c r="C44" s="14">
        <v>66262.0</v>
      </c>
      <c r="D44" s="4">
        <v>1.0</v>
      </c>
      <c r="E44" s="14">
        <f t="shared" si="3"/>
        <v>66262</v>
      </c>
      <c r="F44" s="18" t="s">
        <v>53</v>
      </c>
      <c r="G44" s="33"/>
      <c r="H44" s="33"/>
      <c r="I44" s="33"/>
    </row>
    <row r="45" ht="23.25" customHeight="1">
      <c r="A45" s="33"/>
      <c r="B45" s="4" t="s">
        <v>54</v>
      </c>
      <c r="C45" s="14">
        <v>22059.0</v>
      </c>
      <c r="D45" s="4">
        <v>7.0</v>
      </c>
      <c r="E45" s="14">
        <f t="shared" si="3"/>
        <v>154413</v>
      </c>
      <c r="F45" s="18" t="s">
        <v>55</v>
      </c>
      <c r="G45" s="33"/>
      <c r="H45" s="33"/>
      <c r="I45" s="33"/>
    </row>
    <row r="46" ht="23.25" customHeight="1">
      <c r="A46" s="33"/>
      <c r="B46" s="4" t="s">
        <v>56</v>
      </c>
      <c r="C46" s="14">
        <v>6800.0</v>
      </c>
      <c r="D46" s="4">
        <v>4.0</v>
      </c>
      <c r="E46" s="14">
        <f t="shared" si="3"/>
        <v>27200</v>
      </c>
      <c r="F46" s="18" t="s">
        <v>57</v>
      </c>
      <c r="G46" s="33"/>
      <c r="H46" s="33"/>
      <c r="I46" s="33"/>
    </row>
    <row r="47" ht="23.25" customHeight="1">
      <c r="A47" s="33"/>
      <c r="B47" s="4" t="s">
        <v>58</v>
      </c>
      <c r="C47" s="14">
        <v>4000.0</v>
      </c>
      <c r="D47" s="4">
        <v>1.0</v>
      </c>
      <c r="E47" s="14">
        <f t="shared" si="3"/>
        <v>4000</v>
      </c>
      <c r="F47" s="18" t="s">
        <v>59</v>
      </c>
      <c r="G47" s="33"/>
      <c r="H47" s="33"/>
      <c r="I47" s="33"/>
    </row>
    <row r="48" ht="23.25" customHeight="1">
      <c r="A48" s="33"/>
      <c r="B48" s="4" t="s">
        <v>60</v>
      </c>
      <c r="C48" s="14">
        <v>1400.0</v>
      </c>
      <c r="D48" s="4">
        <v>84.0</v>
      </c>
      <c r="E48" s="14">
        <f t="shared" si="3"/>
        <v>117600</v>
      </c>
      <c r="F48" s="18" t="s">
        <v>61</v>
      </c>
      <c r="G48" s="33"/>
      <c r="H48" s="33"/>
      <c r="I48" s="33"/>
    </row>
    <row r="49" ht="23.25" customHeight="1">
      <c r="A49" s="33"/>
      <c r="B49" s="4" t="s">
        <v>62</v>
      </c>
      <c r="C49" s="14">
        <v>2529.89</v>
      </c>
      <c r="D49" s="4">
        <v>2.0</v>
      </c>
      <c r="E49" s="14">
        <f t="shared" si="3"/>
        <v>5059.78</v>
      </c>
      <c r="F49" s="18" t="s">
        <v>63</v>
      </c>
      <c r="G49" s="33"/>
      <c r="H49" s="33"/>
      <c r="I49" s="33"/>
    </row>
    <row r="50" ht="23.25" customHeight="1">
      <c r="A50" s="33"/>
      <c r="B50" s="4" t="s">
        <v>64</v>
      </c>
      <c r="C50" s="14">
        <v>8683.0</v>
      </c>
      <c r="D50" s="4">
        <v>1.0</v>
      </c>
      <c r="E50" s="14">
        <f t="shared" si="3"/>
        <v>8683</v>
      </c>
      <c r="F50" s="18" t="s">
        <v>65</v>
      </c>
      <c r="G50" s="33"/>
      <c r="H50" s="33"/>
      <c r="I50" s="33"/>
    </row>
    <row r="51" ht="23.25" customHeight="1">
      <c r="A51" s="33"/>
      <c r="B51" s="6" t="s">
        <v>66</v>
      </c>
      <c r="C51" s="17"/>
      <c r="D51" s="7"/>
      <c r="E51" s="36">
        <f>SUM(E43:E50)</f>
        <v>1311217.78</v>
      </c>
      <c r="F51" s="37" t="s">
        <v>4</v>
      </c>
      <c r="G51" s="33"/>
      <c r="H51" s="33"/>
      <c r="I51" s="33"/>
    </row>
    <row r="52" ht="23.25" customHeight="1">
      <c r="A52" s="1"/>
      <c r="B52" s="1"/>
      <c r="C52" s="21"/>
      <c r="D52" s="1"/>
      <c r="E52" s="21"/>
      <c r="F52" s="1"/>
      <c r="G52" s="1"/>
      <c r="H52" s="23"/>
      <c r="I52" s="23"/>
    </row>
    <row r="53" ht="23.25" customHeight="1">
      <c r="A53" s="1"/>
      <c r="B53" s="6" t="s">
        <v>7</v>
      </c>
      <c r="C53" s="17"/>
      <c r="D53" s="17"/>
      <c r="E53" s="17"/>
      <c r="F53" s="7"/>
      <c r="G53" s="1"/>
      <c r="H53" s="23"/>
      <c r="I53" s="23"/>
    </row>
    <row r="54" ht="23.25" customHeight="1">
      <c r="A54" s="1"/>
      <c r="B54" s="3" t="s">
        <v>7</v>
      </c>
      <c r="C54" s="8" t="s">
        <v>17</v>
      </c>
      <c r="D54" s="3" t="s">
        <v>18</v>
      </c>
      <c r="E54" s="8" t="s">
        <v>19</v>
      </c>
      <c r="F54" s="3" t="s">
        <v>20</v>
      </c>
      <c r="G54" s="1"/>
      <c r="H54" s="23"/>
      <c r="I54" s="23"/>
    </row>
    <row r="55" ht="23.25" customHeight="1">
      <c r="A55" s="1"/>
      <c r="B55" s="4" t="s">
        <v>67</v>
      </c>
      <c r="C55" s="14">
        <v>25500.0</v>
      </c>
      <c r="D55" s="4">
        <v>1.0</v>
      </c>
      <c r="E55" s="14">
        <f t="shared" ref="E55:E61" si="4">C55*D55</f>
        <v>25500</v>
      </c>
      <c r="F55" s="18" t="s">
        <v>68</v>
      </c>
      <c r="G55" s="1"/>
      <c r="H55" s="23"/>
      <c r="I55" s="23"/>
    </row>
    <row r="56" ht="23.25" customHeight="1">
      <c r="A56" s="1"/>
      <c r="B56" s="4" t="s">
        <v>69</v>
      </c>
      <c r="C56" s="14">
        <f>C2*100</f>
        <v>149500</v>
      </c>
      <c r="D56" s="4">
        <v>1.0</v>
      </c>
      <c r="E56" s="14">
        <f t="shared" si="4"/>
        <v>149500</v>
      </c>
      <c r="F56" s="19"/>
      <c r="G56" s="1"/>
      <c r="H56" s="23"/>
      <c r="I56" s="23"/>
    </row>
    <row r="57" ht="23.25" customHeight="1">
      <c r="A57" s="1"/>
      <c r="B57" s="4" t="s">
        <v>70</v>
      </c>
      <c r="C57" s="14">
        <v>5999.0</v>
      </c>
      <c r="D57" s="4">
        <v>1.0</v>
      </c>
      <c r="E57" s="14">
        <f t="shared" si="4"/>
        <v>5999</v>
      </c>
      <c r="F57" s="18" t="s">
        <v>71</v>
      </c>
      <c r="G57" s="1"/>
      <c r="H57" s="23"/>
      <c r="I57" s="23"/>
    </row>
    <row r="58">
      <c r="A58" s="1"/>
      <c r="B58" s="4" t="s">
        <v>72</v>
      </c>
      <c r="C58" s="14">
        <v>1043310.0</v>
      </c>
      <c r="D58" s="4">
        <v>1.0</v>
      </c>
      <c r="E58" s="14">
        <f t="shared" si="4"/>
        <v>1043310</v>
      </c>
      <c r="F58" s="18" t="s">
        <v>73</v>
      </c>
      <c r="G58" s="1"/>
      <c r="H58" s="1"/>
      <c r="I58" s="1"/>
    </row>
    <row r="59" ht="30.0" customHeight="1">
      <c r="A59" s="1"/>
      <c r="B59" s="4" t="s">
        <v>74</v>
      </c>
      <c r="C59" s="14">
        <v>38192.0</v>
      </c>
      <c r="D59" s="4">
        <v>2.0</v>
      </c>
      <c r="E59" s="14">
        <f t="shared" si="4"/>
        <v>76384</v>
      </c>
      <c r="F59" s="38" t="s">
        <v>75</v>
      </c>
      <c r="G59" s="1"/>
      <c r="H59" s="1"/>
      <c r="I59" s="1"/>
    </row>
    <row r="60" ht="30.75" customHeight="1">
      <c r="A60" s="1"/>
      <c r="B60" s="4" t="s">
        <v>76</v>
      </c>
      <c r="C60" s="14">
        <v>8402.24</v>
      </c>
      <c r="D60" s="4">
        <v>2.0</v>
      </c>
      <c r="E60" s="14">
        <f t="shared" si="4"/>
        <v>16804.48</v>
      </c>
      <c r="F60" s="13"/>
      <c r="G60" s="1"/>
      <c r="H60" s="1"/>
      <c r="I60" s="1"/>
    </row>
    <row r="61" ht="23.25" customHeight="1">
      <c r="A61" s="1"/>
      <c r="B61" s="4" t="s">
        <v>77</v>
      </c>
      <c r="C61" s="14">
        <v>1500.0</v>
      </c>
      <c r="D61" s="4">
        <v>24.0</v>
      </c>
      <c r="E61" s="14">
        <f t="shared" si="4"/>
        <v>36000</v>
      </c>
      <c r="F61" s="18" t="s">
        <v>78</v>
      </c>
      <c r="G61" s="1"/>
      <c r="H61" s="1"/>
      <c r="I61" s="1"/>
    </row>
    <row r="62" ht="23.25" customHeight="1">
      <c r="A62" s="1"/>
      <c r="B62" s="6" t="s">
        <v>79</v>
      </c>
      <c r="C62" s="17"/>
      <c r="D62" s="7"/>
      <c r="E62" s="12">
        <f>SUM(E55:E61)</f>
        <v>1353497.48</v>
      </c>
      <c r="F62" s="4" t="s">
        <v>4</v>
      </c>
      <c r="G62" s="1"/>
      <c r="H62" s="1"/>
      <c r="I62" s="1"/>
    </row>
    <row r="63" ht="23.25" customHeight="1">
      <c r="A63" s="1"/>
      <c r="B63" s="21"/>
      <c r="C63" s="21"/>
      <c r="D63" s="21"/>
      <c r="E63" s="21"/>
      <c r="F63" s="1"/>
      <c r="G63" s="1"/>
      <c r="H63" s="1"/>
      <c r="I63" s="1"/>
    </row>
    <row r="64" ht="33.0" customHeight="1">
      <c r="A64" s="1"/>
      <c r="B64" s="6" t="s">
        <v>8</v>
      </c>
      <c r="C64" s="17"/>
      <c r="D64" s="17"/>
      <c r="E64" s="17"/>
      <c r="F64" s="7"/>
      <c r="G64" s="1"/>
      <c r="H64" s="1"/>
      <c r="I64" s="1"/>
    </row>
    <row r="65" ht="23.25" customHeight="1">
      <c r="A65" s="1"/>
      <c r="B65" s="3" t="s">
        <v>80</v>
      </c>
      <c r="C65" s="3" t="s">
        <v>17</v>
      </c>
      <c r="D65" s="3" t="s">
        <v>18</v>
      </c>
      <c r="E65" s="10" t="s">
        <v>19</v>
      </c>
      <c r="F65" s="3" t="s">
        <v>20</v>
      </c>
      <c r="G65" s="1"/>
      <c r="H65" s="1"/>
      <c r="I65" s="1"/>
    </row>
    <row r="66">
      <c r="A66" s="1"/>
      <c r="B66" s="4" t="s">
        <v>81</v>
      </c>
      <c r="C66" s="14">
        <f>800*C2</f>
        <v>1196000</v>
      </c>
      <c r="D66" s="4">
        <v>1.0</v>
      </c>
      <c r="E66" s="14">
        <f t="shared" ref="E66:E67" si="5">C66*D66</f>
        <v>1196000</v>
      </c>
      <c r="F66" s="39" t="s">
        <v>82</v>
      </c>
      <c r="G66" s="1"/>
      <c r="H66" s="1"/>
      <c r="I66" s="1"/>
    </row>
    <row r="67">
      <c r="A67" s="1"/>
      <c r="B67" s="4" t="s">
        <v>83</v>
      </c>
      <c r="C67" s="14">
        <v>120000.0</v>
      </c>
      <c r="D67" s="4">
        <v>1.0</v>
      </c>
      <c r="E67" s="14">
        <f t="shared" si="5"/>
        <v>120000</v>
      </c>
      <c r="F67" s="40"/>
      <c r="G67" s="1"/>
      <c r="H67" s="1"/>
      <c r="I67" s="1"/>
    </row>
    <row r="68" ht="23.25" customHeight="1">
      <c r="A68" s="1"/>
      <c r="B68" s="41" t="s">
        <v>84</v>
      </c>
      <c r="C68" s="17"/>
      <c r="D68" s="7"/>
      <c r="E68" s="42">
        <f>SUM(E66:E67)</f>
        <v>1316000</v>
      </c>
      <c r="F68" s="4" t="s">
        <v>4</v>
      </c>
      <c r="G68" s="1"/>
      <c r="H68" s="1"/>
      <c r="I68" s="1"/>
    </row>
    <row r="69" ht="24.0" customHeight="1">
      <c r="A69" s="1"/>
      <c r="B69" s="1"/>
      <c r="C69" s="1"/>
      <c r="D69" s="1"/>
      <c r="E69" s="1"/>
      <c r="F69" s="1"/>
      <c r="G69" s="1"/>
      <c r="H69" s="1"/>
      <c r="I69" s="1"/>
    </row>
    <row r="70" ht="23.25" customHeight="1">
      <c r="A70" s="1"/>
      <c r="B70" s="6" t="s">
        <v>9</v>
      </c>
      <c r="C70" s="17"/>
      <c r="D70" s="17"/>
      <c r="E70" s="7"/>
      <c r="F70" s="9" t="s">
        <v>85</v>
      </c>
      <c r="G70" s="1"/>
      <c r="H70" s="1"/>
      <c r="I70" s="1"/>
    </row>
    <row r="71" ht="23.25" customHeight="1">
      <c r="A71" s="1"/>
      <c r="B71" s="20" t="s">
        <v>86</v>
      </c>
      <c r="C71" s="17"/>
      <c r="D71" s="7"/>
      <c r="E71" s="8">
        <f>'6.6 Cashflow'!B48</f>
        <v>9808912.035</v>
      </c>
      <c r="F71" s="11"/>
      <c r="G71" s="1"/>
      <c r="H71" s="1"/>
      <c r="I71" s="1"/>
    </row>
    <row r="72" ht="23.25" customHeight="1">
      <c r="A72" s="1"/>
      <c r="B72" s="6" t="s">
        <v>87</v>
      </c>
      <c r="C72" s="17"/>
      <c r="D72" s="7"/>
      <c r="E72" s="12">
        <f>E71</f>
        <v>9808912.035</v>
      </c>
      <c r="F72" s="13"/>
      <c r="G72" s="1"/>
      <c r="H72" s="1"/>
      <c r="I72" s="1"/>
    </row>
    <row r="73" ht="23.25" customHeight="1">
      <c r="A73" s="1"/>
      <c r="B73" s="1"/>
      <c r="C73" s="21"/>
      <c r="D73" s="1"/>
      <c r="E73" s="21"/>
      <c r="F73" s="1"/>
      <c r="G73" s="1"/>
      <c r="H73" s="1"/>
      <c r="I73" s="1"/>
    </row>
  </sheetData>
  <mergeCells count="21">
    <mergeCell ref="B4:C4"/>
    <mergeCell ref="D5:D11"/>
    <mergeCell ref="B13:C13"/>
    <mergeCell ref="D13:D17"/>
    <mergeCell ref="B16:C16"/>
    <mergeCell ref="B20:F20"/>
    <mergeCell ref="B24:D24"/>
    <mergeCell ref="B62:D62"/>
    <mergeCell ref="B64:F64"/>
    <mergeCell ref="B68:D68"/>
    <mergeCell ref="B70:E70"/>
    <mergeCell ref="F70:F72"/>
    <mergeCell ref="B71:D71"/>
    <mergeCell ref="B72:D72"/>
    <mergeCell ref="B25:D25"/>
    <mergeCell ref="B27:F27"/>
    <mergeCell ref="B39:D39"/>
    <mergeCell ref="B41:F41"/>
    <mergeCell ref="B51:D51"/>
    <mergeCell ref="B53:F53"/>
    <mergeCell ref="F59:F60"/>
  </mergeCells>
  <hyperlinks>
    <hyperlink r:id="rId2" location="polycard_client=search-desktop&amp;be_origin=backend&amp;search_layout=grid&amp;position=7&amp;type=product&amp;tracking_id=37687ebf-7de2-4fca-83f4-2f6c97fbcb1f&amp;wid=MLA3219580832&amp;sid=search" ref="F22"/>
    <hyperlink r:id="rId3" ref="F29"/>
    <hyperlink r:id="rId4" ref="G29"/>
    <hyperlink r:id="rId5" ref="H29"/>
    <hyperlink r:id="rId6" ref="F30"/>
    <hyperlink r:id="rId7" ref="F31"/>
    <hyperlink r:id="rId8" ref="F32"/>
    <hyperlink r:id="rId9" location="is_advertising=true&amp;searchVariation=MLA45065818&amp;backend_model=search-backend&amp;be_origin=backend&amp;position=5&amp;search_layout=grid&amp;type=pad&amp;tracking_id=f1cf4ece-98d0-4180-814f-f934f06534ad&amp;ad_domain=VQCATCORE_LST&amp;ad_position=5&amp;ad_click_id=NmM1ODRhM2MtYjFiYy00ZTM4LTk3ODUtODc4N2EyNWUzMmJl" ref="F33"/>
    <hyperlink r:id="rId10" location="polycard_client=search_best-seller-categories&amp;tracking_id=146c8972-2f94-4c8c-b98a-fbfab59bd7ae&amp;wid=MLA1549222470&amp;sid=search" ref="F34"/>
    <hyperlink r:id="rId11" ref="F35"/>
    <hyperlink r:id="rId12" ref="F36"/>
    <hyperlink r:id="rId13" location="polycard_client=search-desktop&amp;be_origin=backend&amp;search_layout=grid&amp;position=6&amp;type=product&amp;tracking_id=c78a36fd-7d7e-46ec-ab13-bd0f2c07a59a&amp;wid=MLA2145964382&amp;sid=search" ref="F37"/>
    <hyperlink r:id="rId14" ref="F38"/>
    <hyperlink r:id="rId15" ref="F44"/>
    <hyperlink r:id="rId16" ref="F45"/>
    <hyperlink r:id="rId17" ref="F46"/>
    <hyperlink r:id="rId18" ref="F47"/>
    <hyperlink r:id="rId19" ref="F48"/>
    <hyperlink r:id="rId20" ref="F49"/>
    <hyperlink r:id="rId21" location="polycard_client=recommendations_vip-v2p&amp;reco_backend=ranker_retrieval_online_vpp_v2p&amp;reco_model=coldstart_low_exposition&amp;reco_client=vip-v2p&amp;reco_item_pos=1&amp;reco_backend_type=low_level&amp;reco_id=1b644fd0-9d3b-4cbd-bdf3-9363426f1727&amp;wid=MLA1452852333&amp;sid=recos" ref="F50"/>
    <hyperlink r:id="rId22" ref="F55"/>
    <hyperlink r:id="rId23" ref="F57"/>
    <hyperlink r:id="rId24" ref="F58"/>
    <hyperlink r:id="rId25" ref="F59"/>
    <hyperlink r:id="rId26" location="resultado" ref="F61"/>
    <hyperlink r:id="rId27" ref="F66"/>
  </hyperlinks>
  <printOptions/>
  <pageMargins bottom="0.75" footer="0.0" header="0.0" left="0.7" right="0.7" top="0.75"/>
  <pageSetup orientation="landscape"/>
  <drawing r:id="rId28"/>
  <legacyDrawing r:id="rId2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7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.25"/>
    <col customWidth="1" min="2" max="2" width="32.5"/>
    <col customWidth="1" min="3" max="3" width="31.0"/>
  </cols>
  <sheetData>
    <row r="1" ht="35.25" customHeight="1">
      <c r="A1" s="43"/>
      <c r="B1" s="43"/>
      <c r="C1" s="43"/>
      <c r="D1" s="43"/>
    </row>
    <row r="2" ht="35.25" customHeight="1">
      <c r="A2" s="43"/>
      <c r="B2" s="44" t="s">
        <v>88</v>
      </c>
      <c r="C2" s="17"/>
      <c r="D2" s="7"/>
    </row>
    <row r="3" ht="35.25" customHeight="1">
      <c r="A3" s="43"/>
      <c r="B3" s="45"/>
      <c r="C3" s="46" t="s">
        <v>89</v>
      </c>
      <c r="D3" s="46" t="s">
        <v>90</v>
      </c>
    </row>
    <row r="4" ht="35.25" customHeight="1">
      <c r="A4" s="43"/>
      <c r="B4" s="47" t="s">
        <v>91</v>
      </c>
      <c r="C4" s="48">
        <f>C8/3</f>
        <v>13557316.97</v>
      </c>
      <c r="D4" s="48" t="s">
        <v>92</v>
      </c>
    </row>
    <row r="5" ht="35.25" customHeight="1">
      <c r="A5" s="43"/>
      <c r="B5" s="49" t="s">
        <v>93</v>
      </c>
      <c r="C5" s="48">
        <f>C8/3</f>
        <v>13557316.97</v>
      </c>
      <c r="D5" s="48" t="s">
        <v>92</v>
      </c>
    </row>
    <row r="6" ht="35.25" customHeight="1">
      <c r="A6" s="43"/>
      <c r="B6" s="49" t="s">
        <v>94</v>
      </c>
      <c r="C6" s="48">
        <f>C8/3</f>
        <v>13557316.97</v>
      </c>
      <c r="D6" s="48" t="s">
        <v>92</v>
      </c>
    </row>
    <row r="7" ht="35.25" customHeight="1">
      <c r="A7" s="43"/>
      <c r="B7" s="50" t="s">
        <v>95</v>
      </c>
      <c r="C7" s="51">
        <f>SUM(C4:C6)</f>
        <v>40671950.9</v>
      </c>
      <c r="D7" s="48"/>
    </row>
    <row r="8" ht="35.25" customHeight="1">
      <c r="A8" s="43"/>
      <c r="B8" s="52" t="s">
        <v>96</v>
      </c>
      <c r="C8" s="53">
        <f>'6.1 Detalle de inversión inicia'!C11</f>
        <v>40671950.9</v>
      </c>
      <c r="D8" s="54" t="s">
        <v>4</v>
      </c>
    </row>
    <row r="9" ht="35.25" customHeight="1">
      <c r="A9" s="43"/>
    </row>
    <row r="10" ht="35.25" customHeight="1">
      <c r="A10" s="43"/>
      <c r="B10" s="47" t="s">
        <v>97</v>
      </c>
      <c r="C10" s="55">
        <f>C7/18</f>
        <v>2259552.828</v>
      </c>
    </row>
    <row r="11" ht="35.25" customHeight="1">
      <c r="A11" s="43"/>
      <c r="B11" s="47" t="s">
        <v>98</v>
      </c>
      <c r="C11" s="56">
        <f>C10/3</f>
        <v>753184.2758</v>
      </c>
      <c r="D11" s="43"/>
    </row>
    <row r="12" ht="35.25" customHeight="1">
      <c r="A12" s="43"/>
      <c r="B12" s="43"/>
      <c r="C12" s="43"/>
      <c r="D12" s="43"/>
    </row>
  </sheetData>
  <mergeCells count="1">
    <mergeCell ref="B2:D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77E3E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0.38"/>
    <col customWidth="1" min="2" max="2" width="26.0"/>
    <col customWidth="1" min="3" max="14" width="12.0"/>
    <col customWidth="1" min="15" max="15" width="1.5"/>
  </cols>
  <sheetData>
    <row r="1" ht="1.5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ht="55.5" customHeight="1">
      <c r="A2" s="43"/>
      <c r="B2" s="57" t="s">
        <v>99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7"/>
      <c r="O2" s="43"/>
    </row>
    <row r="3">
      <c r="A3" s="43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43"/>
    </row>
    <row r="4">
      <c r="A4" s="43"/>
      <c r="B4" s="59" t="s">
        <v>100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  <c r="O4" s="43"/>
    </row>
    <row r="5">
      <c r="A5" s="43"/>
      <c r="B5" s="62"/>
      <c r="C5" s="63" t="s">
        <v>101</v>
      </c>
      <c r="D5" s="63" t="s">
        <v>102</v>
      </c>
      <c r="E5" s="63" t="s">
        <v>103</v>
      </c>
      <c r="F5" s="63" t="s">
        <v>104</v>
      </c>
      <c r="G5" s="63" t="s">
        <v>105</v>
      </c>
      <c r="H5" s="63" t="s">
        <v>106</v>
      </c>
      <c r="I5" s="63" t="s">
        <v>107</v>
      </c>
      <c r="J5" s="63" t="s">
        <v>108</v>
      </c>
      <c r="K5" s="63" t="s">
        <v>109</v>
      </c>
      <c r="L5" s="63" t="s">
        <v>110</v>
      </c>
      <c r="M5" s="63" t="s">
        <v>111</v>
      </c>
      <c r="N5" s="63" t="s">
        <v>112</v>
      </c>
      <c r="O5" s="43"/>
    </row>
    <row r="6">
      <c r="A6" s="43"/>
      <c r="B6" s="64" t="s">
        <v>113</v>
      </c>
      <c r="C6" s="65">
        <v>3.0</v>
      </c>
      <c r="D6" s="66">
        <v>1.0</v>
      </c>
      <c r="E6" s="66">
        <v>3.0</v>
      </c>
      <c r="F6" s="66">
        <v>3.0</v>
      </c>
      <c r="G6" s="66">
        <v>3.0</v>
      </c>
      <c r="H6" s="66">
        <v>2.0</v>
      </c>
      <c r="I6" s="66">
        <v>3.0</v>
      </c>
      <c r="J6" s="66">
        <v>3.0</v>
      </c>
      <c r="K6" s="66">
        <v>3.0</v>
      </c>
      <c r="L6" s="66">
        <v>3.0</v>
      </c>
      <c r="M6" s="66">
        <v>2.0</v>
      </c>
      <c r="N6" s="67">
        <v>2.0</v>
      </c>
      <c r="O6" s="43"/>
    </row>
    <row r="7">
      <c r="A7" s="43"/>
      <c r="B7" s="68" t="s">
        <v>114</v>
      </c>
      <c r="C7" s="69">
        <v>2.0</v>
      </c>
      <c r="D7" s="70">
        <v>1.0</v>
      </c>
      <c r="E7" s="70">
        <v>2.0</v>
      </c>
      <c r="F7" s="70">
        <v>3.0</v>
      </c>
      <c r="G7" s="70">
        <v>3.0</v>
      </c>
      <c r="H7" s="70">
        <v>2.0</v>
      </c>
      <c r="I7" s="70">
        <v>3.0</v>
      </c>
      <c r="J7" s="70">
        <v>3.0</v>
      </c>
      <c r="K7" s="70">
        <v>2.0</v>
      </c>
      <c r="L7" s="70">
        <v>2.0</v>
      </c>
      <c r="M7" s="70">
        <v>1.0</v>
      </c>
      <c r="N7" s="71">
        <v>1.0</v>
      </c>
      <c r="O7" s="43"/>
    </row>
    <row r="8">
      <c r="A8" s="43"/>
      <c r="B8" s="68" t="s">
        <v>115</v>
      </c>
      <c r="C8" s="69">
        <v>1.0</v>
      </c>
      <c r="D8" s="70">
        <v>1.0</v>
      </c>
      <c r="E8" s="70">
        <v>2.0</v>
      </c>
      <c r="F8" s="70">
        <v>2.0</v>
      </c>
      <c r="G8" s="70">
        <v>3.0</v>
      </c>
      <c r="H8" s="70">
        <v>3.0</v>
      </c>
      <c r="I8" s="70">
        <v>3.0</v>
      </c>
      <c r="J8" s="70">
        <v>3.0</v>
      </c>
      <c r="K8" s="70">
        <v>3.0</v>
      </c>
      <c r="L8" s="70">
        <v>2.0</v>
      </c>
      <c r="M8" s="70">
        <v>2.0</v>
      </c>
      <c r="N8" s="71">
        <v>1.0</v>
      </c>
      <c r="O8" s="43"/>
    </row>
    <row r="9">
      <c r="A9" s="43"/>
      <c r="B9" s="68" t="s">
        <v>116</v>
      </c>
      <c r="C9" s="69">
        <v>3.0</v>
      </c>
      <c r="D9" s="70">
        <v>1.0</v>
      </c>
      <c r="E9" s="70">
        <v>3.0</v>
      </c>
      <c r="F9" s="70">
        <v>3.0</v>
      </c>
      <c r="G9" s="70">
        <v>3.0</v>
      </c>
      <c r="H9" s="70">
        <v>2.0</v>
      </c>
      <c r="I9" s="70">
        <v>1.0</v>
      </c>
      <c r="J9" s="70">
        <v>2.0</v>
      </c>
      <c r="K9" s="70">
        <v>3.0</v>
      </c>
      <c r="L9" s="70">
        <v>3.0</v>
      </c>
      <c r="M9" s="70">
        <v>2.0</v>
      </c>
      <c r="N9" s="71">
        <v>2.0</v>
      </c>
      <c r="O9" s="43"/>
    </row>
    <row r="10">
      <c r="A10" s="43"/>
      <c r="B10" s="68" t="s">
        <v>117</v>
      </c>
      <c r="C10" s="69">
        <v>3.0</v>
      </c>
      <c r="D10" s="70">
        <v>2.0</v>
      </c>
      <c r="E10" s="70">
        <v>3.0</v>
      </c>
      <c r="F10" s="70">
        <v>3.0</v>
      </c>
      <c r="G10" s="70">
        <v>3.0</v>
      </c>
      <c r="H10" s="70">
        <v>1.0</v>
      </c>
      <c r="I10" s="70">
        <v>1.0</v>
      </c>
      <c r="J10" s="70">
        <v>1.0</v>
      </c>
      <c r="K10" s="70">
        <v>2.0</v>
      </c>
      <c r="L10" s="70">
        <v>3.0</v>
      </c>
      <c r="M10" s="70">
        <v>3.0</v>
      </c>
      <c r="N10" s="71">
        <v>2.0</v>
      </c>
      <c r="O10" s="43"/>
    </row>
    <row r="11">
      <c r="A11" s="43"/>
      <c r="B11" s="68" t="s">
        <v>118</v>
      </c>
      <c r="C11" s="69">
        <v>1.0</v>
      </c>
      <c r="D11" s="70">
        <v>1.0</v>
      </c>
      <c r="E11" s="70">
        <v>2.0</v>
      </c>
      <c r="F11" s="70">
        <v>3.0</v>
      </c>
      <c r="G11" s="70">
        <v>3.0</v>
      </c>
      <c r="H11" s="70">
        <v>1.0</v>
      </c>
      <c r="I11" s="70">
        <v>1.0</v>
      </c>
      <c r="J11" s="70">
        <v>1.0</v>
      </c>
      <c r="K11" s="70">
        <v>2.0</v>
      </c>
      <c r="L11" s="70">
        <v>3.0</v>
      </c>
      <c r="M11" s="70">
        <v>2.0</v>
      </c>
      <c r="N11" s="71">
        <v>2.0</v>
      </c>
      <c r="O11" s="43"/>
    </row>
    <row r="12">
      <c r="A12" s="43"/>
      <c r="B12" s="68" t="s">
        <v>119</v>
      </c>
      <c r="C12" s="69">
        <v>1.0</v>
      </c>
      <c r="D12" s="70">
        <v>1.0</v>
      </c>
      <c r="E12" s="70">
        <v>2.0</v>
      </c>
      <c r="F12" s="70">
        <v>2.0</v>
      </c>
      <c r="G12" s="70">
        <v>3.0</v>
      </c>
      <c r="H12" s="70">
        <v>3.0</v>
      </c>
      <c r="I12" s="70">
        <v>3.0</v>
      </c>
      <c r="J12" s="70">
        <v>3.0</v>
      </c>
      <c r="K12" s="70">
        <v>3.0</v>
      </c>
      <c r="L12" s="70">
        <v>2.0</v>
      </c>
      <c r="M12" s="70">
        <v>2.0</v>
      </c>
      <c r="N12" s="71">
        <v>1.0</v>
      </c>
      <c r="O12" s="43"/>
    </row>
    <row r="13">
      <c r="A13" s="43"/>
      <c r="B13" s="72" t="s">
        <v>120</v>
      </c>
      <c r="C13" s="73">
        <f t="shared" ref="C13:N13" si="1">AVERAGE(C6:C12)</f>
        <v>2</v>
      </c>
      <c r="D13" s="74">
        <f t="shared" si="1"/>
        <v>1.142857143</v>
      </c>
      <c r="E13" s="74">
        <f t="shared" si="1"/>
        <v>2.428571429</v>
      </c>
      <c r="F13" s="74">
        <f t="shared" si="1"/>
        <v>2.714285714</v>
      </c>
      <c r="G13" s="74">
        <f t="shared" si="1"/>
        <v>3</v>
      </c>
      <c r="H13" s="74">
        <f t="shared" si="1"/>
        <v>2</v>
      </c>
      <c r="I13" s="74">
        <f t="shared" si="1"/>
        <v>2.142857143</v>
      </c>
      <c r="J13" s="74">
        <f t="shared" si="1"/>
        <v>2.285714286</v>
      </c>
      <c r="K13" s="74">
        <f t="shared" si="1"/>
        <v>2.571428571</v>
      </c>
      <c r="L13" s="74">
        <f t="shared" si="1"/>
        <v>2.571428571</v>
      </c>
      <c r="M13" s="74">
        <f t="shared" si="1"/>
        <v>2</v>
      </c>
      <c r="N13" s="75">
        <f t="shared" si="1"/>
        <v>1.571428571</v>
      </c>
      <c r="O13" s="43"/>
    </row>
    <row r="14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</row>
    <row r="15">
      <c r="A15" s="43"/>
      <c r="B15" s="76" t="s">
        <v>121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</row>
    <row r="16">
      <c r="A16" s="43"/>
      <c r="B16" s="76" t="s">
        <v>122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>
      <c r="A17" s="43"/>
      <c r="B17" s="76" t="s">
        <v>123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</row>
    <row r="18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</row>
    <row r="19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</row>
    <row r="20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</row>
    <row r="21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</row>
    <row r="22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</row>
    <row r="2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</row>
    <row r="24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</row>
    <row r="2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</row>
    <row r="26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</row>
    <row r="27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  <row r="28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</row>
    <row r="29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</row>
    <row r="3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</row>
    <row r="32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</row>
    <row r="3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</row>
    <row r="34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</row>
    <row r="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</row>
    <row r="36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</row>
    <row r="37">
      <c r="A37" s="43"/>
      <c r="B37" s="77" t="s">
        <v>124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7"/>
      <c r="O37" s="43"/>
    </row>
    <row r="38">
      <c r="A38" s="43"/>
      <c r="B38" s="78" t="s">
        <v>125</v>
      </c>
      <c r="C38" s="79">
        <v>31.0</v>
      </c>
      <c r="D38" s="79">
        <v>31.0</v>
      </c>
      <c r="E38" s="79">
        <v>30.0</v>
      </c>
      <c r="F38" s="79">
        <v>31.0</v>
      </c>
      <c r="G38" s="79">
        <v>30.0</v>
      </c>
      <c r="H38" s="79">
        <v>31.0</v>
      </c>
      <c r="I38" s="79">
        <v>31.0</v>
      </c>
      <c r="J38" s="79">
        <v>28.0</v>
      </c>
      <c r="K38" s="79">
        <v>31.0</v>
      </c>
      <c r="L38" s="79">
        <v>30.0</v>
      </c>
      <c r="M38" s="80">
        <v>31.0</v>
      </c>
      <c r="N38" s="81">
        <v>30.0</v>
      </c>
      <c r="O38" s="43"/>
    </row>
    <row r="39">
      <c r="A39" s="43"/>
      <c r="B39" s="78" t="s">
        <v>126</v>
      </c>
      <c r="C39" s="79">
        <v>9.0</v>
      </c>
      <c r="D39" s="79">
        <v>10.0</v>
      </c>
      <c r="E39" s="79">
        <v>8.0</v>
      </c>
      <c r="F39" s="79">
        <v>9.0</v>
      </c>
      <c r="G39" s="79">
        <v>9.0</v>
      </c>
      <c r="H39" s="79">
        <v>8.0</v>
      </c>
      <c r="I39" s="79">
        <v>9.0</v>
      </c>
      <c r="J39" s="79">
        <v>8.0</v>
      </c>
      <c r="K39" s="79">
        <v>9.0</v>
      </c>
      <c r="L39" s="79">
        <v>8.0</v>
      </c>
      <c r="M39" s="79">
        <v>10.0</v>
      </c>
      <c r="N39" s="81">
        <v>8.0</v>
      </c>
      <c r="O39" s="43"/>
    </row>
    <row r="40">
      <c r="A40" s="43"/>
      <c r="B40" s="82" t="s">
        <v>127</v>
      </c>
      <c r="C40" s="79">
        <v>1.0</v>
      </c>
      <c r="D40" s="79">
        <v>1.0</v>
      </c>
      <c r="E40" s="79">
        <v>0.0</v>
      </c>
      <c r="F40" s="79">
        <v>1.0</v>
      </c>
      <c r="G40" s="79">
        <v>1.0</v>
      </c>
      <c r="H40" s="79">
        <v>2.0</v>
      </c>
      <c r="I40" s="79">
        <v>1.0</v>
      </c>
      <c r="J40" s="79">
        <v>2.0</v>
      </c>
      <c r="K40" s="79">
        <v>1.0</v>
      </c>
      <c r="L40" s="79">
        <v>2.0</v>
      </c>
      <c r="M40" s="79">
        <v>2.0</v>
      </c>
      <c r="N40" s="81">
        <v>2.0</v>
      </c>
      <c r="O40" s="43"/>
    </row>
    <row r="41">
      <c r="A41" s="43"/>
      <c r="B41" s="82" t="s">
        <v>128</v>
      </c>
      <c r="C41" s="79">
        <v>1.0</v>
      </c>
      <c r="D41" s="79">
        <v>0.0</v>
      </c>
      <c r="E41" s="79">
        <v>0.0</v>
      </c>
      <c r="F41" s="79">
        <v>0.0</v>
      </c>
      <c r="G41" s="79">
        <v>0.0</v>
      </c>
      <c r="H41" s="79">
        <v>1.0</v>
      </c>
      <c r="I41" s="79">
        <v>0.0</v>
      </c>
      <c r="J41" s="79">
        <v>0.0</v>
      </c>
      <c r="K41" s="79">
        <v>1.0</v>
      </c>
      <c r="L41" s="79">
        <v>0.0</v>
      </c>
      <c r="M41" s="79">
        <v>0.0</v>
      </c>
      <c r="N41" s="81">
        <v>0.0</v>
      </c>
      <c r="O41" s="43"/>
    </row>
    <row r="42">
      <c r="A42" s="43"/>
      <c r="B42" s="83" t="s">
        <v>129</v>
      </c>
      <c r="C42" s="79">
        <v>4.0</v>
      </c>
      <c r="D42" s="79">
        <v>4.0</v>
      </c>
      <c r="E42" s="79">
        <v>5.0</v>
      </c>
      <c r="F42" s="79">
        <v>6.0</v>
      </c>
      <c r="G42" s="79">
        <v>7.0</v>
      </c>
      <c r="H42" s="79">
        <v>5.0</v>
      </c>
      <c r="I42" s="79">
        <v>4.0</v>
      </c>
      <c r="J42" s="79">
        <v>4.0</v>
      </c>
      <c r="K42" s="79">
        <v>7.0</v>
      </c>
      <c r="L42" s="79">
        <v>6.0</v>
      </c>
      <c r="M42" s="79">
        <v>5.0</v>
      </c>
      <c r="N42" s="81">
        <v>3.0</v>
      </c>
      <c r="O42" s="43"/>
    </row>
    <row r="43">
      <c r="A43" s="43"/>
      <c r="B43" s="84" t="s">
        <v>130</v>
      </c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6"/>
      <c r="O43" s="43"/>
    </row>
    <row r="44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</row>
    <row r="45" ht="37.5" customHeight="1">
      <c r="A45" s="43"/>
      <c r="B45" s="87" t="s">
        <v>131</v>
      </c>
      <c r="C45" s="17"/>
      <c r="D45" s="17"/>
      <c r="E45" s="17"/>
      <c r="F45" s="7"/>
      <c r="G45" s="88" t="s">
        <v>132</v>
      </c>
      <c r="H45" s="17"/>
      <c r="I45" s="17"/>
      <c r="J45" s="17"/>
      <c r="K45" s="7"/>
      <c r="L45" s="43"/>
      <c r="M45" s="43"/>
      <c r="N45" s="43"/>
      <c r="O45" s="43"/>
    </row>
    <row r="46" ht="37.5" customHeight="1">
      <c r="A46" s="43"/>
      <c r="B46" s="89" t="s">
        <v>133</v>
      </c>
      <c r="C46" s="17"/>
      <c r="D46" s="17"/>
      <c r="E46" s="17"/>
      <c r="F46" s="7"/>
      <c r="G46" s="90" t="s">
        <v>134</v>
      </c>
      <c r="H46" s="17"/>
      <c r="I46" s="17"/>
      <c r="J46" s="17"/>
      <c r="K46" s="7"/>
      <c r="L46" s="43"/>
      <c r="M46" s="43"/>
      <c r="N46" s="43"/>
      <c r="O46" s="43"/>
    </row>
    <row r="47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</row>
  </sheetData>
  <mergeCells count="7">
    <mergeCell ref="B2:N2"/>
    <mergeCell ref="B4:N4"/>
    <mergeCell ref="B37:N37"/>
    <mergeCell ref="B45:F45"/>
    <mergeCell ref="G45:K45"/>
    <mergeCell ref="B46:F46"/>
    <mergeCell ref="G46:K46"/>
  </mergeCells>
  <printOptions/>
  <pageMargins bottom="0.75" footer="0.0" header="0.0" left="0.7" right="0.7" top="0.75"/>
  <pageSetup orientation="landscape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DB5F8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0.38"/>
    <col customWidth="1" min="2" max="2" width="18.38"/>
    <col customWidth="1" min="3" max="3" width="13.38"/>
    <col customWidth="1" min="4" max="5" width="10.63"/>
    <col customWidth="1" min="6" max="6" width="14.0"/>
    <col customWidth="1" min="7" max="7" width="11.25"/>
    <col customWidth="1" min="8" max="8" width="10.63"/>
    <col customWidth="1" min="9" max="9" width="12.25"/>
    <col customWidth="1" min="10" max="10" width="11.38"/>
    <col customWidth="1" min="11" max="11" width="10.38"/>
    <col customWidth="1" min="13" max="13" width="14.25"/>
    <col customWidth="1" min="14" max="14" width="12.38"/>
    <col customWidth="1" min="15" max="15" width="0.38"/>
  </cols>
  <sheetData>
    <row r="1" ht="3.0" customHeight="1">
      <c r="A1" s="91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>
      <c r="A2" s="91"/>
      <c r="B2" s="93" t="s">
        <v>135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  <c r="N2" s="94"/>
      <c r="O2" s="94"/>
    </row>
    <row r="3">
      <c r="A3" s="91"/>
      <c r="B3" s="95" t="s">
        <v>136</v>
      </c>
      <c r="C3" s="96" t="s">
        <v>137</v>
      </c>
      <c r="D3" s="97"/>
      <c r="E3" s="97"/>
      <c r="F3" s="98"/>
      <c r="G3" s="96" t="s">
        <v>138</v>
      </c>
      <c r="H3" s="97"/>
      <c r="I3" s="98"/>
      <c r="J3" s="96" t="s">
        <v>139</v>
      </c>
      <c r="K3" s="97"/>
      <c r="L3" s="98"/>
      <c r="M3" s="99" t="s">
        <v>140</v>
      </c>
      <c r="N3" s="100" t="s">
        <v>4</v>
      </c>
    </row>
    <row r="4">
      <c r="A4" s="91"/>
      <c r="B4" s="101"/>
      <c r="C4" s="102" t="s">
        <v>141</v>
      </c>
      <c r="D4" s="103" t="s">
        <v>142</v>
      </c>
      <c r="E4" s="104" t="s">
        <v>143</v>
      </c>
      <c r="F4" s="105" t="s">
        <v>144</v>
      </c>
      <c r="G4" s="106" t="s">
        <v>145</v>
      </c>
      <c r="H4" s="107" t="s">
        <v>146</v>
      </c>
      <c r="I4" s="108" t="s">
        <v>144</v>
      </c>
      <c r="J4" s="106" t="s">
        <v>145</v>
      </c>
      <c r="K4" s="107" t="s">
        <v>146</v>
      </c>
      <c r="L4" s="108" t="s">
        <v>144</v>
      </c>
      <c r="M4" s="109"/>
      <c r="N4" s="110"/>
    </row>
    <row r="5">
      <c r="A5" s="111"/>
      <c r="B5" s="112" t="s">
        <v>147</v>
      </c>
      <c r="C5" s="113">
        <v>13.0</v>
      </c>
      <c r="D5" s="114">
        <f t="shared" ref="D5:D16" si="1">C5*E5</f>
        <v>39</v>
      </c>
      <c r="E5" s="114">
        <v>3.0</v>
      </c>
      <c r="F5" s="115">
        <f>(5*E5*D21)+((D5-5*E5)*D20)</f>
        <v>6345000</v>
      </c>
      <c r="G5" s="113">
        <v>2.0</v>
      </c>
      <c r="H5" s="116">
        <f>D22</f>
        <v>3150000</v>
      </c>
      <c r="I5" s="117">
        <f t="shared" ref="I5:I16" si="2">G5*H5</f>
        <v>6300000</v>
      </c>
      <c r="J5" s="113">
        <v>0.0</v>
      </c>
      <c r="K5" s="116">
        <f>D23</f>
        <v>3465000</v>
      </c>
      <c r="L5" s="117">
        <f t="shared" ref="L5:L16" si="3">K5*J5</f>
        <v>0</v>
      </c>
      <c r="M5" s="118">
        <f t="shared" ref="M5:M16" si="4">F5+I5+L5</f>
        <v>12645000</v>
      </c>
    </row>
    <row r="6">
      <c r="A6" s="91"/>
      <c r="B6" s="112" t="s">
        <v>148</v>
      </c>
      <c r="C6" s="113">
        <v>13.0</v>
      </c>
      <c r="D6" s="114">
        <f t="shared" si="1"/>
        <v>39</v>
      </c>
      <c r="E6" s="114">
        <v>3.0</v>
      </c>
      <c r="F6" s="119">
        <f>(5*E6*E21)+((D6-5*E6)*E20)</f>
        <v>5640000</v>
      </c>
      <c r="G6" s="113">
        <v>2.0</v>
      </c>
      <c r="H6" s="116">
        <v>2880000.0</v>
      </c>
      <c r="I6" s="117">
        <f t="shared" si="2"/>
        <v>5760000</v>
      </c>
      <c r="J6" s="113">
        <v>0.0</v>
      </c>
      <c r="K6" s="116">
        <v>3168000.0</v>
      </c>
      <c r="L6" s="117">
        <f t="shared" si="3"/>
        <v>0</v>
      </c>
      <c r="M6" s="120">
        <f t="shared" si="4"/>
        <v>11400000</v>
      </c>
    </row>
    <row r="7">
      <c r="A7" s="121"/>
      <c r="B7" s="112" t="s">
        <v>149</v>
      </c>
      <c r="C7" s="113">
        <v>14.0</v>
      </c>
      <c r="D7" s="114">
        <f t="shared" si="1"/>
        <v>42</v>
      </c>
      <c r="E7" s="114">
        <v>3.0</v>
      </c>
      <c r="F7" s="119">
        <f>(5*E7*D21)+((D7-5*E7)*D20)</f>
        <v>6817500</v>
      </c>
      <c r="G7" s="113">
        <v>2.0</v>
      </c>
      <c r="H7" s="116">
        <v>2880000.0</v>
      </c>
      <c r="I7" s="117">
        <f t="shared" si="2"/>
        <v>5760000</v>
      </c>
      <c r="J7" s="113">
        <v>1.0</v>
      </c>
      <c r="K7" s="116">
        <v>3168000.0</v>
      </c>
      <c r="L7" s="117">
        <f t="shared" si="3"/>
        <v>3168000</v>
      </c>
      <c r="M7" s="120">
        <f t="shared" si="4"/>
        <v>15745500</v>
      </c>
    </row>
    <row r="8">
      <c r="A8" s="111"/>
      <c r="B8" s="112" t="s">
        <v>150</v>
      </c>
      <c r="C8" s="113">
        <v>15.0</v>
      </c>
      <c r="D8" s="114">
        <f t="shared" si="1"/>
        <v>60</v>
      </c>
      <c r="E8" s="114">
        <v>4.0</v>
      </c>
      <c r="F8" s="119">
        <f>(20*F21)+(40*F20)</f>
        <v>11340000</v>
      </c>
      <c r="G8" s="113">
        <v>3.0</v>
      </c>
      <c r="H8" s="116">
        <f>F22</f>
        <v>3307500</v>
      </c>
      <c r="I8" s="117">
        <f t="shared" si="2"/>
        <v>9922500</v>
      </c>
      <c r="J8" s="113">
        <v>1.0</v>
      </c>
      <c r="K8" s="116">
        <f>F23</f>
        <v>3638250</v>
      </c>
      <c r="L8" s="117">
        <f t="shared" si="3"/>
        <v>3638250</v>
      </c>
      <c r="M8" s="120">
        <f t="shared" si="4"/>
        <v>24900750</v>
      </c>
    </row>
    <row r="9">
      <c r="A9" s="91"/>
      <c r="B9" s="112" t="s">
        <v>151</v>
      </c>
      <c r="C9" s="113">
        <v>15.0</v>
      </c>
      <c r="D9" s="114">
        <f t="shared" si="1"/>
        <v>60</v>
      </c>
      <c r="E9" s="114">
        <v>4.0</v>
      </c>
      <c r="F9" s="119">
        <f>(20*F21)+(40*F20)</f>
        <v>11340000</v>
      </c>
      <c r="G9" s="113">
        <v>3.0</v>
      </c>
      <c r="H9" s="116">
        <f>F22</f>
        <v>3307500</v>
      </c>
      <c r="I9" s="117">
        <f t="shared" si="2"/>
        <v>9922500</v>
      </c>
      <c r="J9" s="113">
        <v>1.0</v>
      </c>
      <c r="K9" s="116">
        <f>F23</f>
        <v>3638250</v>
      </c>
      <c r="L9" s="117">
        <f t="shared" si="3"/>
        <v>3638250</v>
      </c>
      <c r="M9" s="120">
        <f t="shared" si="4"/>
        <v>24900750</v>
      </c>
    </row>
    <row r="10">
      <c r="A10" s="121"/>
      <c r="B10" s="112" t="s">
        <v>152</v>
      </c>
      <c r="C10" s="113">
        <v>15.0</v>
      </c>
      <c r="D10" s="114">
        <f t="shared" si="1"/>
        <v>75</v>
      </c>
      <c r="E10" s="114">
        <v>5.0</v>
      </c>
      <c r="F10" s="119">
        <f>(25*G21)+(50*G20)</f>
        <v>12757500</v>
      </c>
      <c r="G10" s="113">
        <v>1.0</v>
      </c>
      <c r="H10" s="116">
        <f>G22</f>
        <v>3307500</v>
      </c>
      <c r="I10" s="117">
        <f t="shared" si="2"/>
        <v>3307500</v>
      </c>
      <c r="J10" s="113">
        <v>1.0</v>
      </c>
      <c r="K10" s="116">
        <f>G23</f>
        <v>3638250</v>
      </c>
      <c r="L10" s="117">
        <f t="shared" si="3"/>
        <v>3638250</v>
      </c>
      <c r="M10" s="120">
        <f t="shared" si="4"/>
        <v>19703250</v>
      </c>
    </row>
    <row r="11">
      <c r="A11" s="111"/>
      <c r="B11" s="112" t="s">
        <v>153</v>
      </c>
      <c r="C11" s="113">
        <v>14.0</v>
      </c>
      <c r="D11" s="114">
        <f t="shared" si="1"/>
        <v>56</v>
      </c>
      <c r="E11" s="114">
        <v>4.0</v>
      </c>
      <c r="F11" s="119">
        <f>(20*J21)+(36*J20)</f>
        <v>10021725</v>
      </c>
      <c r="G11" s="113">
        <v>2.0</v>
      </c>
      <c r="H11" s="116">
        <f>J22</f>
        <v>3472875</v>
      </c>
      <c r="I11" s="117">
        <f t="shared" si="2"/>
        <v>6945750</v>
      </c>
      <c r="J11" s="113">
        <v>1.0</v>
      </c>
      <c r="K11" s="116">
        <f>J23</f>
        <v>3820162.5</v>
      </c>
      <c r="L11" s="117">
        <f t="shared" si="3"/>
        <v>3820162.5</v>
      </c>
      <c r="M11" s="120">
        <f t="shared" si="4"/>
        <v>20787637.5</v>
      </c>
    </row>
    <row r="12">
      <c r="A12" s="111"/>
      <c r="B12" s="112" t="s">
        <v>154</v>
      </c>
      <c r="C12" s="113">
        <v>15.0</v>
      </c>
      <c r="D12" s="114">
        <f t="shared" si="1"/>
        <v>75</v>
      </c>
      <c r="E12" s="114">
        <v>5.0</v>
      </c>
      <c r="F12" s="119">
        <f>(25*J21)+(50*J20)</f>
        <v>13395375</v>
      </c>
      <c r="G12" s="113">
        <v>1.0</v>
      </c>
      <c r="H12" s="116">
        <f>J22</f>
        <v>3472875</v>
      </c>
      <c r="I12" s="117">
        <f t="shared" si="2"/>
        <v>3472875</v>
      </c>
      <c r="J12" s="113">
        <v>1.0</v>
      </c>
      <c r="K12" s="116">
        <f>J23</f>
        <v>3820162.5</v>
      </c>
      <c r="L12" s="117">
        <f t="shared" si="3"/>
        <v>3820162.5</v>
      </c>
      <c r="M12" s="120">
        <f t="shared" si="4"/>
        <v>20688412.5</v>
      </c>
    </row>
    <row r="13">
      <c r="A13" s="121"/>
      <c r="B13" s="112" t="s">
        <v>155</v>
      </c>
      <c r="C13" s="113">
        <v>16.0</v>
      </c>
      <c r="D13" s="114">
        <f t="shared" si="1"/>
        <v>80</v>
      </c>
      <c r="E13" s="114">
        <v>5.0</v>
      </c>
      <c r="F13" s="119">
        <f>(25*I21)+(55*I20)</f>
        <v>15848437.5</v>
      </c>
      <c r="G13" s="113">
        <v>2.0</v>
      </c>
      <c r="H13" s="116">
        <f>I22</f>
        <v>3472875</v>
      </c>
      <c r="I13" s="117">
        <f t="shared" si="2"/>
        <v>6945750</v>
      </c>
      <c r="J13" s="113">
        <v>2.0</v>
      </c>
      <c r="K13" s="116">
        <f>I23</f>
        <v>3820162.5</v>
      </c>
      <c r="L13" s="117">
        <f t="shared" si="3"/>
        <v>7640325</v>
      </c>
      <c r="M13" s="120">
        <f t="shared" si="4"/>
        <v>30434512.5</v>
      </c>
    </row>
    <row r="14">
      <c r="A14" s="111"/>
      <c r="B14" s="112" t="s">
        <v>156</v>
      </c>
      <c r="C14" s="113">
        <v>16.0</v>
      </c>
      <c r="D14" s="114">
        <f t="shared" si="1"/>
        <v>80</v>
      </c>
      <c r="E14" s="114">
        <v>5.0</v>
      </c>
      <c r="F14" s="119">
        <f>(25*L21)+(55*L20)</f>
        <v>16799343.75</v>
      </c>
      <c r="G14" s="113">
        <v>2.0</v>
      </c>
      <c r="H14" s="116">
        <f>L22</f>
        <v>3681247.5</v>
      </c>
      <c r="I14" s="117">
        <f t="shared" si="2"/>
        <v>7362495</v>
      </c>
      <c r="J14" s="113">
        <v>1.0</v>
      </c>
      <c r="K14" s="116">
        <f>L23</f>
        <v>4049372.25</v>
      </c>
      <c r="L14" s="117">
        <f t="shared" si="3"/>
        <v>4049372.25</v>
      </c>
      <c r="M14" s="120">
        <f t="shared" si="4"/>
        <v>28211211</v>
      </c>
    </row>
    <row r="15">
      <c r="A15" s="91"/>
      <c r="B15" s="112" t="s">
        <v>157</v>
      </c>
      <c r="C15" s="113">
        <v>14.0</v>
      </c>
      <c r="D15" s="114">
        <f t="shared" si="1"/>
        <v>84</v>
      </c>
      <c r="E15" s="114">
        <v>6.0</v>
      </c>
      <c r="F15" s="119">
        <f>(30*M21)+(54*M20)</f>
        <v>15934542.75</v>
      </c>
      <c r="G15" s="113">
        <v>1.0</v>
      </c>
      <c r="H15" s="116">
        <f>M22</f>
        <v>3646518.75</v>
      </c>
      <c r="I15" s="117">
        <f t="shared" si="2"/>
        <v>3646518.75</v>
      </c>
      <c r="J15" s="113">
        <v>1.0</v>
      </c>
      <c r="K15" s="116">
        <f>M23</f>
        <v>4011170.625</v>
      </c>
      <c r="L15" s="117">
        <f t="shared" si="3"/>
        <v>4011170.625</v>
      </c>
      <c r="M15" s="120">
        <f t="shared" si="4"/>
        <v>23592232.13</v>
      </c>
    </row>
    <row r="16">
      <c r="A16" s="111"/>
      <c r="B16" s="122" t="s">
        <v>158</v>
      </c>
      <c r="C16" s="123">
        <v>13.0</v>
      </c>
      <c r="D16" s="124">
        <f t="shared" si="1"/>
        <v>65</v>
      </c>
      <c r="E16" s="124">
        <v>5.0</v>
      </c>
      <c r="F16" s="125">
        <f>(25*N21)+(40*N20)</f>
        <v>10985310</v>
      </c>
      <c r="G16" s="123">
        <v>1.0</v>
      </c>
      <c r="H16" s="126">
        <f>N22</f>
        <v>3646518.75</v>
      </c>
      <c r="I16" s="127">
        <f t="shared" si="2"/>
        <v>3646518.75</v>
      </c>
      <c r="J16" s="123">
        <v>2.0</v>
      </c>
      <c r="K16" s="126">
        <f>N23</f>
        <v>4011170.625</v>
      </c>
      <c r="L16" s="127">
        <f t="shared" si="3"/>
        <v>8022341.25</v>
      </c>
      <c r="M16" s="128">
        <f t="shared" si="4"/>
        <v>22654170</v>
      </c>
    </row>
    <row r="17">
      <c r="A17" s="91"/>
      <c r="B17" s="129"/>
      <c r="C17" s="129"/>
      <c r="D17" s="129"/>
      <c r="E17" s="129"/>
      <c r="F17" s="91"/>
      <c r="G17" s="91"/>
      <c r="H17" s="91"/>
      <c r="I17" s="91"/>
      <c r="J17" s="91"/>
      <c r="K17" s="91"/>
      <c r="L17" s="91"/>
      <c r="M17" s="91"/>
      <c r="N17" s="91"/>
      <c r="O17" s="130"/>
    </row>
    <row r="18">
      <c r="A18" s="131"/>
      <c r="B18" s="132" t="s">
        <v>159</v>
      </c>
      <c r="C18" s="133" t="s">
        <v>160</v>
      </c>
      <c r="D18" s="134"/>
      <c r="E18" s="135"/>
      <c r="F18" s="136" t="s">
        <v>161</v>
      </c>
      <c r="G18" s="17"/>
      <c r="H18" s="7"/>
      <c r="I18" s="136" t="s">
        <v>162</v>
      </c>
      <c r="J18" s="17"/>
      <c r="K18" s="7"/>
      <c r="L18" s="136" t="s">
        <v>163</v>
      </c>
      <c r="M18" s="17"/>
      <c r="N18" s="7"/>
      <c r="O18" s="137"/>
    </row>
    <row r="19">
      <c r="A19" s="131"/>
      <c r="B19" s="138"/>
      <c r="C19" s="139" t="s">
        <v>164</v>
      </c>
      <c r="D19" s="139" t="s">
        <v>165</v>
      </c>
      <c r="E19" s="139" t="s">
        <v>166</v>
      </c>
      <c r="F19" s="140" t="s">
        <v>164</v>
      </c>
      <c r="G19" s="140" t="s">
        <v>165</v>
      </c>
      <c r="H19" s="140" t="s">
        <v>166</v>
      </c>
      <c r="I19" s="140" t="s">
        <v>164</v>
      </c>
      <c r="J19" s="141" t="s">
        <v>165</v>
      </c>
      <c r="K19" s="141" t="s">
        <v>166</v>
      </c>
      <c r="L19" s="142" t="s">
        <v>164</v>
      </c>
      <c r="M19" s="140" t="s">
        <v>165</v>
      </c>
      <c r="N19" s="140" t="s">
        <v>166</v>
      </c>
      <c r="O19" s="137"/>
    </row>
    <row r="20">
      <c r="A20" s="131"/>
      <c r="B20" s="143" t="s">
        <v>167</v>
      </c>
      <c r="C20" s="144">
        <v>175000.0</v>
      </c>
      <c r="D20" s="144">
        <f t="shared" ref="D20:D21" si="5">C20*0.9</f>
        <v>157500</v>
      </c>
      <c r="E20" s="145">
        <f t="shared" ref="E20:E21" si="6">C20*0.8</f>
        <v>140000</v>
      </c>
      <c r="F20" s="146">
        <f t="shared" ref="F20:F22" si="7">C20*1.05</f>
        <v>183750</v>
      </c>
      <c r="G20" s="146">
        <f t="shared" ref="G20:G21" si="8">F20*0.9</f>
        <v>165375</v>
      </c>
      <c r="H20" s="146">
        <f t="shared" ref="H20:H21" si="9">F20*0.8</f>
        <v>147000</v>
      </c>
      <c r="I20" s="147">
        <f t="shared" ref="I20:I21" si="10">F20*1.05</f>
        <v>192937.5</v>
      </c>
      <c r="J20" s="147">
        <f t="shared" ref="J20:J21" si="11">I20*0.9</f>
        <v>173643.75</v>
      </c>
      <c r="K20" s="147">
        <f t="shared" ref="K20:K21" si="12">I20*0.8</f>
        <v>154350</v>
      </c>
      <c r="L20" s="147">
        <f t="shared" ref="L20:L22" si="13">I20*1.06</f>
        <v>204513.75</v>
      </c>
      <c r="M20" s="147">
        <f t="shared" ref="M20:M21" si="14">L20*0.9</f>
        <v>184062.375</v>
      </c>
      <c r="N20" s="147">
        <f t="shared" ref="N20:N21" si="15">L20*0.8</f>
        <v>163611</v>
      </c>
      <c r="O20" s="91"/>
    </row>
    <row r="21">
      <c r="A21" s="131"/>
      <c r="B21" s="143" t="s">
        <v>168</v>
      </c>
      <c r="C21" s="144">
        <v>190000.0</v>
      </c>
      <c r="D21" s="144">
        <f t="shared" si="5"/>
        <v>171000</v>
      </c>
      <c r="E21" s="145">
        <f t="shared" si="6"/>
        <v>152000</v>
      </c>
      <c r="F21" s="146">
        <f t="shared" si="7"/>
        <v>199500</v>
      </c>
      <c r="G21" s="146">
        <f t="shared" si="8"/>
        <v>179550</v>
      </c>
      <c r="H21" s="146">
        <f t="shared" si="9"/>
        <v>159600</v>
      </c>
      <c r="I21" s="147">
        <f t="shared" si="10"/>
        <v>209475</v>
      </c>
      <c r="J21" s="147">
        <f t="shared" si="11"/>
        <v>188527.5</v>
      </c>
      <c r="K21" s="147">
        <f t="shared" si="12"/>
        <v>167580</v>
      </c>
      <c r="L21" s="147">
        <f t="shared" si="13"/>
        <v>222043.5</v>
      </c>
      <c r="M21" s="147">
        <f t="shared" si="14"/>
        <v>199839.15</v>
      </c>
      <c r="N21" s="147">
        <f t="shared" si="15"/>
        <v>177634.8</v>
      </c>
      <c r="O21" s="91"/>
    </row>
    <row r="22">
      <c r="A22" s="131"/>
      <c r="B22" s="143" t="s">
        <v>138</v>
      </c>
      <c r="C22" s="144">
        <f>C20*18</f>
        <v>3150000</v>
      </c>
      <c r="D22" s="144">
        <f>C22</f>
        <v>3150000</v>
      </c>
      <c r="E22" s="145">
        <f t="shared" ref="E22:E23" si="19">C22</f>
        <v>3150000</v>
      </c>
      <c r="F22" s="146">
        <f t="shared" si="7"/>
        <v>3307500</v>
      </c>
      <c r="G22" s="146">
        <f t="shared" ref="G22:K22" si="16">D22*1.05</f>
        <v>3307500</v>
      </c>
      <c r="H22" s="146">
        <f t="shared" si="16"/>
        <v>3307500</v>
      </c>
      <c r="I22" s="147">
        <f t="shared" si="16"/>
        <v>3472875</v>
      </c>
      <c r="J22" s="147">
        <f t="shared" si="16"/>
        <v>3472875</v>
      </c>
      <c r="K22" s="147">
        <f t="shared" si="16"/>
        <v>3472875</v>
      </c>
      <c r="L22" s="147">
        <f t="shared" si="13"/>
        <v>3681247.5</v>
      </c>
      <c r="M22" s="147">
        <f t="shared" ref="M22:N22" si="17">J22*1.05</f>
        <v>3646518.75</v>
      </c>
      <c r="N22" s="147">
        <f t="shared" si="17"/>
        <v>3646518.75</v>
      </c>
      <c r="O22" s="91"/>
    </row>
    <row r="23">
      <c r="A23" s="131"/>
      <c r="B23" s="143" t="s">
        <v>139</v>
      </c>
      <c r="C23" s="144">
        <f t="shared" ref="C23:D23" si="18">C22*1.1</f>
        <v>3465000</v>
      </c>
      <c r="D23" s="144">
        <f t="shared" si="18"/>
        <v>3465000</v>
      </c>
      <c r="E23" s="144">
        <f t="shared" si="19"/>
        <v>3465000</v>
      </c>
      <c r="F23" s="147">
        <f t="shared" ref="F23:N23" si="20">F22*1.1</f>
        <v>3638250</v>
      </c>
      <c r="G23" s="147">
        <f t="shared" si="20"/>
        <v>3638250</v>
      </c>
      <c r="H23" s="147">
        <f t="shared" si="20"/>
        <v>3638250</v>
      </c>
      <c r="I23" s="147">
        <f t="shared" si="20"/>
        <v>3820162.5</v>
      </c>
      <c r="J23" s="147">
        <f t="shared" si="20"/>
        <v>3820162.5</v>
      </c>
      <c r="K23" s="147">
        <f t="shared" si="20"/>
        <v>3820162.5</v>
      </c>
      <c r="L23" s="147">
        <f t="shared" si="20"/>
        <v>4049372.25</v>
      </c>
      <c r="M23" s="147">
        <f t="shared" si="20"/>
        <v>4011170.625</v>
      </c>
      <c r="N23" s="147">
        <f t="shared" si="20"/>
        <v>4011170.625</v>
      </c>
      <c r="O23" s="91"/>
    </row>
    <row r="24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</row>
    <row r="25">
      <c r="A25" s="91"/>
      <c r="B25" s="148" t="s">
        <v>169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1"/>
      <c r="N25" s="92"/>
      <c r="O25" s="92"/>
    </row>
    <row r="26">
      <c r="A26" s="91"/>
      <c r="B26" s="95" t="s">
        <v>136</v>
      </c>
      <c r="C26" s="149" t="s">
        <v>137</v>
      </c>
      <c r="D26" s="150"/>
      <c r="E26" s="150"/>
      <c r="F26" s="151"/>
      <c r="G26" s="152" t="s">
        <v>138</v>
      </c>
      <c r="H26" s="97"/>
      <c r="I26" s="97"/>
      <c r="J26" s="149" t="s">
        <v>139</v>
      </c>
      <c r="K26" s="150"/>
      <c r="L26" s="151"/>
      <c r="M26" s="153" t="s">
        <v>140</v>
      </c>
      <c r="N26" s="154" t="s">
        <v>4</v>
      </c>
    </row>
    <row r="27">
      <c r="A27" s="91"/>
      <c r="B27" s="101"/>
      <c r="C27" s="155" t="s">
        <v>141</v>
      </c>
      <c r="D27" s="103" t="s">
        <v>142</v>
      </c>
      <c r="E27" s="156" t="s">
        <v>143</v>
      </c>
      <c r="F27" s="157" t="s">
        <v>144</v>
      </c>
      <c r="G27" s="158" t="s">
        <v>145</v>
      </c>
      <c r="H27" s="107" t="s">
        <v>146</v>
      </c>
      <c r="I27" s="159" t="s">
        <v>144</v>
      </c>
      <c r="J27" s="155" t="s">
        <v>145</v>
      </c>
      <c r="K27" s="107" t="s">
        <v>146</v>
      </c>
      <c r="L27" s="157" t="s">
        <v>144</v>
      </c>
      <c r="M27" s="98"/>
      <c r="N27" s="160"/>
    </row>
    <row r="28">
      <c r="A28" s="111"/>
      <c r="B28" s="112" t="s">
        <v>147</v>
      </c>
      <c r="C28" s="161">
        <v>14.0</v>
      </c>
      <c r="D28" s="114">
        <f t="shared" ref="D28:D39" si="21">C28*E28</f>
        <v>70</v>
      </c>
      <c r="E28" s="4">
        <v>5.0</v>
      </c>
      <c r="F28" s="162">
        <f>(25*D44)+(45*D43)</f>
        <v>13942724.91</v>
      </c>
      <c r="G28" s="114">
        <v>3.0</v>
      </c>
      <c r="H28" s="163">
        <f>D45</f>
        <v>3828844.688</v>
      </c>
      <c r="I28" s="164">
        <f>G28*H28</f>
        <v>11486534.06</v>
      </c>
      <c r="J28" s="161">
        <v>1.0</v>
      </c>
      <c r="K28" s="163">
        <f>D46</f>
        <v>4211729.156</v>
      </c>
      <c r="L28" s="162">
        <f t="shared" ref="L28:L39" si="22">K28*J28</f>
        <v>4211729.156</v>
      </c>
      <c r="M28" s="165">
        <f t="shared" ref="M28:M39" si="23">F28+I28+L28</f>
        <v>29640988.13</v>
      </c>
    </row>
    <row r="29">
      <c r="A29" s="111"/>
      <c r="B29" s="112" t="s">
        <v>148</v>
      </c>
      <c r="C29" s="161">
        <v>15.0</v>
      </c>
      <c r="D29" s="114">
        <f t="shared" si="21"/>
        <v>60</v>
      </c>
      <c r="E29" s="4">
        <v>4.0</v>
      </c>
      <c r="F29" s="162">
        <f>(20*E44)+(40*E43)</f>
        <v>10601992.8</v>
      </c>
      <c r="G29" s="114">
        <v>2.0</v>
      </c>
      <c r="H29" s="163">
        <f>E45</f>
        <v>3828844.688</v>
      </c>
      <c r="I29" s="164">
        <f t="shared" ref="I29:I39" si="24">H29*G29</f>
        <v>7657689.375</v>
      </c>
      <c r="J29" s="161">
        <v>2.0</v>
      </c>
      <c r="K29" s="163">
        <f>D46</f>
        <v>4211729.156</v>
      </c>
      <c r="L29" s="162">
        <f t="shared" si="22"/>
        <v>8423458.313</v>
      </c>
      <c r="M29" s="165">
        <f t="shared" si="23"/>
        <v>26683140.49</v>
      </c>
    </row>
    <row r="30">
      <c r="A30" s="111"/>
      <c r="B30" s="112" t="s">
        <v>149</v>
      </c>
      <c r="C30" s="161">
        <v>15.0</v>
      </c>
      <c r="D30" s="114">
        <f t="shared" si="21"/>
        <v>60</v>
      </c>
      <c r="E30" s="4">
        <v>4.0</v>
      </c>
      <c r="F30" s="162">
        <f>(20*D44)+(40*D43)</f>
        <v>11927241.9</v>
      </c>
      <c r="G30" s="114">
        <v>4.0</v>
      </c>
      <c r="H30" s="163">
        <f>D45</f>
        <v>3828844.688</v>
      </c>
      <c r="I30" s="164">
        <f t="shared" si="24"/>
        <v>15315378.75</v>
      </c>
      <c r="J30" s="161">
        <v>1.0</v>
      </c>
      <c r="K30" s="163">
        <f>D46</f>
        <v>4211729.156</v>
      </c>
      <c r="L30" s="162">
        <f t="shared" si="22"/>
        <v>4211729.156</v>
      </c>
      <c r="M30" s="165">
        <f t="shared" si="23"/>
        <v>31454349.81</v>
      </c>
    </row>
    <row r="31">
      <c r="A31" s="111"/>
      <c r="B31" s="112" t="s">
        <v>150</v>
      </c>
      <c r="C31" s="161">
        <v>16.0</v>
      </c>
      <c r="D31" s="114">
        <f t="shared" si="21"/>
        <v>80</v>
      </c>
      <c r="E31" s="4">
        <v>5.0</v>
      </c>
      <c r="F31" s="162">
        <f>(25*F44)+(55*F43)</f>
        <v>18521276.48</v>
      </c>
      <c r="G31" s="114">
        <v>4.0</v>
      </c>
      <c r="H31" s="163">
        <f>F45</f>
        <v>4058575.369</v>
      </c>
      <c r="I31" s="164">
        <f t="shared" si="24"/>
        <v>16234301.48</v>
      </c>
      <c r="J31" s="161">
        <v>3.0</v>
      </c>
      <c r="K31" s="163">
        <f>F46</f>
        <v>4464432.906</v>
      </c>
      <c r="L31" s="162">
        <f t="shared" si="22"/>
        <v>13393298.72</v>
      </c>
      <c r="M31" s="165">
        <f t="shared" si="23"/>
        <v>48148876.68</v>
      </c>
    </row>
    <row r="32">
      <c r="A32" s="111"/>
      <c r="B32" s="112" t="s">
        <v>151</v>
      </c>
      <c r="C32" s="161">
        <v>17.0</v>
      </c>
      <c r="D32" s="114">
        <f t="shared" si="21"/>
        <v>68</v>
      </c>
      <c r="E32" s="4">
        <v>4.0</v>
      </c>
      <c r="F32" s="162">
        <f>(20*F44)+(48*F43)</f>
        <v>15718926.83</v>
      </c>
      <c r="G32" s="114">
        <v>3.0</v>
      </c>
      <c r="H32" s="163">
        <f>F45</f>
        <v>4058575.369</v>
      </c>
      <c r="I32" s="164">
        <f t="shared" si="24"/>
        <v>12175726.11</v>
      </c>
      <c r="J32" s="161">
        <v>2.0</v>
      </c>
      <c r="K32" s="163">
        <f>F46</f>
        <v>4464432.906</v>
      </c>
      <c r="L32" s="162">
        <f t="shared" si="22"/>
        <v>8928865.811</v>
      </c>
      <c r="M32" s="165">
        <f t="shared" si="23"/>
        <v>36823518.74</v>
      </c>
    </row>
    <row r="33">
      <c r="A33" s="111"/>
      <c r="B33" s="112" t="s">
        <v>152</v>
      </c>
      <c r="C33" s="161">
        <v>14.0</v>
      </c>
      <c r="D33" s="114">
        <f t="shared" si="21"/>
        <v>84</v>
      </c>
      <c r="E33" s="4">
        <v>6.0</v>
      </c>
      <c r="F33" s="162">
        <f>(30*G44)+(54*G43)</f>
        <v>17567833.38</v>
      </c>
      <c r="G33" s="114">
        <v>3.0</v>
      </c>
      <c r="H33" s="163">
        <f>G45</f>
        <v>4020286.922</v>
      </c>
      <c r="I33" s="164">
        <f t="shared" si="24"/>
        <v>12060860.77</v>
      </c>
      <c r="J33" s="161">
        <v>1.0</v>
      </c>
      <c r="K33" s="163">
        <f>G46</f>
        <v>4422315.614</v>
      </c>
      <c r="L33" s="162">
        <f t="shared" si="22"/>
        <v>4422315.614</v>
      </c>
      <c r="M33" s="165">
        <f t="shared" si="23"/>
        <v>34051009.76</v>
      </c>
    </row>
    <row r="34">
      <c r="A34" s="111"/>
      <c r="B34" s="112" t="s">
        <v>153</v>
      </c>
      <c r="C34" s="161">
        <v>14.0</v>
      </c>
      <c r="D34" s="114">
        <f t="shared" si="21"/>
        <v>70</v>
      </c>
      <c r="E34" s="4">
        <v>5.0</v>
      </c>
      <c r="F34" s="162">
        <f>(25*J44)+(45*J43)</f>
        <v>15371854.21</v>
      </c>
      <c r="G34" s="114">
        <v>4.0</v>
      </c>
      <c r="H34" s="163">
        <f>J45</f>
        <v>4221301.268</v>
      </c>
      <c r="I34" s="164">
        <f t="shared" si="24"/>
        <v>16885205.07</v>
      </c>
      <c r="J34" s="161">
        <v>1.0</v>
      </c>
      <c r="K34" s="163">
        <f>J46</f>
        <v>4643431.395</v>
      </c>
      <c r="L34" s="162">
        <f t="shared" si="22"/>
        <v>4643431.395</v>
      </c>
      <c r="M34" s="165">
        <f t="shared" si="23"/>
        <v>36900490.68</v>
      </c>
    </row>
    <row r="35">
      <c r="A35" s="111"/>
      <c r="B35" s="112" t="s">
        <v>154</v>
      </c>
      <c r="C35" s="161">
        <v>15.0</v>
      </c>
      <c r="D35" s="114">
        <f t="shared" si="21"/>
        <v>90</v>
      </c>
      <c r="E35" s="4">
        <v>6.0</v>
      </c>
      <c r="F35" s="162">
        <f>(30*J44)+(60*J43)</f>
        <v>19724676.29</v>
      </c>
      <c r="G35" s="114">
        <v>3.0</v>
      </c>
      <c r="H35" s="163">
        <f>J45</f>
        <v>4221301.268</v>
      </c>
      <c r="I35" s="164">
        <f t="shared" si="24"/>
        <v>12663903.8</v>
      </c>
      <c r="J35" s="161">
        <v>1.0</v>
      </c>
      <c r="K35" s="163">
        <f>J46</f>
        <v>4643431.395</v>
      </c>
      <c r="L35" s="162">
        <f t="shared" si="22"/>
        <v>4643431.395</v>
      </c>
      <c r="M35" s="165">
        <f t="shared" si="23"/>
        <v>37032011.49</v>
      </c>
    </row>
    <row r="36">
      <c r="A36" s="111"/>
      <c r="B36" s="112" t="s">
        <v>155</v>
      </c>
      <c r="C36" s="161">
        <v>17.0</v>
      </c>
      <c r="D36" s="114">
        <f t="shared" si="21"/>
        <v>85</v>
      </c>
      <c r="E36" s="4">
        <v>5.0</v>
      </c>
      <c r="F36" s="162">
        <f>(25*I44)+(60*I43)</f>
        <v>20631091.46</v>
      </c>
      <c r="G36" s="114">
        <v>4.0</v>
      </c>
      <c r="H36" s="163">
        <f>I45</f>
        <v>4261504.137</v>
      </c>
      <c r="I36" s="164">
        <f t="shared" si="24"/>
        <v>17046016.55</v>
      </c>
      <c r="J36" s="161">
        <v>2.0</v>
      </c>
      <c r="K36" s="163">
        <f>I46</f>
        <v>4687654.551</v>
      </c>
      <c r="L36" s="162">
        <f t="shared" si="22"/>
        <v>9375309.102</v>
      </c>
      <c r="M36" s="165">
        <f t="shared" si="23"/>
        <v>47052417.11</v>
      </c>
    </row>
    <row r="37">
      <c r="A37" s="111"/>
      <c r="B37" s="112" t="s">
        <v>156</v>
      </c>
      <c r="C37" s="161">
        <v>16.0</v>
      </c>
      <c r="D37" s="114">
        <f t="shared" si="21"/>
        <v>96</v>
      </c>
      <c r="E37" s="4">
        <v>6.0</v>
      </c>
      <c r="F37" s="162">
        <f>(30*L44)+(66*L43)</f>
        <v>24737016.87</v>
      </c>
      <c r="G37" s="114">
        <v>4.0</v>
      </c>
      <c r="H37" s="163">
        <f>L45</f>
        <v>4517194.385</v>
      </c>
      <c r="I37" s="164">
        <f t="shared" si="24"/>
        <v>18068777.54</v>
      </c>
      <c r="J37" s="161">
        <v>1.0</v>
      </c>
      <c r="K37" s="163">
        <f>L46</f>
        <v>4968913.824</v>
      </c>
      <c r="L37" s="162">
        <f t="shared" si="22"/>
        <v>4968913.824</v>
      </c>
      <c r="M37" s="165">
        <f t="shared" si="23"/>
        <v>47774708.24</v>
      </c>
    </row>
    <row r="38">
      <c r="A38" s="111"/>
      <c r="B38" s="112" t="s">
        <v>157</v>
      </c>
      <c r="C38" s="161">
        <v>14.0</v>
      </c>
      <c r="D38" s="114">
        <f t="shared" si="21"/>
        <v>84</v>
      </c>
      <c r="E38" s="4">
        <v>6.0</v>
      </c>
      <c r="F38" s="162">
        <f>(30*M44)+(54*M43)</f>
        <v>19552998.55</v>
      </c>
      <c r="G38" s="114">
        <v>3.0</v>
      </c>
      <c r="H38" s="163">
        <f>M45</f>
        <v>4432366.331</v>
      </c>
      <c r="I38" s="164">
        <f t="shared" si="24"/>
        <v>13297098.99</v>
      </c>
      <c r="J38" s="161">
        <v>2.0</v>
      </c>
      <c r="K38" s="163">
        <f>M46</f>
        <v>4875602.965</v>
      </c>
      <c r="L38" s="162">
        <f t="shared" si="22"/>
        <v>9751205.929</v>
      </c>
      <c r="M38" s="165">
        <f t="shared" si="23"/>
        <v>42601303.48</v>
      </c>
    </row>
    <row r="39">
      <c r="A39" s="111"/>
      <c r="B39" s="122" t="s">
        <v>158</v>
      </c>
      <c r="C39" s="166">
        <v>15.0</v>
      </c>
      <c r="D39" s="124">
        <f t="shared" si="21"/>
        <v>75</v>
      </c>
      <c r="E39" s="167">
        <v>5.0</v>
      </c>
      <c r="F39" s="168">
        <f>(25*N44)+(50*N43)</f>
        <v>15487523.61</v>
      </c>
      <c r="G39" s="124">
        <v>3.0</v>
      </c>
      <c r="H39" s="169">
        <f>N45</f>
        <v>4432366.331</v>
      </c>
      <c r="I39" s="170">
        <f t="shared" si="24"/>
        <v>13297098.99</v>
      </c>
      <c r="J39" s="166">
        <v>2.0</v>
      </c>
      <c r="K39" s="169">
        <f>N46</f>
        <v>4875602.965</v>
      </c>
      <c r="L39" s="168">
        <f t="shared" si="22"/>
        <v>9751205.929</v>
      </c>
      <c r="M39" s="165">
        <f t="shared" si="23"/>
        <v>38535828.53</v>
      </c>
    </row>
    <row r="40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130"/>
    </row>
    <row r="41">
      <c r="A41" s="91"/>
      <c r="B41" s="171" t="s">
        <v>159</v>
      </c>
      <c r="C41" s="172" t="s">
        <v>170</v>
      </c>
      <c r="D41" s="150"/>
      <c r="E41" s="151"/>
      <c r="F41" s="173" t="s">
        <v>171</v>
      </c>
      <c r="G41" s="150"/>
      <c r="H41" s="174"/>
      <c r="I41" s="175" t="s">
        <v>172</v>
      </c>
      <c r="J41" s="150"/>
      <c r="K41" s="151"/>
      <c r="L41" s="175" t="s">
        <v>173</v>
      </c>
      <c r="M41" s="150"/>
      <c r="N41" s="151"/>
      <c r="O41" s="91"/>
    </row>
    <row r="42">
      <c r="A42" s="91"/>
      <c r="B42" s="176"/>
      <c r="C42" s="177" t="s">
        <v>164</v>
      </c>
      <c r="D42" s="178" t="s">
        <v>165</v>
      </c>
      <c r="E42" s="179" t="s">
        <v>166</v>
      </c>
      <c r="F42" s="180" t="s">
        <v>164</v>
      </c>
      <c r="G42" s="181" t="s">
        <v>165</v>
      </c>
      <c r="H42" s="182" t="s">
        <v>166</v>
      </c>
      <c r="I42" s="183" t="s">
        <v>164</v>
      </c>
      <c r="J42" s="184" t="s">
        <v>165</v>
      </c>
      <c r="K42" s="185" t="s">
        <v>166</v>
      </c>
      <c r="L42" s="186" t="s">
        <v>164</v>
      </c>
      <c r="M42" s="181" t="s">
        <v>165</v>
      </c>
      <c r="N42" s="187" t="s">
        <v>166</v>
      </c>
      <c r="O42" s="91"/>
    </row>
    <row r="43">
      <c r="A43" s="91"/>
      <c r="B43" s="188" t="s">
        <v>167</v>
      </c>
      <c r="C43" s="189">
        <f t="shared" ref="C43:C45" si="25">L20*1.05</f>
        <v>214739.4375</v>
      </c>
      <c r="D43" s="190">
        <f t="shared" ref="D43:D44" si="26">C43*0.9</f>
        <v>193265.4938</v>
      </c>
      <c r="E43" s="191">
        <f t="shared" ref="E43:E44" si="27">C43*0.8</f>
        <v>171791.55</v>
      </c>
      <c r="F43" s="192">
        <f t="shared" ref="F43:F45" si="28">C43*1.05</f>
        <v>225476.4094</v>
      </c>
      <c r="G43" s="190">
        <f t="shared" ref="G43:G44" si="29">F43*0.9</f>
        <v>202928.7684</v>
      </c>
      <c r="H43" s="193">
        <f t="shared" ref="H43:H44" si="30">F43*0.8</f>
        <v>180381.1275</v>
      </c>
      <c r="I43" s="194">
        <f t="shared" ref="I43:I44" si="31">F43*1.05</f>
        <v>236750.2298</v>
      </c>
      <c r="J43" s="190">
        <f t="shared" ref="J43:J44" si="32">I43*0.9</f>
        <v>213075.2069</v>
      </c>
      <c r="K43" s="191">
        <f t="shared" ref="K43:K44" si="33">I43*0.8</f>
        <v>189400.1839</v>
      </c>
      <c r="L43" s="194">
        <f t="shared" ref="L43:L45" si="34">I43*1.06</f>
        <v>250955.2436</v>
      </c>
      <c r="M43" s="190">
        <f t="shared" ref="M43:M44" si="35">L43*0.9</f>
        <v>225859.7193</v>
      </c>
      <c r="N43" s="191">
        <f t="shared" ref="N43:N44" si="36">L43*0.8</f>
        <v>200764.1949</v>
      </c>
      <c r="O43" s="91"/>
    </row>
    <row r="44">
      <c r="A44" s="91"/>
      <c r="B44" s="195" t="s">
        <v>168</v>
      </c>
      <c r="C44" s="196">
        <f t="shared" si="25"/>
        <v>233145.675</v>
      </c>
      <c r="D44" s="197">
        <f t="shared" si="26"/>
        <v>209831.1075</v>
      </c>
      <c r="E44" s="198">
        <f t="shared" si="27"/>
        <v>186516.54</v>
      </c>
      <c r="F44" s="199">
        <f t="shared" si="28"/>
        <v>244802.9588</v>
      </c>
      <c r="G44" s="146">
        <f t="shared" si="29"/>
        <v>220322.6629</v>
      </c>
      <c r="H44" s="200">
        <f t="shared" si="30"/>
        <v>195842.367</v>
      </c>
      <c r="I44" s="201">
        <f t="shared" si="31"/>
        <v>257043.1067</v>
      </c>
      <c r="J44" s="147">
        <f t="shared" si="32"/>
        <v>231338.796</v>
      </c>
      <c r="K44" s="202">
        <f t="shared" si="33"/>
        <v>205634.4854</v>
      </c>
      <c r="L44" s="201">
        <f t="shared" si="34"/>
        <v>272465.6931</v>
      </c>
      <c r="M44" s="147">
        <f t="shared" si="35"/>
        <v>245219.1238</v>
      </c>
      <c r="N44" s="202">
        <f t="shared" si="36"/>
        <v>217972.5545</v>
      </c>
      <c r="O44" s="91"/>
    </row>
    <row r="45">
      <c r="A45" s="91"/>
      <c r="B45" s="195" t="s">
        <v>138</v>
      </c>
      <c r="C45" s="196">
        <f t="shared" si="25"/>
        <v>3865309.875</v>
      </c>
      <c r="D45" s="197">
        <f t="shared" ref="D45:E45" si="37">M22*1.05</f>
        <v>3828844.688</v>
      </c>
      <c r="E45" s="198">
        <f t="shared" si="37"/>
        <v>3828844.688</v>
      </c>
      <c r="F45" s="199">
        <f t="shared" si="28"/>
        <v>4058575.369</v>
      </c>
      <c r="G45" s="146">
        <f t="shared" ref="G45:K45" si="38">D45*1.05</f>
        <v>4020286.922</v>
      </c>
      <c r="H45" s="200">
        <f t="shared" si="38"/>
        <v>4020286.922</v>
      </c>
      <c r="I45" s="201">
        <f t="shared" si="38"/>
        <v>4261504.137</v>
      </c>
      <c r="J45" s="147">
        <f t="shared" si="38"/>
        <v>4221301.268</v>
      </c>
      <c r="K45" s="202">
        <f t="shared" si="38"/>
        <v>4221301.268</v>
      </c>
      <c r="L45" s="201">
        <f t="shared" si="34"/>
        <v>4517194.385</v>
      </c>
      <c r="M45" s="147">
        <f t="shared" ref="M45:N45" si="39">J45*1.05</f>
        <v>4432366.331</v>
      </c>
      <c r="N45" s="202">
        <f t="shared" si="39"/>
        <v>4432366.331</v>
      </c>
      <c r="O45" s="91"/>
    </row>
    <row r="46">
      <c r="A46" s="91"/>
      <c r="B46" s="203" t="s">
        <v>139</v>
      </c>
      <c r="C46" s="204">
        <f t="shared" ref="C46:N46" si="40">C45*1.1</f>
        <v>4251840.863</v>
      </c>
      <c r="D46" s="205">
        <f t="shared" si="40"/>
        <v>4211729.156</v>
      </c>
      <c r="E46" s="206">
        <f t="shared" si="40"/>
        <v>4211729.156</v>
      </c>
      <c r="F46" s="207">
        <f t="shared" si="40"/>
        <v>4464432.906</v>
      </c>
      <c r="G46" s="208">
        <f t="shared" si="40"/>
        <v>4422315.614</v>
      </c>
      <c r="H46" s="209">
        <f t="shared" si="40"/>
        <v>4422315.614</v>
      </c>
      <c r="I46" s="210">
        <f t="shared" si="40"/>
        <v>4687654.551</v>
      </c>
      <c r="J46" s="208">
        <f t="shared" si="40"/>
        <v>4643431.395</v>
      </c>
      <c r="K46" s="211">
        <f t="shared" si="40"/>
        <v>4643431.395</v>
      </c>
      <c r="L46" s="210">
        <f t="shared" si="40"/>
        <v>4968913.824</v>
      </c>
      <c r="M46" s="208">
        <f t="shared" si="40"/>
        <v>4875602.965</v>
      </c>
      <c r="N46" s="211">
        <f t="shared" si="40"/>
        <v>4875602.965</v>
      </c>
      <c r="O46" s="91"/>
    </row>
    <row r="47">
      <c r="A47" s="91"/>
      <c r="B47" s="91"/>
      <c r="C47" s="212"/>
      <c r="D47" s="212"/>
      <c r="E47" s="212"/>
      <c r="F47" s="91"/>
      <c r="G47" s="91"/>
      <c r="H47" s="121"/>
      <c r="I47" s="121"/>
      <c r="J47" s="121"/>
      <c r="K47" s="91"/>
      <c r="L47" s="91"/>
      <c r="M47" s="91"/>
      <c r="N47" s="91"/>
      <c r="O47" s="91"/>
    </row>
    <row r="48">
      <c r="A48" s="91"/>
      <c r="B48" s="148" t="s">
        <v>174</v>
      </c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1"/>
      <c r="N48" s="92"/>
      <c r="O48" s="92"/>
    </row>
    <row r="49">
      <c r="A49" s="91"/>
      <c r="B49" s="95" t="s">
        <v>136</v>
      </c>
      <c r="C49" s="149" t="s">
        <v>137</v>
      </c>
      <c r="D49" s="150"/>
      <c r="E49" s="150"/>
      <c r="F49" s="151"/>
      <c r="G49" s="152" t="s">
        <v>138</v>
      </c>
      <c r="H49" s="97"/>
      <c r="I49" s="213"/>
      <c r="J49" s="149" t="s">
        <v>139</v>
      </c>
      <c r="K49" s="150"/>
      <c r="L49" s="151"/>
      <c r="M49" s="153" t="s">
        <v>140</v>
      </c>
      <c r="N49" s="214" t="s">
        <v>4</v>
      </c>
    </row>
    <row r="50">
      <c r="A50" s="91"/>
      <c r="B50" s="101"/>
      <c r="C50" s="155" t="s">
        <v>141</v>
      </c>
      <c r="D50" s="103" t="s">
        <v>142</v>
      </c>
      <c r="E50" s="156" t="s">
        <v>143</v>
      </c>
      <c r="F50" s="157" t="s">
        <v>144</v>
      </c>
      <c r="G50" s="158" t="s">
        <v>145</v>
      </c>
      <c r="H50" s="107" t="s">
        <v>146</v>
      </c>
      <c r="I50" s="159" t="s">
        <v>144</v>
      </c>
      <c r="J50" s="155" t="s">
        <v>145</v>
      </c>
      <c r="K50" s="107" t="s">
        <v>146</v>
      </c>
      <c r="L50" s="157" t="s">
        <v>144</v>
      </c>
      <c r="M50" s="98"/>
      <c r="N50" s="160"/>
    </row>
    <row r="51">
      <c r="A51" s="111"/>
      <c r="B51" s="112" t="s">
        <v>147</v>
      </c>
      <c r="C51" s="161">
        <v>14.0</v>
      </c>
      <c r="D51" s="114">
        <f t="shared" ref="D51:D62" si="41">C51*E51</f>
        <v>84</v>
      </c>
      <c r="E51" s="4">
        <v>6.0</v>
      </c>
      <c r="F51" s="162">
        <f>(30*D67)+(54*D66)</f>
        <v>20530648.48</v>
      </c>
      <c r="G51" s="114">
        <v>4.0</v>
      </c>
      <c r="H51" s="163">
        <f>D68</f>
        <v>4653984.648</v>
      </c>
      <c r="I51" s="164">
        <f t="shared" ref="I51:I62" si="42">G51*H51</f>
        <v>18615938.59</v>
      </c>
      <c r="J51" s="161">
        <v>2.0</v>
      </c>
      <c r="K51" s="163">
        <f>D69</f>
        <v>5119383.113</v>
      </c>
      <c r="L51" s="162">
        <f t="shared" ref="L51:L62" si="43">J51*K51</f>
        <v>10238766.23</v>
      </c>
      <c r="M51" s="165">
        <f t="shared" ref="M51:M62" si="44">F51+I51+L51</f>
        <v>49385353.3</v>
      </c>
    </row>
    <row r="52">
      <c r="A52" s="111"/>
      <c r="B52" s="112" t="s">
        <v>148</v>
      </c>
      <c r="C52" s="161">
        <v>14.0</v>
      </c>
      <c r="D52" s="114">
        <f t="shared" si="41"/>
        <v>70</v>
      </c>
      <c r="E52" s="4">
        <v>5.0</v>
      </c>
      <c r="F52" s="162">
        <f>(25*E67)+(45*E66)</f>
        <v>15207887.76</v>
      </c>
      <c r="G52" s="114">
        <v>4.0</v>
      </c>
      <c r="H52" s="163">
        <f>E68</f>
        <v>4653984.648</v>
      </c>
      <c r="I52" s="164">
        <f t="shared" si="42"/>
        <v>18615938.59</v>
      </c>
      <c r="J52" s="161">
        <v>2.0</v>
      </c>
      <c r="K52" s="163">
        <f>E69</f>
        <v>5119383.113</v>
      </c>
      <c r="L52" s="162">
        <f t="shared" si="43"/>
        <v>10238766.23</v>
      </c>
      <c r="M52" s="165">
        <f t="shared" si="44"/>
        <v>44062592.58</v>
      </c>
    </row>
    <row r="53">
      <c r="A53" s="111"/>
      <c r="B53" s="112" t="s">
        <v>149</v>
      </c>
      <c r="C53" s="161">
        <v>14.0</v>
      </c>
      <c r="D53" s="114">
        <f t="shared" si="41"/>
        <v>70</v>
      </c>
      <c r="E53" s="4">
        <v>5.0</v>
      </c>
      <c r="F53" s="162">
        <f>(25*D67)+(45*D66)</f>
        <v>17108873.73</v>
      </c>
      <c r="G53" s="114">
        <v>4.0</v>
      </c>
      <c r="H53" s="163">
        <f>D68</f>
        <v>4653984.648</v>
      </c>
      <c r="I53" s="164">
        <f t="shared" si="42"/>
        <v>18615938.59</v>
      </c>
      <c r="J53" s="161">
        <v>3.0</v>
      </c>
      <c r="K53" s="163">
        <f>D69</f>
        <v>5119383.113</v>
      </c>
      <c r="L53" s="162">
        <f t="shared" si="43"/>
        <v>15358149.34</v>
      </c>
      <c r="M53" s="165">
        <f t="shared" si="44"/>
        <v>51082961.66</v>
      </c>
    </row>
    <row r="54">
      <c r="A54" s="111"/>
      <c r="B54" s="112" t="s">
        <v>150</v>
      </c>
      <c r="C54" s="161">
        <v>16.0</v>
      </c>
      <c r="D54" s="114">
        <f t="shared" si="41"/>
        <v>80</v>
      </c>
      <c r="E54" s="4">
        <v>5.0</v>
      </c>
      <c r="F54" s="162">
        <f>(25*F67)+(55*F66)</f>
        <v>22727134.25</v>
      </c>
      <c r="G54" s="114">
        <v>5.0</v>
      </c>
      <c r="H54" s="163">
        <f>F68</f>
        <v>4980206.81</v>
      </c>
      <c r="I54" s="164">
        <f t="shared" si="42"/>
        <v>24901034.05</v>
      </c>
      <c r="J54" s="161">
        <v>3.0</v>
      </c>
      <c r="K54" s="163">
        <f>F69</f>
        <v>5478227.491</v>
      </c>
      <c r="L54" s="162">
        <f t="shared" si="43"/>
        <v>16434682.47</v>
      </c>
      <c r="M54" s="165">
        <f t="shared" si="44"/>
        <v>64062850.77</v>
      </c>
    </row>
    <row r="55">
      <c r="A55" s="111"/>
      <c r="B55" s="112" t="s">
        <v>151</v>
      </c>
      <c r="C55" s="161">
        <v>17.0</v>
      </c>
      <c r="D55" s="114">
        <f t="shared" si="41"/>
        <v>85</v>
      </c>
      <c r="E55" s="4">
        <v>5.0</v>
      </c>
      <c r="F55" s="162">
        <f>(25*F67)+(60*F66)</f>
        <v>24110525.03</v>
      </c>
      <c r="G55" s="114">
        <v>5.0</v>
      </c>
      <c r="H55" s="163">
        <f>F68</f>
        <v>4980206.81</v>
      </c>
      <c r="I55" s="164">
        <f t="shared" si="42"/>
        <v>24901034.05</v>
      </c>
      <c r="J55" s="161">
        <v>2.0</v>
      </c>
      <c r="K55" s="163">
        <f>F69</f>
        <v>5478227.491</v>
      </c>
      <c r="L55" s="162">
        <f t="shared" si="43"/>
        <v>10956454.98</v>
      </c>
      <c r="M55" s="165">
        <f t="shared" si="44"/>
        <v>59968014.06</v>
      </c>
    </row>
    <row r="56">
      <c r="A56" s="111"/>
      <c r="B56" s="112" t="s">
        <v>152</v>
      </c>
      <c r="C56" s="161">
        <v>14.0</v>
      </c>
      <c r="D56" s="114">
        <f t="shared" si="41"/>
        <v>84</v>
      </c>
      <c r="E56" s="4">
        <v>6.0</v>
      </c>
      <c r="F56" s="162">
        <f>(30*G67)+(54*G66)</f>
        <v>21557180.91</v>
      </c>
      <c r="G56" s="114">
        <v>3.0</v>
      </c>
      <c r="H56" s="163">
        <f>G68</f>
        <v>4886683.88</v>
      </c>
      <c r="I56" s="164">
        <f t="shared" si="42"/>
        <v>14660051.64</v>
      </c>
      <c r="J56" s="161">
        <v>2.0</v>
      </c>
      <c r="K56" s="163">
        <f>G69</f>
        <v>5375352.268</v>
      </c>
      <c r="L56" s="162">
        <f t="shared" si="43"/>
        <v>10750704.54</v>
      </c>
      <c r="M56" s="165">
        <f t="shared" si="44"/>
        <v>46967937.08</v>
      </c>
    </row>
    <row r="57">
      <c r="A57" s="111"/>
      <c r="B57" s="112" t="s">
        <v>153</v>
      </c>
      <c r="C57" s="161">
        <v>14.0</v>
      </c>
      <c r="D57" s="114">
        <f t="shared" si="41"/>
        <v>70</v>
      </c>
      <c r="E57" s="4">
        <v>5.0</v>
      </c>
      <c r="F57" s="162">
        <f>(25*J67)+(45*J66)</f>
        <v>18862533.29</v>
      </c>
      <c r="G57" s="114">
        <v>2.0</v>
      </c>
      <c r="H57" s="163">
        <f>J68</f>
        <v>5131018.074</v>
      </c>
      <c r="I57" s="164">
        <f t="shared" si="42"/>
        <v>10262036.15</v>
      </c>
      <c r="J57" s="161">
        <v>3.0</v>
      </c>
      <c r="K57" s="163">
        <f>J69</f>
        <v>5644119.882</v>
      </c>
      <c r="L57" s="162">
        <f t="shared" si="43"/>
        <v>16932359.65</v>
      </c>
      <c r="M57" s="165">
        <f t="shared" si="44"/>
        <v>46056929.09</v>
      </c>
    </row>
    <row r="58">
      <c r="A58" s="111"/>
      <c r="B58" s="112" t="s">
        <v>154</v>
      </c>
      <c r="C58" s="161">
        <v>14.0</v>
      </c>
      <c r="D58" s="114">
        <f t="shared" si="41"/>
        <v>84</v>
      </c>
      <c r="E58" s="4">
        <v>6.0</v>
      </c>
      <c r="F58" s="162">
        <f>(30*J67)+(54*J66)</f>
        <v>22635039.95</v>
      </c>
      <c r="G58" s="114">
        <v>3.0</v>
      </c>
      <c r="H58" s="163">
        <f>J68</f>
        <v>5131018.074</v>
      </c>
      <c r="I58" s="164">
        <f t="shared" si="42"/>
        <v>15393054.22</v>
      </c>
      <c r="J58" s="161">
        <v>2.0</v>
      </c>
      <c r="K58" s="163">
        <f>J69</f>
        <v>5644119.882</v>
      </c>
      <c r="L58" s="162">
        <f t="shared" si="43"/>
        <v>11288239.76</v>
      </c>
      <c r="M58" s="165">
        <f t="shared" si="44"/>
        <v>49316333.94</v>
      </c>
    </row>
    <row r="59">
      <c r="A59" s="111"/>
      <c r="B59" s="112" t="s">
        <v>155</v>
      </c>
      <c r="C59" s="161">
        <v>17.0</v>
      </c>
      <c r="D59" s="114">
        <f t="shared" si="41"/>
        <v>102</v>
      </c>
      <c r="E59" s="4">
        <v>6.0</v>
      </c>
      <c r="F59" s="162">
        <f>(30*I67)+(72*I66)</f>
        <v>30379261.54</v>
      </c>
      <c r="G59" s="114">
        <v>4.0</v>
      </c>
      <c r="H59" s="163">
        <f>I68</f>
        <v>5229217.15</v>
      </c>
      <c r="I59" s="164">
        <f t="shared" si="42"/>
        <v>20916868.6</v>
      </c>
      <c r="J59" s="161">
        <v>3.0</v>
      </c>
      <c r="K59" s="163">
        <f>I69</f>
        <v>5752138.865</v>
      </c>
      <c r="L59" s="162">
        <f t="shared" si="43"/>
        <v>17256416.6</v>
      </c>
      <c r="M59" s="165">
        <f t="shared" si="44"/>
        <v>68552546.74</v>
      </c>
    </row>
    <row r="60">
      <c r="A60" s="111"/>
      <c r="B60" s="112" t="s">
        <v>156</v>
      </c>
      <c r="C60" s="161">
        <v>17.0</v>
      </c>
      <c r="D60" s="114">
        <f t="shared" si="41"/>
        <v>102</v>
      </c>
      <c r="E60" s="4">
        <v>6.0</v>
      </c>
      <c r="F60" s="162">
        <f>(30*L67)+(72*L66)</f>
        <v>32202017.23</v>
      </c>
      <c r="G60" s="114">
        <v>4.0</v>
      </c>
      <c r="H60" s="163">
        <f>L68</f>
        <v>5542970.179</v>
      </c>
      <c r="I60" s="164">
        <f t="shared" si="42"/>
        <v>22171880.72</v>
      </c>
      <c r="J60" s="161">
        <v>2.0</v>
      </c>
      <c r="K60" s="163">
        <f>L69</f>
        <v>6097267.197</v>
      </c>
      <c r="L60" s="162">
        <f t="shared" si="43"/>
        <v>12194534.39</v>
      </c>
      <c r="M60" s="165">
        <f t="shared" si="44"/>
        <v>66568432.35</v>
      </c>
    </row>
    <row r="61">
      <c r="A61" s="111"/>
      <c r="B61" s="112" t="s">
        <v>157</v>
      </c>
      <c r="C61" s="161">
        <v>14.0</v>
      </c>
      <c r="D61" s="114">
        <f t="shared" si="41"/>
        <v>84</v>
      </c>
      <c r="E61" s="4">
        <v>6.0</v>
      </c>
      <c r="F61" s="162">
        <f>(30*M67)+(54*M66)</f>
        <v>23993142.35</v>
      </c>
      <c r="G61" s="114">
        <v>4.0</v>
      </c>
      <c r="H61" s="163">
        <f>M68</f>
        <v>5387568.978</v>
      </c>
      <c r="I61" s="164">
        <f t="shared" si="42"/>
        <v>21550275.91</v>
      </c>
      <c r="J61" s="161">
        <v>2.0</v>
      </c>
      <c r="K61" s="163">
        <f>M69</f>
        <v>5926325.876</v>
      </c>
      <c r="L61" s="162">
        <f t="shared" si="43"/>
        <v>11852651.75</v>
      </c>
      <c r="M61" s="165">
        <f t="shared" si="44"/>
        <v>57396070.01</v>
      </c>
    </row>
    <row r="62">
      <c r="A62" s="111"/>
      <c r="B62" s="122" t="s">
        <v>158</v>
      </c>
      <c r="C62" s="166">
        <v>15.0</v>
      </c>
      <c r="D62" s="124">
        <f t="shared" si="41"/>
        <v>75</v>
      </c>
      <c r="E62" s="167">
        <v>5.0</v>
      </c>
      <c r="F62" s="168">
        <f>(25*N67)+(50*N66)</f>
        <v>19004469.19</v>
      </c>
      <c r="G62" s="124">
        <v>4.0</v>
      </c>
      <c r="H62" s="169">
        <f>N68</f>
        <v>5387568.978</v>
      </c>
      <c r="I62" s="170">
        <f t="shared" si="42"/>
        <v>21550275.91</v>
      </c>
      <c r="J62" s="166">
        <v>2.0</v>
      </c>
      <c r="K62" s="169">
        <f>N69</f>
        <v>5926325.876</v>
      </c>
      <c r="L62" s="168">
        <f t="shared" si="43"/>
        <v>11852651.75</v>
      </c>
      <c r="M62" s="165">
        <f t="shared" si="44"/>
        <v>52407396.85</v>
      </c>
    </row>
    <row r="63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130"/>
    </row>
    <row r="64">
      <c r="A64" s="91"/>
      <c r="B64" s="215" t="s">
        <v>159</v>
      </c>
      <c r="C64" s="216" t="s">
        <v>175</v>
      </c>
      <c r="D64" s="17"/>
      <c r="E64" s="7"/>
      <c r="F64" s="136" t="s">
        <v>176</v>
      </c>
      <c r="G64" s="17"/>
      <c r="H64" s="7"/>
      <c r="I64" s="136" t="s">
        <v>177</v>
      </c>
      <c r="J64" s="17"/>
      <c r="K64" s="7"/>
      <c r="L64" s="136" t="s">
        <v>178</v>
      </c>
      <c r="M64" s="17"/>
      <c r="N64" s="7"/>
      <c r="O64" s="91"/>
    </row>
    <row r="65">
      <c r="A65" s="91"/>
      <c r="B65" s="13"/>
      <c r="C65" s="217" t="s">
        <v>164</v>
      </c>
      <c r="D65" s="217" t="s">
        <v>165</v>
      </c>
      <c r="E65" s="217" t="s">
        <v>166</v>
      </c>
      <c r="F65" s="140" t="s">
        <v>164</v>
      </c>
      <c r="G65" s="140" t="s">
        <v>165</v>
      </c>
      <c r="H65" s="140" t="s">
        <v>166</v>
      </c>
      <c r="I65" s="140" t="s">
        <v>164</v>
      </c>
      <c r="J65" s="141" t="s">
        <v>165</v>
      </c>
      <c r="K65" s="141" t="s">
        <v>166</v>
      </c>
      <c r="L65" s="142" t="s">
        <v>164</v>
      </c>
      <c r="M65" s="140" t="s">
        <v>165</v>
      </c>
      <c r="N65" s="140" t="s">
        <v>166</v>
      </c>
      <c r="O65" s="91"/>
    </row>
    <row r="66">
      <c r="A66" s="131"/>
      <c r="B66" s="218" t="s">
        <v>167</v>
      </c>
      <c r="C66" s="197">
        <f t="shared" ref="C66:C68" si="45">L43*1.05</f>
        <v>263503.0058</v>
      </c>
      <c r="D66" s="197">
        <f t="shared" ref="D66:D67" si="46">C66*0.9</f>
        <v>237152.7052</v>
      </c>
      <c r="E66" s="197">
        <f t="shared" ref="E66:E67" si="47">C66*0.8</f>
        <v>210802.4047</v>
      </c>
      <c r="F66" s="146">
        <f t="shared" ref="F66:F68" si="48">C66*1.05</f>
        <v>276678.1561</v>
      </c>
      <c r="G66" s="146">
        <f t="shared" ref="G66:G67" si="49">F66*0.9</f>
        <v>249010.3405</v>
      </c>
      <c r="H66" s="146">
        <f t="shared" ref="H66:H67" si="50">F66*0.8</f>
        <v>221342.5249</v>
      </c>
      <c r="I66" s="147">
        <f t="shared" ref="I66:I67" si="51">F66*1.05</f>
        <v>290512.0639</v>
      </c>
      <c r="J66" s="147">
        <f t="shared" ref="J66:J67" si="52">I66*0.9</f>
        <v>261460.8575</v>
      </c>
      <c r="K66" s="147">
        <f t="shared" ref="K66:K67" si="53">I66*0.8</f>
        <v>232409.6511</v>
      </c>
      <c r="L66" s="147">
        <f t="shared" ref="L66:L68" si="54">I66*1.06</f>
        <v>307942.7877</v>
      </c>
      <c r="M66" s="147">
        <f t="shared" ref="M66:M67" si="55">L66*0.9</f>
        <v>277148.509</v>
      </c>
      <c r="N66" s="147">
        <f t="shared" ref="N66:N67" si="56">L66*0.8</f>
        <v>246354.2302</v>
      </c>
      <c r="O66" s="91"/>
    </row>
    <row r="67">
      <c r="A67" s="131"/>
      <c r="B67" s="218" t="s">
        <v>168</v>
      </c>
      <c r="C67" s="197">
        <f t="shared" si="45"/>
        <v>286088.9777</v>
      </c>
      <c r="D67" s="197">
        <f t="shared" si="46"/>
        <v>257480.08</v>
      </c>
      <c r="E67" s="197">
        <f t="shared" si="47"/>
        <v>228871.1822</v>
      </c>
      <c r="F67" s="146">
        <f t="shared" si="48"/>
        <v>300393.4266</v>
      </c>
      <c r="G67" s="146">
        <f t="shared" si="49"/>
        <v>270354.084</v>
      </c>
      <c r="H67" s="146">
        <f t="shared" si="50"/>
        <v>240314.7413</v>
      </c>
      <c r="I67" s="147">
        <f t="shared" si="51"/>
        <v>315413.098</v>
      </c>
      <c r="J67" s="147">
        <f t="shared" si="52"/>
        <v>283871.7882</v>
      </c>
      <c r="K67" s="147">
        <f t="shared" si="53"/>
        <v>252330.4784</v>
      </c>
      <c r="L67" s="147">
        <f t="shared" si="54"/>
        <v>334337.8838</v>
      </c>
      <c r="M67" s="147">
        <f t="shared" si="55"/>
        <v>300904.0955</v>
      </c>
      <c r="N67" s="147">
        <f t="shared" si="56"/>
        <v>267470.3071</v>
      </c>
      <c r="O67" s="91"/>
    </row>
    <row r="68">
      <c r="A68" s="91"/>
      <c r="B68" s="218" t="s">
        <v>138</v>
      </c>
      <c r="C68" s="197">
        <f t="shared" si="45"/>
        <v>4743054.105</v>
      </c>
      <c r="D68" s="197">
        <f t="shared" ref="D68:E68" si="57">M45*1.05</f>
        <v>4653984.648</v>
      </c>
      <c r="E68" s="197">
        <f t="shared" si="57"/>
        <v>4653984.648</v>
      </c>
      <c r="F68" s="146">
        <f t="shared" si="48"/>
        <v>4980206.81</v>
      </c>
      <c r="G68" s="146">
        <f t="shared" ref="G68:K68" si="58">D68*1.05</f>
        <v>4886683.88</v>
      </c>
      <c r="H68" s="146">
        <f t="shared" si="58"/>
        <v>4886683.88</v>
      </c>
      <c r="I68" s="147">
        <f t="shared" si="58"/>
        <v>5229217.15</v>
      </c>
      <c r="J68" s="147">
        <f t="shared" si="58"/>
        <v>5131018.074</v>
      </c>
      <c r="K68" s="147">
        <f t="shared" si="58"/>
        <v>5131018.074</v>
      </c>
      <c r="L68" s="147">
        <f t="shared" si="54"/>
        <v>5542970.179</v>
      </c>
      <c r="M68" s="147">
        <f t="shared" ref="M68:N68" si="59">J68*1.05</f>
        <v>5387568.978</v>
      </c>
      <c r="N68" s="147">
        <f t="shared" si="59"/>
        <v>5387568.978</v>
      </c>
      <c r="O68" s="91"/>
    </row>
    <row r="69">
      <c r="A69" s="91"/>
      <c r="B69" s="218" t="s">
        <v>139</v>
      </c>
      <c r="C69" s="219">
        <f t="shared" ref="C69:N69" si="60">C68*1.1</f>
        <v>5217359.515</v>
      </c>
      <c r="D69" s="219">
        <f t="shared" si="60"/>
        <v>5119383.113</v>
      </c>
      <c r="E69" s="219">
        <f t="shared" si="60"/>
        <v>5119383.113</v>
      </c>
      <c r="F69" s="147">
        <f t="shared" si="60"/>
        <v>5478227.491</v>
      </c>
      <c r="G69" s="147">
        <f t="shared" si="60"/>
        <v>5375352.268</v>
      </c>
      <c r="H69" s="147">
        <f t="shared" si="60"/>
        <v>5375352.268</v>
      </c>
      <c r="I69" s="147">
        <f t="shared" si="60"/>
        <v>5752138.865</v>
      </c>
      <c r="J69" s="147">
        <f t="shared" si="60"/>
        <v>5644119.882</v>
      </c>
      <c r="K69" s="147">
        <f t="shared" si="60"/>
        <v>5644119.882</v>
      </c>
      <c r="L69" s="147">
        <f t="shared" si="60"/>
        <v>6097267.197</v>
      </c>
      <c r="M69" s="147">
        <f t="shared" si="60"/>
        <v>5926325.876</v>
      </c>
      <c r="N69" s="147">
        <f t="shared" si="60"/>
        <v>5926325.876</v>
      </c>
      <c r="O69" s="91"/>
    </row>
    <row r="70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</row>
  </sheetData>
  <mergeCells count="36">
    <mergeCell ref="B2:M2"/>
    <mergeCell ref="B3:B4"/>
    <mergeCell ref="C3:F3"/>
    <mergeCell ref="G3:I3"/>
    <mergeCell ref="J3:L3"/>
    <mergeCell ref="M3:M4"/>
    <mergeCell ref="N3:N4"/>
    <mergeCell ref="J26:L26"/>
    <mergeCell ref="M26:M27"/>
    <mergeCell ref="B18:B19"/>
    <mergeCell ref="C18:E18"/>
    <mergeCell ref="F18:H18"/>
    <mergeCell ref="I18:K18"/>
    <mergeCell ref="L18:N18"/>
    <mergeCell ref="B25:M25"/>
    <mergeCell ref="B26:B27"/>
    <mergeCell ref="N26:N27"/>
    <mergeCell ref="B41:B42"/>
    <mergeCell ref="B49:B50"/>
    <mergeCell ref="B64:B65"/>
    <mergeCell ref="C64:E64"/>
    <mergeCell ref="F64:H64"/>
    <mergeCell ref="I64:K64"/>
    <mergeCell ref="L64:N64"/>
    <mergeCell ref="C49:F49"/>
    <mergeCell ref="G49:I49"/>
    <mergeCell ref="J49:L49"/>
    <mergeCell ref="M49:M50"/>
    <mergeCell ref="N49:N50"/>
    <mergeCell ref="C26:F26"/>
    <mergeCell ref="G26:I26"/>
    <mergeCell ref="C41:E41"/>
    <mergeCell ref="F41:H41"/>
    <mergeCell ref="I41:K41"/>
    <mergeCell ref="L41:N41"/>
    <mergeCell ref="B48:M48"/>
  </mergeCells>
  <printOptions/>
  <pageMargins bottom="0.75" footer="0.0" header="0.0" left="0.25" right="0.25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77E3E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6.75"/>
    <col customWidth="1" min="2" max="4" width="25.38"/>
    <col customWidth="1" min="5" max="5" width="8.5"/>
    <col customWidth="1" min="6" max="8" width="25.38"/>
  </cols>
  <sheetData>
    <row r="1" ht="13.5" customHeight="1">
      <c r="A1" s="1"/>
      <c r="B1" s="220"/>
      <c r="C1" s="220"/>
      <c r="D1" s="220"/>
      <c r="E1" s="22"/>
      <c r="F1" s="22"/>
      <c r="G1" s="1"/>
      <c r="H1" s="1"/>
    </row>
    <row r="2" ht="32.25" customHeight="1">
      <c r="A2" s="1"/>
      <c r="B2" s="221" t="s">
        <v>179</v>
      </c>
      <c r="C2" s="17"/>
      <c r="D2" s="7"/>
      <c r="E2" s="222" t="s">
        <v>180</v>
      </c>
      <c r="F2" s="7"/>
      <c r="G2" s="1"/>
      <c r="H2" s="1"/>
    </row>
    <row r="3" ht="32.25" customHeight="1">
      <c r="A3" s="1"/>
      <c r="B3" s="221" t="s">
        <v>181</v>
      </c>
      <c r="C3" s="17"/>
      <c r="D3" s="7"/>
      <c r="E3" s="223" t="s">
        <v>182</v>
      </c>
      <c r="F3" s="7"/>
      <c r="G3" s="22"/>
      <c r="H3" s="1"/>
    </row>
    <row r="4" ht="68.25" customHeight="1">
      <c r="A4" s="1"/>
      <c r="B4" s="224" t="s">
        <v>183</v>
      </c>
      <c r="C4" s="7"/>
      <c r="D4" s="225" t="s">
        <v>184</v>
      </c>
      <c r="E4" s="1"/>
      <c r="F4" s="1"/>
      <c r="G4" s="1"/>
      <c r="H4" s="1"/>
    </row>
    <row r="5" ht="56.25" customHeight="1">
      <c r="A5" s="1"/>
      <c r="B5" s="226" t="s">
        <v>185</v>
      </c>
      <c r="C5" s="227" t="s">
        <v>186</v>
      </c>
      <c r="D5" s="1"/>
      <c r="E5" s="1"/>
      <c r="F5" s="1"/>
      <c r="G5" s="1"/>
      <c r="H5" s="1"/>
    </row>
    <row r="6" ht="25.5" customHeight="1">
      <c r="A6" s="1"/>
      <c r="B6" s="228" t="s">
        <v>187</v>
      </c>
      <c r="C6" s="229">
        <v>1800000.0</v>
      </c>
      <c r="D6" s="230" t="s">
        <v>188</v>
      </c>
      <c r="E6" s="1"/>
      <c r="F6" s="1"/>
      <c r="G6" s="1"/>
      <c r="H6" s="1"/>
    </row>
    <row r="7" ht="25.5" customHeight="1">
      <c r="A7" s="1"/>
      <c r="B7" s="228" t="s">
        <v>189</v>
      </c>
      <c r="C7" s="229">
        <v>1800000.0</v>
      </c>
      <c r="D7" s="11"/>
      <c r="E7" s="1"/>
      <c r="F7" s="1"/>
      <c r="G7" s="1"/>
      <c r="H7" s="1"/>
    </row>
    <row r="8" ht="32.25" customHeight="1">
      <c r="A8" s="1"/>
      <c r="B8" s="228" t="s">
        <v>190</v>
      </c>
      <c r="C8" s="229">
        <v>1800000.0</v>
      </c>
      <c r="D8" s="13"/>
      <c r="E8" s="1"/>
      <c r="F8" s="1"/>
      <c r="G8" s="1"/>
      <c r="H8" s="1"/>
    </row>
    <row r="9" ht="25.5" customHeight="1">
      <c r="A9" s="1"/>
      <c r="B9" s="231" t="s">
        <v>191</v>
      </c>
      <c r="C9" s="232">
        <f>SUM(C6:C8)</f>
        <v>5400000</v>
      </c>
      <c r="D9" s="233" t="s">
        <v>192</v>
      </c>
      <c r="E9" s="1"/>
      <c r="F9" s="1"/>
      <c r="G9" s="1"/>
      <c r="H9" s="1"/>
    </row>
    <row r="10" ht="29.25" customHeight="1">
      <c r="A10" s="1"/>
      <c r="B10" s="231" t="s">
        <v>193</v>
      </c>
      <c r="C10" s="232">
        <f>C9/12</f>
        <v>450000</v>
      </c>
      <c r="D10" s="11"/>
      <c r="E10" s="1"/>
      <c r="F10" s="1"/>
      <c r="G10" s="1"/>
      <c r="H10" s="1"/>
    </row>
    <row r="11" ht="29.25" customHeight="1">
      <c r="A11" s="1"/>
      <c r="B11" s="234" t="s">
        <v>194</v>
      </c>
      <c r="C11" s="235">
        <f>C9+C10</f>
        <v>5850000</v>
      </c>
      <c r="D11" s="13"/>
      <c r="E11" s="1"/>
      <c r="F11" s="1"/>
      <c r="G11" s="1"/>
      <c r="H11" s="1"/>
    </row>
    <row r="12" ht="29.25" customHeight="1">
      <c r="A12" s="1"/>
      <c r="B12" s="1"/>
      <c r="C12" s="1"/>
      <c r="D12" s="1"/>
      <c r="E12" s="1"/>
      <c r="F12" s="1"/>
      <c r="G12" s="1"/>
      <c r="H12" s="1"/>
    </row>
    <row r="13" ht="25.5" customHeight="1">
      <c r="A13" s="1"/>
      <c r="B13" s="1"/>
      <c r="C13" s="1"/>
      <c r="D13" s="1"/>
      <c r="E13" s="1"/>
      <c r="F13" s="1"/>
      <c r="G13" s="1"/>
      <c r="H13" s="1"/>
    </row>
    <row r="14" ht="26.25" customHeight="1">
      <c r="A14" s="1"/>
      <c r="B14" s="236" t="s">
        <v>195</v>
      </c>
      <c r="C14" s="237" t="s">
        <v>196</v>
      </c>
      <c r="D14" s="238"/>
      <c r="E14" s="1"/>
      <c r="F14" s="1"/>
      <c r="G14" s="1"/>
      <c r="H14" s="1"/>
    </row>
    <row r="15" ht="33.75" customHeight="1">
      <c r="A15" s="1"/>
      <c r="B15" s="13"/>
      <c r="C15" s="13"/>
      <c r="D15" s="238"/>
      <c r="E15" s="43"/>
      <c r="F15" s="1"/>
      <c r="G15" s="1"/>
      <c r="H15" s="1"/>
    </row>
    <row r="16" ht="33.75" customHeight="1">
      <c r="A16" s="1"/>
      <c r="B16" s="234" t="s">
        <v>197</v>
      </c>
      <c r="C16" s="239">
        <f>C11*0.16</f>
        <v>936000</v>
      </c>
      <c r="D16" s="233" t="s">
        <v>192</v>
      </c>
      <c r="E16" s="1"/>
      <c r="F16" s="1"/>
      <c r="G16" s="1"/>
      <c r="H16" s="1"/>
    </row>
    <row r="17" ht="33.0" customHeight="1">
      <c r="A17" s="1"/>
      <c r="B17" s="234" t="s">
        <v>198</v>
      </c>
      <c r="C17" s="239">
        <f>C11*0.02</f>
        <v>117000</v>
      </c>
      <c r="D17" s="11"/>
      <c r="E17" s="1"/>
      <c r="F17" s="1"/>
      <c r="G17" s="1"/>
      <c r="H17" s="1"/>
    </row>
    <row r="18" ht="50.25" customHeight="1">
      <c r="A18" s="1"/>
      <c r="B18" s="234" t="s">
        <v>199</v>
      </c>
      <c r="C18" s="239">
        <f>C11*0.06</f>
        <v>351000</v>
      </c>
      <c r="D18" s="11"/>
      <c r="E18" s="1"/>
      <c r="F18" s="1"/>
      <c r="G18" s="1"/>
      <c r="H18" s="1"/>
    </row>
    <row r="19" ht="50.25" customHeight="1">
      <c r="A19" s="1"/>
      <c r="B19" s="234" t="s">
        <v>200</v>
      </c>
      <c r="C19" s="239">
        <f>C11*0.015</f>
        <v>87750</v>
      </c>
      <c r="D19" s="11"/>
      <c r="E19" s="1"/>
      <c r="F19" s="1"/>
      <c r="G19" s="1"/>
      <c r="H19" s="1"/>
    </row>
    <row r="20" ht="50.25" customHeight="1">
      <c r="A20" s="1"/>
      <c r="B20" s="234" t="s">
        <v>201</v>
      </c>
      <c r="C20" s="239">
        <f>C11*0.0003</f>
        <v>1755</v>
      </c>
      <c r="D20" s="11"/>
      <c r="E20" s="1"/>
      <c r="F20" s="1"/>
      <c r="G20" s="240" t="s">
        <v>202</v>
      </c>
      <c r="H20" s="1"/>
    </row>
    <row r="21" ht="25.5" customHeight="1">
      <c r="A21" s="1"/>
      <c r="B21" s="234" t="s">
        <v>203</v>
      </c>
      <c r="C21" s="239">
        <f>C11*0.03</f>
        <v>175500</v>
      </c>
      <c r="D21" s="11"/>
      <c r="E21" s="1"/>
      <c r="F21" s="1"/>
      <c r="G21" s="1"/>
      <c r="H21" s="1"/>
    </row>
    <row r="22">
      <c r="A22" s="1"/>
      <c r="B22" s="241" t="s">
        <v>204</v>
      </c>
      <c r="C22" s="242">
        <f>SUM(C16:C21)</f>
        <v>1669005</v>
      </c>
      <c r="D22" s="13"/>
      <c r="E22" s="1"/>
      <c r="F22" s="1"/>
      <c r="G22" s="1"/>
      <c r="H22" s="1"/>
    </row>
    <row r="23" ht="34.5" customHeight="1">
      <c r="A23" s="1"/>
      <c r="B23" s="1"/>
      <c r="C23" s="1"/>
      <c r="D23" s="1"/>
      <c r="F23" s="1"/>
      <c r="G23" s="1"/>
      <c r="H23" s="1"/>
    </row>
  </sheetData>
  <mergeCells count="10">
    <mergeCell ref="B14:B15"/>
    <mergeCell ref="C14:C15"/>
    <mergeCell ref="D16:D22"/>
    <mergeCell ref="B2:D2"/>
    <mergeCell ref="E2:F2"/>
    <mergeCell ref="B3:D3"/>
    <mergeCell ref="E3:F3"/>
    <mergeCell ref="B4:C4"/>
    <mergeCell ref="D6:D8"/>
    <mergeCell ref="D9:D11"/>
  </mergeCells>
  <hyperlinks>
    <hyperlink r:id="rId2" ref="E3"/>
    <hyperlink r:id="rId3" location="1" ref="G20"/>
  </hyperlinks>
  <printOptions/>
  <pageMargins bottom="0.75" footer="0.0" header="0.0" left="0.7" right="0.7" top="0.75"/>
  <pageSetup orientation="landscape"/>
  <drawing r:id="rId4"/>
  <legacy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77E3E"/>
    <outlinePr summaryBelow="0" summaryRight="0"/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53.5"/>
    <col customWidth="1" min="2" max="14" width="16.13"/>
    <col customWidth="1" min="15" max="15" width="36.5"/>
    <col customWidth="1" min="16" max="16" width="14.0"/>
    <col customWidth="1" min="17" max="17" width="14.5"/>
    <col customWidth="1" min="18" max="18" width="14.25"/>
    <col customWidth="1" min="19" max="19" width="14.75"/>
    <col customWidth="1" min="20" max="20" width="14.88"/>
    <col customWidth="1" min="21" max="21" width="14.75"/>
    <col customWidth="1" min="22" max="24" width="15.25"/>
    <col customWidth="1" min="25" max="25" width="16.13"/>
    <col customWidth="1" min="26" max="26" width="15.88"/>
    <col customWidth="1" min="27" max="27" width="16.38"/>
    <col customWidth="1" min="28" max="28" width="36.5"/>
    <col customWidth="1" min="29" max="29" width="16.13"/>
    <col customWidth="1" min="30" max="32" width="16.75"/>
    <col customWidth="1" min="33" max="33" width="17.0"/>
    <col customWidth="1" min="34" max="34" width="17.13"/>
    <col customWidth="1" min="35" max="36" width="17.75"/>
    <col customWidth="1" min="37" max="37" width="17.63"/>
    <col customWidth="1" min="38" max="38" width="17.75"/>
    <col customWidth="1" min="39" max="39" width="18.75"/>
    <col customWidth="1" min="40" max="40" width="18.88"/>
    <col customWidth="1" min="41" max="41" width="14.0"/>
  </cols>
  <sheetData>
    <row r="1">
      <c r="A1" s="243" t="s">
        <v>205</v>
      </c>
      <c r="B1" s="244">
        <v>0.02</v>
      </c>
      <c r="C1" s="245"/>
      <c r="D1" s="246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7" t="s">
        <v>206</v>
      </c>
      <c r="P1" s="248">
        <v>0.02</v>
      </c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9" t="s">
        <v>207</v>
      </c>
      <c r="AC1" s="250">
        <v>0.02</v>
      </c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</row>
    <row r="2" ht="17.25" customHeight="1">
      <c r="A2" s="251"/>
      <c r="B2" s="252" t="s">
        <v>135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1"/>
      <c r="O2" s="253" t="s">
        <v>169</v>
      </c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7"/>
      <c r="AB2" s="254" t="s">
        <v>174</v>
      </c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1"/>
      <c r="AO2" s="245"/>
    </row>
    <row r="3" ht="18.0" customHeight="1">
      <c r="A3" s="255" t="s">
        <v>208</v>
      </c>
      <c r="B3" s="256" t="s">
        <v>209</v>
      </c>
      <c r="C3" s="257" t="s">
        <v>210</v>
      </c>
      <c r="D3" s="257" t="s">
        <v>211</v>
      </c>
      <c r="E3" s="257" t="s">
        <v>212</v>
      </c>
      <c r="F3" s="257" t="s">
        <v>213</v>
      </c>
      <c r="G3" s="257" t="s">
        <v>214</v>
      </c>
      <c r="H3" s="257" t="s">
        <v>215</v>
      </c>
      <c r="I3" s="257" t="s">
        <v>216</v>
      </c>
      <c r="J3" s="257" t="s">
        <v>217</v>
      </c>
      <c r="K3" s="257" t="s">
        <v>218</v>
      </c>
      <c r="L3" s="257" t="s">
        <v>219</v>
      </c>
      <c r="M3" s="257" t="s">
        <v>220</v>
      </c>
      <c r="N3" s="258" t="s">
        <v>221</v>
      </c>
      <c r="O3" s="259" t="s">
        <v>209</v>
      </c>
      <c r="P3" s="260" t="s">
        <v>210</v>
      </c>
      <c r="Q3" s="260" t="s">
        <v>211</v>
      </c>
      <c r="R3" s="260" t="s">
        <v>212</v>
      </c>
      <c r="S3" s="260" t="s">
        <v>213</v>
      </c>
      <c r="T3" s="260" t="s">
        <v>214</v>
      </c>
      <c r="U3" s="260" t="s">
        <v>215</v>
      </c>
      <c r="V3" s="260" t="s">
        <v>216</v>
      </c>
      <c r="W3" s="260" t="s">
        <v>217</v>
      </c>
      <c r="X3" s="260" t="s">
        <v>218</v>
      </c>
      <c r="Y3" s="260" t="s">
        <v>219</v>
      </c>
      <c r="Z3" s="260" t="s">
        <v>220</v>
      </c>
      <c r="AA3" s="261" t="s">
        <v>222</v>
      </c>
      <c r="AB3" s="262" t="s">
        <v>209</v>
      </c>
      <c r="AC3" s="262" t="s">
        <v>210</v>
      </c>
      <c r="AD3" s="262" t="s">
        <v>211</v>
      </c>
      <c r="AE3" s="262" t="s">
        <v>212</v>
      </c>
      <c r="AF3" s="262" t="s">
        <v>213</v>
      </c>
      <c r="AG3" s="262" t="s">
        <v>214</v>
      </c>
      <c r="AH3" s="262" t="s">
        <v>215</v>
      </c>
      <c r="AI3" s="262" t="s">
        <v>216</v>
      </c>
      <c r="AJ3" s="262" t="s">
        <v>217</v>
      </c>
      <c r="AK3" s="262" t="s">
        <v>218</v>
      </c>
      <c r="AL3" s="262" t="s">
        <v>219</v>
      </c>
      <c r="AM3" s="262" t="s">
        <v>220</v>
      </c>
      <c r="AN3" s="263" t="s">
        <v>223</v>
      </c>
      <c r="AO3" s="246"/>
    </row>
    <row r="4" ht="26.25" customHeight="1">
      <c r="A4" s="264" t="s">
        <v>224</v>
      </c>
      <c r="B4" s="265">
        <v>0.0</v>
      </c>
      <c r="C4" s="266">
        <f t="shared" ref="C4:M4" si="1">IF(B46&gt;0,B46,0)</f>
        <v>0</v>
      </c>
      <c r="D4" s="266">
        <f t="shared" si="1"/>
        <v>0</v>
      </c>
      <c r="E4" s="266">
        <f t="shared" si="1"/>
        <v>0</v>
      </c>
      <c r="F4" s="266">
        <f t="shared" si="1"/>
        <v>0</v>
      </c>
      <c r="G4" s="266">
        <f t="shared" si="1"/>
        <v>0</v>
      </c>
      <c r="H4" s="266">
        <f t="shared" si="1"/>
        <v>0</v>
      </c>
      <c r="I4" s="266">
        <f t="shared" si="1"/>
        <v>0</v>
      </c>
      <c r="J4" s="266">
        <f t="shared" si="1"/>
        <v>0</v>
      </c>
      <c r="K4" s="266">
        <f t="shared" si="1"/>
        <v>0</v>
      </c>
      <c r="L4" s="266">
        <f t="shared" si="1"/>
        <v>0</v>
      </c>
      <c r="M4" s="266">
        <f t="shared" si="1"/>
        <v>0</v>
      </c>
      <c r="N4" s="267"/>
      <c r="O4" s="266">
        <f>IF(M46&gt;0,M46,0)</f>
        <v>0</v>
      </c>
      <c r="P4" s="266">
        <f t="shared" ref="P4:Z4" si="2">IF(O46&gt;0,O46,0)</f>
        <v>0</v>
      </c>
      <c r="Q4" s="266">
        <f t="shared" si="2"/>
        <v>0</v>
      </c>
      <c r="R4" s="266">
        <f t="shared" si="2"/>
        <v>0</v>
      </c>
      <c r="S4" s="266">
        <f t="shared" si="2"/>
        <v>0</v>
      </c>
      <c r="T4" s="266">
        <f t="shared" si="2"/>
        <v>0</v>
      </c>
      <c r="U4" s="266">
        <f t="shared" si="2"/>
        <v>0</v>
      </c>
      <c r="V4" s="266">
        <f t="shared" si="2"/>
        <v>0</v>
      </c>
      <c r="W4" s="266">
        <f t="shared" si="2"/>
        <v>286003.3387</v>
      </c>
      <c r="X4" s="266">
        <f t="shared" si="2"/>
        <v>2999452.772</v>
      </c>
      <c r="Y4" s="266">
        <f t="shared" si="2"/>
        <v>3490264.754</v>
      </c>
      <c r="Z4" s="266">
        <f t="shared" si="2"/>
        <v>2199403.568</v>
      </c>
      <c r="AA4" s="268"/>
      <c r="AB4" s="266">
        <f>IF(Z46&gt;0,Z46,0)</f>
        <v>1076714.178</v>
      </c>
      <c r="AC4" s="266">
        <f t="shared" ref="AC4:AM4" si="3">IF(AB46&gt;0,AB46,0)</f>
        <v>407878.7918</v>
      </c>
      <c r="AD4" s="266">
        <f t="shared" si="3"/>
        <v>208502.3212</v>
      </c>
      <c r="AE4" s="266">
        <f t="shared" si="3"/>
        <v>498960.9904</v>
      </c>
      <c r="AF4" s="266">
        <f t="shared" si="3"/>
        <v>1000861.642</v>
      </c>
      <c r="AG4" s="266">
        <f t="shared" si="3"/>
        <v>905750.6102</v>
      </c>
      <c r="AH4" s="266">
        <f t="shared" si="3"/>
        <v>284223.7328</v>
      </c>
      <c r="AI4" s="266">
        <f t="shared" si="3"/>
        <v>331607.8008</v>
      </c>
      <c r="AJ4" s="266">
        <f t="shared" si="3"/>
        <v>358018.1754</v>
      </c>
      <c r="AK4" s="266">
        <f t="shared" si="3"/>
        <v>1228163.875</v>
      </c>
      <c r="AL4" s="266">
        <f t="shared" si="3"/>
        <v>1138559.895</v>
      </c>
      <c r="AM4" s="266">
        <f t="shared" si="3"/>
        <v>621439.4586</v>
      </c>
      <c r="AN4" s="269"/>
      <c r="AO4" s="270"/>
    </row>
    <row r="5" ht="26.25" customHeight="1">
      <c r="A5" s="271" t="s">
        <v>225</v>
      </c>
      <c r="B5" s="272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1"/>
      <c r="AO5" s="273"/>
    </row>
    <row r="6" ht="26.25" customHeight="1">
      <c r="A6" s="274" t="s">
        <v>226</v>
      </c>
      <c r="B6" s="275">
        <f>'6.4.2 Estimación de ventas (Eje'!F5</f>
        <v>6345000</v>
      </c>
      <c r="C6" s="276">
        <f>'6.4.2 Estimación de ventas (Eje'!F6</f>
        <v>5640000</v>
      </c>
      <c r="D6" s="276">
        <f>'6.4.2 Estimación de ventas (Eje'!F7</f>
        <v>6817500</v>
      </c>
      <c r="E6" s="276">
        <f>'6.4.2 Estimación de ventas (Eje'!F8</f>
        <v>11340000</v>
      </c>
      <c r="F6" s="276">
        <f>'6.4.2 Estimación de ventas (Eje'!F9</f>
        <v>11340000</v>
      </c>
      <c r="G6" s="276">
        <f>'6.4.2 Estimación de ventas (Eje'!F10</f>
        <v>12757500</v>
      </c>
      <c r="H6" s="276">
        <f>'6.4.2 Estimación de ventas (Eje'!F11</f>
        <v>10021725</v>
      </c>
      <c r="I6" s="276">
        <f>'6.4.2 Estimación de ventas (Eje'!F12</f>
        <v>13395375</v>
      </c>
      <c r="J6" s="276">
        <f>'6.4.2 Estimación de ventas (Eje'!F13</f>
        <v>15848437.5</v>
      </c>
      <c r="K6" s="276">
        <f>'6.4.2 Estimación de ventas (Eje'!F14</f>
        <v>16799343.75</v>
      </c>
      <c r="L6" s="276">
        <f>'6.4.2 Estimación de ventas (Eje'!F15</f>
        <v>15934542.75</v>
      </c>
      <c r="M6" s="277">
        <f>'6.4.2 Estimación de ventas (Eje'!F16</f>
        <v>10985310</v>
      </c>
      <c r="N6" s="278">
        <f t="shared" ref="N6:N8" si="4">SUM(B6:M6)</f>
        <v>137224734</v>
      </c>
      <c r="O6" s="279">
        <f>'6.4.2 Estimación de ventas (Eje'!F28</f>
        <v>13942724.91</v>
      </c>
      <c r="P6" s="280">
        <f>'6.4.2 Estimación de ventas (Eje'!F29</f>
        <v>10601992.8</v>
      </c>
      <c r="Q6" s="280">
        <f>'6.4.2 Estimación de ventas (Eje'!F30</f>
        <v>11927241.9</v>
      </c>
      <c r="R6" s="280">
        <f>'6.4.2 Estimación de ventas (Eje'!F31</f>
        <v>18521276.48</v>
      </c>
      <c r="S6" s="280">
        <f>'6.4.2 Estimación de ventas (Eje'!F32</f>
        <v>15718926.83</v>
      </c>
      <c r="T6" s="280">
        <f>'6.4.2 Estimación de ventas (Eje'!F33</f>
        <v>17567833.38</v>
      </c>
      <c r="U6" s="280">
        <f>'6.4.2 Estimación de ventas (Eje'!F34</f>
        <v>15371854.21</v>
      </c>
      <c r="V6" s="280">
        <f>'6.4.2 Estimación de ventas (Eje'!F35</f>
        <v>19724676.29</v>
      </c>
      <c r="W6" s="280">
        <f>'6.4.2 Estimación de ventas (Eje'!F36</f>
        <v>20631091.46</v>
      </c>
      <c r="X6" s="280">
        <f>'6.4.2 Estimación de ventas (Eje'!F37</f>
        <v>24737016.87</v>
      </c>
      <c r="Y6" s="280">
        <f>'6.4.2 Estimación de ventas (Eje'!F38</f>
        <v>19552998.55</v>
      </c>
      <c r="Z6" s="281">
        <f>'6.4.2 Estimación de ventas (Eje'!F39</f>
        <v>15487523.61</v>
      </c>
      <c r="AA6" s="278">
        <f t="shared" ref="AA6:AA8" si="5">SUM(O6:Z6)</f>
        <v>203785157.3</v>
      </c>
      <c r="AB6" s="279">
        <f>'6.4.2 Estimación de ventas (Eje'!F51</f>
        <v>20530648.48</v>
      </c>
      <c r="AC6" s="280">
        <f>'6.4.2 Estimación de ventas (Eje'!F52</f>
        <v>15207887.76</v>
      </c>
      <c r="AD6" s="280">
        <f>'6.4.2 Estimación de ventas (Eje'!F53</f>
        <v>17108873.73</v>
      </c>
      <c r="AE6" s="280">
        <f>'6.4.2 Estimación de ventas (Eje'!F54</f>
        <v>22727134.25</v>
      </c>
      <c r="AF6" s="280">
        <f>'6.4.2 Estimación de ventas (Eje'!F55</f>
        <v>24110525.03</v>
      </c>
      <c r="AG6" s="280">
        <f>'6.4.2 Estimación de ventas (Eje'!F56</f>
        <v>21557180.91</v>
      </c>
      <c r="AH6" s="280">
        <f>'6.4.2 Estimación de ventas (Eje'!F57</f>
        <v>18862533.29</v>
      </c>
      <c r="AI6" s="280">
        <f>'6.4.2 Estimación de ventas (Eje'!F58</f>
        <v>22635039.95</v>
      </c>
      <c r="AJ6" s="280">
        <f>'6.4.2 Estimación de ventas (Eje'!F59</f>
        <v>30379261.54</v>
      </c>
      <c r="AK6" s="280">
        <f>'6.4.2 Estimación de ventas (Eje'!F60</f>
        <v>32202017.23</v>
      </c>
      <c r="AL6" s="280">
        <f>'6.4.2 Estimación de ventas (Eje'!F61</f>
        <v>23993142.35</v>
      </c>
      <c r="AM6" s="280">
        <f>'6.4.2 Estimación de ventas (Eje'!F62</f>
        <v>19004469.19</v>
      </c>
      <c r="AN6" s="282">
        <f t="shared" ref="AN6:AN8" si="6">SUM(AB6:AM6)</f>
        <v>268318713.7</v>
      </c>
      <c r="AO6" s="283"/>
    </row>
    <row r="7" ht="26.25" customHeight="1">
      <c r="A7" s="274" t="s">
        <v>227</v>
      </c>
      <c r="B7" s="284">
        <f>'6.4.2 Estimación de ventas (Eje'!I5</f>
        <v>6300000</v>
      </c>
      <c r="C7" s="285">
        <f>'6.4.2 Estimación de ventas (Eje'!I6</f>
        <v>5760000</v>
      </c>
      <c r="D7" s="285">
        <f>'6.4.2 Estimación de ventas (Eje'!I7</f>
        <v>5760000</v>
      </c>
      <c r="E7" s="285">
        <f>'6.4.2 Estimación de ventas (Eje'!I8</f>
        <v>9922500</v>
      </c>
      <c r="F7" s="285">
        <f>'6.4.2 Estimación de ventas (Eje'!I9</f>
        <v>9922500</v>
      </c>
      <c r="G7" s="285">
        <f>'6.4.2 Estimación de ventas (Eje'!I10</f>
        <v>3307500</v>
      </c>
      <c r="H7" s="285">
        <f>'6.4.2 Estimación de ventas (Eje'!I11</f>
        <v>6945750</v>
      </c>
      <c r="I7" s="285">
        <f>'6.4.2 Estimación de ventas (Eje'!I12</f>
        <v>3472875</v>
      </c>
      <c r="J7" s="285">
        <f>'6.4.2 Estimación de ventas (Eje'!I13</f>
        <v>6945750</v>
      </c>
      <c r="K7" s="285">
        <f>'6.4.2 Estimación de ventas (Eje'!I14</f>
        <v>7362495</v>
      </c>
      <c r="L7" s="285">
        <f>'6.4.2 Estimación de ventas (Eje'!I15</f>
        <v>3646518.75</v>
      </c>
      <c r="M7" s="286">
        <f>'6.4.2 Estimación de ventas (Eje'!I16</f>
        <v>3646518.75</v>
      </c>
      <c r="N7" s="287">
        <f t="shared" si="4"/>
        <v>72992407.5</v>
      </c>
      <c r="O7" s="288">
        <f>'6.4.2 Estimación de ventas (Eje'!I28</f>
        <v>11486534.06</v>
      </c>
      <c r="P7" s="285">
        <f>'6.4.2 Estimación de ventas (Eje'!I29</f>
        <v>7657689.375</v>
      </c>
      <c r="Q7" s="285">
        <f>'6.4.2 Estimación de ventas (Eje'!I30</f>
        <v>15315378.75</v>
      </c>
      <c r="R7" s="289">
        <f>'6.4.2 Estimación de ventas (Eje'!I31</f>
        <v>16234301.48</v>
      </c>
      <c r="S7" s="285">
        <f>'6.4.2 Estimación de ventas (Eje'!I32</f>
        <v>12175726.11</v>
      </c>
      <c r="T7" s="285">
        <f>'6.4.2 Estimación de ventas (Eje'!I33</f>
        <v>12060860.77</v>
      </c>
      <c r="U7" s="285">
        <f>'6.4.2 Estimación de ventas (Eje'!I34</f>
        <v>16885205.07</v>
      </c>
      <c r="V7" s="285">
        <f>'6.4.2 Estimación de ventas (Eje'!I35</f>
        <v>12663903.8</v>
      </c>
      <c r="W7" s="285">
        <f>'6.4.2 Estimación de ventas (Eje'!I36</f>
        <v>17046016.55</v>
      </c>
      <c r="X7" s="285">
        <f>'6.4.2 Estimación de ventas (Eje'!I37</f>
        <v>18068777.54</v>
      </c>
      <c r="Y7" s="285">
        <f>'6.4.2 Estimación de ventas (Eje'!I38</f>
        <v>13297098.99</v>
      </c>
      <c r="Z7" s="286">
        <f>'6.4.2 Estimación de ventas (Eje'!I39</f>
        <v>13297098.99</v>
      </c>
      <c r="AA7" s="287">
        <f t="shared" si="5"/>
        <v>166188591.5</v>
      </c>
      <c r="AB7" s="288">
        <f>'6.4.2 Estimación de ventas (Eje'!I51</f>
        <v>18615938.59</v>
      </c>
      <c r="AC7" s="285">
        <f>'6.4.2 Estimación de ventas (Eje'!I52</f>
        <v>18615938.59</v>
      </c>
      <c r="AD7" s="285">
        <f>'6.4.2 Estimación de ventas (Eje'!I53</f>
        <v>18615938.59</v>
      </c>
      <c r="AE7" s="285">
        <f>'6.4.2 Estimación de ventas (Eje'!I54</f>
        <v>24901034.05</v>
      </c>
      <c r="AF7" s="285">
        <f>'6.4.2 Estimación de ventas (Eje'!I55</f>
        <v>24901034.05</v>
      </c>
      <c r="AG7" s="285">
        <f>'6.4.2 Estimación de ventas (Eje'!I56</f>
        <v>14660051.64</v>
      </c>
      <c r="AH7" s="285">
        <f>'6.4.2 Estimación de ventas (Eje'!I57</f>
        <v>10262036.15</v>
      </c>
      <c r="AI7" s="285">
        <f>'6.4.2 Estimación de ventas (Eje'!I58</f>
        <v>15393054.22</v>
      </c>
      <c r="AJ7" s="285">
        <f>'6.4.2 Estimación de ventas (Eje'!I59</f>
        <v>20916868.6</v>
      </c>
      <c r="AK7" s="285">
        <f>'6.4.2 Estimación de ventas (Eje'!I60</f>
        <v>22171880.72</v>
      </c>
      <c r="AL7" s="285">
        <f>'6.4.2 Estimación de ventas (Eje'!I61</f>
        <v>21550275.91</v>
      </c>
      <c r="AM7" s="285">
        <f>'6.4.2 Estimación de ventas (Eje'!I62</f>
        <v>21550275.91</v>
      </c>
      <c r="AN7" s="290">
        <f t="shared" si="6"/>
        <v>232154327</v>
      </c>
      <c r="AO7" s="283"/>
    </row>
    <row r="8" ht="26.25" customHeight="1">
      <c r="A8" s="274" t="s">
        <v>228</v>
      </c>
      <c r="B8" s="284">
        <f>'6.4.2 Estimación de ventas (Eje'!L5</f>
        <v>0</v>
      </c>
      <c r="C8" s="285">
        <f>'6.4.2 Estimación de ventas (Eje'!L6</f>
        <v>0</v>
      </c>
      <c r="D8" s="285">
        <f>'6.4.2 Estimación de ventas (Eje'!L7</f>
        <v>3168000</v>
      </c>
      <c r="E8" s="285">
        <f>'6.4.2 Estimación de ventas (Eje'!L8</f>
        <v>3638250</v>
      </c>
      <c r="F8" s="285">
        <f>'6.4.2 Estimación de ventas (Eje'!L9</f>
        <v>3638250</v>
      </c>
      <c r="G8" s="285">
        <f>'6.4.2 Estimación de ventas (Eje'!L10</f>
        <v>3638250</v>
      </c>
      <c r="H8" s="285">
        <f>'6.4.2 Estimación de ventas (Eje'!L11</f>
        <v>3820162.5</v>
      </c>
      <c r="I8" s="285">
        <f>'6.4.2 Estimación de ventas (Eje'!L12</f>
        <v>3820162.5</v>
      </c>
      <c r="J8" s="285">
        <f>'6.4.2 Estimación de ventas (Eje'!L13</f>
        <v>7640325</v>
      </c>
      <c r="K8" s="285">
        <f>'6.4.2 Estimación de ventas (Eje'!L14</f>
        <v>4049372.25</v>
      </c>
      <c r="L8" s="285">
        <f>'6.4.2 Estimación de ventas (Eje'!L15</f>
        <v>4011170.625</v>
      </c>
      <c r="M8" s="286">
        <f>'6.4.2 Estimación de ventas (Eje'!L16</f>
        <v>8022341.25</v>
      </c>
      <c r="N8" s="287">
        <f t="shared" si="4"/>
        <v>45446284.13</v>
      </c>
      <c r="O8" s="288">
        <f>'6.4.2 Estimación de ventas (Eje'!L28</f>
        <v>4211729.156</v>
      </c>
      <c r="P8" s="285">
        <f>'6.4.2 Estimación de ventas (Eje'!L29</f>
        <v>8423458.313</v>
      </c>
      <c r="Q8" s="285">
        <f>'6.4.2 Estimación de ventas (Eje'!L30</f>
        <v>4211729.156</v>
      </c>
      <c r="R8" s="285">
        <f>'6.4.2 Estimación de ventas (Eje'!L31</f>
        <v>13393298.72</v>
      </c>
      <c r="S8" s="285">
        <f>'6.4.2 Estimación de ventas (Eje'!L32</f>
        <v>8928865.811</v>
      </c>
      <c r="T8" s="285">
        <f>'6.4.2 Estimación de ventas (Eje'!L33</f>
        <v>4422315.614</v>
      </c>
      <c r="U8" s="285">
        <f>'6.4.2 Estimación de ventas (Eje'!L34</f>
        <v>4643431.395</v>
      </c>
      <c r="V8" s="285">
        <f>'6.4.2 Estimación de ventas (Eje'!L35</f>
        <v>4643431.395</v>
      </c>
      <c r="W8" s="285">
        <f>'6.4.2 Estimación de ventas (Eje'!L36</f>
        <v>9375309.102</v>
      </c>
      <c r="X8" s="285">
        <f>'6.4.2 Estimación de ventas (Eje'!L37</f>
        <v>4968913.824</v>
      </c>
      <c r="Y8" s="285">
        <f>'6.4.2 Estimación de ventas (Eje'!L38</f>
        <v>9751205.929</v>
      </c>
      <c r="Z8" s="286">
        <f>'6.4.2 Estimación de ventas (Eje'!L39</f>
        <v>9751205.929</v>
      </c>
      <c r="AA8" s="287">
        <f t="shared" si="5"/>
        <v>86724894.34</v>
      </c>
      <c r="AB8" s="288">
        <f>'6.4.2 Estimación de ventas (Eje'!L51</f>
        <v>10238766.23</v>
      </c>
      <c r="AC8" s="285">
        <f>'6.4.2 Estimación de ventas (Eje'!L52</f>
        <v>10238766.23</v>
      </c>
      <c r="AD8" s="285">
        <f>'6.4.2 Estimación de ventas (Eje'!L53</f>
        <v>15358149.34</v>
      </c>
      <c r="AE8" s="285">
        <f>'6.4.2 Estimación de ventas (Eje'!L54</f>
        <v>16434682.47</v>
      </c>
      <c r="AF8" s="285">
        <f>'6.4.2 Estimación de ventas (Eje'!L55</f>
        <v>10956454.98</v>
      </c>
      <c r="AG8" s="285">
        <f>'6.4.2 Estimación de ventas (Eje'!L56</f>
        <v>10750704.54</v>
      </c>
      <c r="AH8" s="285">
        <f>'6.4.2 Estimación de ventas (Eje'!L57</f>
        <v>16932359.65</v>
      </c>
      <c r="AI8" s="285">
        <f>'6.4.2 Estimación de ventas (Eje'!L58</f>
        <v>11288239.76</v>
      </c>
      <c r="AJ8" s="285">
        <f>'6.4.2 Estimación de ventas (Eje'!L59</f>
        <v>17256416.6</v>
      </c>
      <c r="AK8" s="285">
        <f>'6.4.2 Estimación de ventas (Eje'!L60</f>
        <v>12194534.39</v>
      </c>
      <c r="AL8" s="285">
        <f>'6.4.2 Estimación de ventas (Eje'!L61</f>
        <v>11852651.75</v>
      </c>
      <c r="AM8" s="285">
        <f>'6.4.2 Estimación de ventas (Eje'!L62</f>
        <v>11852651.75</v>
      </c>
      <c r="AN8" s="290">
        <f t="shared" si="6"/>
        <v>155354377.7</v>
      </c>
      <c r="AO8" s="283"/>
    </row>
    <row r="9" ht="26.25" customHeight="1">
      <c r="A9" s="291" t="s">
        <v>229</v>
      </c>
      <c r="B9" s="292">
        <f t="shared" ref="B9:M9" si="7">SUM(B4:B8)</f>
        <v>12645000</v>
      </c>
      <c r="C9" s="292">
        <f t="shared" si="7"/>
        <v>11400000</v>
      </c>
      <c r="D9" s="292">
        <f t="shared" si="7"/>
        <v>15745500</v>
      </c>
      <c r="E9" s="292">
        <f t="shared" si="7"/>
        <v>24900750</v>
      </c>
      <c r="F9" s="292">
        <f t="shared" si="7"/>
        <v>24900750</v>
      </c>
      <c r="G9" s="292">
        <f t="shared" si="7"/>
        <v>19703250</v>
      </c>
      <c r="H9" s="292">
        <f t="shared" si="7"/>
        <v>20787637.5</v>
      </c>
      <c r="I9" s="292">
        <f t="shared" si="7"/>
        <v>20688412.5</v>
      </c>
      <c r="J9" s="292">
        <f t="shared" si="7"/>
        <v>30434512.5</v>
      </c>
      <c r="K9" s="292">
        <f t="shared" si="7"/>
        <v>28211211</v>
      </c>
      <c r="L9" s="292">
        <f t="shared" si="7"/>
        <v>23592232.13</v>
      </c>
      <c r="M9" s="292">
        <f t="shared" si="7"/>
        <v>22654170</v>
      </c>
      <c r="N9" s="293">
        <f>SUM(N6:N8)</f>
        <v>255663425.6</v>
      </c>
      <c r="O9" s="292">
        <f t="shared" ref="O9:Z9" si="8">SUM(O4:O8)</f>
        <v>29640988.13</v>
      </c>
      <c r="P9" s="292">
        <f t="shared" si="8"/>
        <v>26683140.49</v>
      </c>
      <c r="Q9" s="292">
        <f t="shared" si="8"/>
        <v>31454349.81</v>
      </c>
      <c r="R9" s="292">
        <f t="shared" si="8"/>
        <v>48148876.68</v>
      </c>
      <c r="S9" s="292">
        <f t="shared" si="8"/>
        <v>36823518.74</v>
      </c>
      <c r="T9" s="292">
        <f t="shared" si="8"/>
        <v>34051009.76</v>
      </c>
      <c r="U9" s="292">
        <f t="shared" si="8"/>
        <v>36900490.68</v>
      </c>
      <c r="V9" s="292">
        <f t="shared" si="8"/>
        <v>37032011.49</v>
      </c>
      <c r="W9" s="292">
        <f t="shared" si="8"/>
        <v>47338420.45</v>
      </c>
      <c r="X9" s="292">
        <f t="shared" si="8"/>
        <v>50774161.01</v>
      </c>
      <c r="Y9" s="292">
        <f t="shared" si="8"/>
        <v>46091568.23</v>
      </c>
      <c r="Z9" s="292">
        <f t="shared" si="8"/>
        <v>40735232.1</v>
      </c>
      <c r="AA9" s="293">
        <f>SUM(AA6:AA8)</f>
        <v>456698643.1</v>
      </c>
      <c r="AB9" s="292">
        <f t="shared" ref="AB9:AM9" si="9">SUM(AB4:AB8)</f>
        <v>50462067.48</v>
      </c>
      <c r="AC9" s="292">
        <f t="shared" si="9"/>
        <v>44470471.37</v>
      </c>
      <c r="AD9" s="292">
        <f t="shared" si="9"/>
        <v>51291463.99</v>
      </c>
      <c r="AE9" s="292">
        <f t="shared" si="9"/>
        <v>64561811.76</v>
      </c>
      <c r="AF9" s="292">
        <f t="shared" si="9"/>
        <v>60968875.71</v>
      </c>
      <c r="AG9" s="292">
        <f t="shared" si="9"/>
        <v>47873687.69</v>
      </c>
      <c r="AH9" s="292">
        <f t="shared" si="9"/>
        <v>46341152.82</v>
      </c>
      <c r="AI9" s="292">
        <f t="shared" si="9"/>
        <v>49647941.74</v>
      </c>
      <c r="AJ9" s="292">
        <f t="shared" si="9"/>
        <v>68910564.91</v>
      </c>
      <c r="AK9" s="292">
        <f t="shared" si="9"/>
        <v>67796596.22</v>
      </c>
      <c r="AL9" s="292">
        <f t="shared" si="9"/>
        <v>58534629.91</v>
      </c>
      <c r="AM9" s="292">
        <f t="shared" si="9"/>
        <v>53028836.31</v>
      </c>
      <c r="AN9" s="294">
        <f>SUM(AN6:AN8)</f>
        <v>655827418.4</v>
      </c>
      <c r="AO9" s="295"/>
    </row>
    <row r="10" ht="26.25" customHeight="1">
      <c r="A10" s="271" t="s">
        <v>230</v>
      </c>
      <c r="B10" s="272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1"/>
      <c r="AO10" s="273"/>
    </row>
    <row r="11" ht="26.25" customHeight="1">
      <c r="A11" s="296" t="s">
        <v>231</v>
      </c>
      <c r="B11" s="297">
        <f>532000*('6.4.2 Estimación de ventas (Eje'!E5+'6.4.2 Estimación de ventas (Eje'!G5+'6.4.2 Estimación de ventas (Eje'!J5)</f>
        <v>2660000</v>
      </c>
      <c r="C11" s="298">
        <f>532000*('6.4.2 Estimación de ventas (Eje'!E6+'6.4.2 Estimación de ventas (Eje'!G6+'6.4.2 Estimación de ventas (Eje'!J6)</f>
        <v>2660000</v>
      </c>
      <c r="D11" s="298">
        <f>532000*('6.4.2 Estimación de ventas (Eje'!E7+'6.4.2 Estimación de ventas (Eje'!G7+'6.4.2 Estimación de ventas (Eje'!J7)</f>
        <v>3192000</v>
      </c>
      <c r="E11" s="298">
        <f>563920*('6.4.2 Estimación de ventas (Eje'!E8+'6.4.2 Estimación de ventas (Eje'!G8+'6.4.2 Estimación de ventas (Eje'!J8)</f>
        <v>4511360</v>
      </c>
      <c r="F11" s="298">
        <f>563920*('6.4.2 Estimación de ventas (Eje'!E9+'6.4.2 Estimación de ventas (Eje'!G9+'6.4.2 Estimación de ventas (Eje'!J9)</f>
        <v>4511360</v>
      </c>
      <c r="G11" s="298">
        <f>563920*('6.4.2 Estimación de ventas (Eje'!E10+'6.4.2 Estimación de ventas (Eje'!G10+'6.4.2 Estimación de ventas (Eje'!J10)</f>
        <v>3947440</v>
      </c>
      <c r="H11" s="298">
        <f>597755*('6.4.2 Estimación de ventas (Eje'!E11+'6.4.2 Estimación de ventas (Eje'!G11+'6.4.2 Estimación de ventas (Eje'!J11)</f>
        <v>4184285</v>
      </c>
      <c r="I11" s="298">
        <f>597755*('6.4.2 Estimación de ventas (Eje'!E12+'6.4.2 Estimación de ventas (Eje'!G12+'6.4.2 Estimación de ventas (Eje'!J12)</f>
        <v>4184285</v>
      </c>
      <c r="J11" s="298">
        <f>597755*('6.4.2 Estimación de ventas (Eje'!E13+'6.4.2 Estimación de ventas (Eje'!G13+'6.4.2 Estimación de ventas (Eje'!J13)</f>
        <v>5379795</v>
      </c>
      <c r="K11" s="298">
        <f>633620*('6.4.2 Estimación de ventas (Eje'!E14+'6.4.2 Estimación de ventas (Eje'!G14+'6.4.2 Estimación de ventas (Eje'!J14)</f>
        <v>5068960</v>
      </c>
      <c r="L11" s="298">
        <f>633620*('6.4.2 Estimación de ventas (Eje'!E15+'6.4.2 Estimación de ventas (Eje'!G15+'6.4.2 Estimación de ventas (Eje'!J15)</f>
        <v>5068960</v>
      </c>
      <c r="M11" s="299">
        <f>633620*('6.4.2 Estimación de ventas (Eje'!E16+'6.4.2 Estimación de ventas (Eje'!G16+'6.4.2 Estimación de ventas (Eje'!J16)</f>
        <v>5068960</v>
      </c>
      <c r="N11" s="300">
        <f t="shared" ref="N11:N13" si="10">SUM(B11:M11)</f>
        <v>50437405</v>
      </c>
      <c r="O11" s="301">
        <f>671637*('6.4.2 Estimación de ventas (Eje'!E28+'6.4.2 Estimación de ventas (Eje'!G28+'6.4.2 Estimación de ventas (Eje'!J28)</f>
        <v>6044733</v>
      </c>
      <c r="P11" s="302">
        <f>671637*('6.4.2 Estimación de ventas (Eje'!E29+'6.4.2 Estimación de ventas (Eje'!G29+'6.4.2 Estimación de ventas (Eje'!J29)</f>
        <v>5373096</v>
      </c>
      <c r="Q11" s="298">
        <f>671637*('6.4.2 Estimación de ventas (Eje'!E30+'6.4.2 Estimación de ventas (Eje'!G30+'6.4.2 Estimación de ventas (Eje'!J30)</f>
        <v>6044733</v>
      </c>
      <c r="R11" s="302">
        <f>711936*('6.4.2 Estimación de ventas (Eje'!E31+'6.4.2 Estimación de ventas (Eje'!G31+'6.4.2 Estimación de ventas (Eje'!J31)</f>
        <v>8543232</v>
      </c>
      <c r="S11" s="298">
        <f>711936*('6.4.2 Estimación de ventas (Eje'!E32+'6.4.2 Estimación de ventas (Eje'!G32+'6.4.2 Estimación de ventas (Eje'!J32)</f>
        <v>6407424</v>
      </c>
      <c r="T11" s="298">
        <f>711936*('6.4.2 Estimación de ventas (Eje'!E33+'6.4.2 Estimación de ventas (Eje'!G33+'6.4.2 Estimación de ventas (Eje'!J33)</f>
        <v>7119360</v>
      </c>
      <c r="U11" s="302">
        <f>754652*('6.4.2 Estimación de ventas (Eje'!E34+'6.4.2 Estimación de ventas (Eje'!G34+'6.4.2 Estimación de ventas (Eje'!J34)</f>
        <v>7546520</v>
      </c>
      <c r="V11" s="298">
        <f>754652*('6.4.2 Estimación de ventas (Eje'!E35+'6.4.2 Estimación de ventas (Eje'!G35+'6.4.2 Estimación de ventas (Eje'!J35)</f>
        <v>7546520</v>
      </c>
      <c r="W11" s="298">
        <f>754652*('6.4.2 Estimación de ventas (Eje'!E36+'6.4.2 Estimación de ventas (Eje'!G36+'6.4.2 Estimación de ventas (Eje'!J36)</f>
        <v>8301172</v>
      </c>
      <c r="X11" s="298">
        <f>799931*('6.4.2 Estimación de ventas (Eje'!E37+'6.4.2 Estimación de ventas (Eje'!G37+'6.4.2 Estimación de ventas (Eje'!J37)</f>
        <v>8799241</v>
      </c>
      <c r="Y11" s="298">
        <f>799931*('6.4.2 Estimación de ventas (Eje'!E38+'6.4.2 Estimación de ventas (Eje'!G38+'6.4.2 Estimación de ventas (Eje'!J38)</f>
        <v>8799241</v>
      </c>
      <c r="Z11" s="299">
        <f>799931*('6.4.2 Estimación de ventas (Eje'!E39+'6.4.2 Estimación de ventas (Eje'!G39+'6.4.2 Estimación de ventas (Eje'!J39)</f>
        <v>7999310</v>
      </c>
      <c r="AA11" s="300">
        <f t="shared" ref="AA11:AA45" si="11">SUM(O11:Z11)</f>
        <v>88524582</v>
      </c>
      <c r="AB11" s="303">
        <f>847927*('6.4.2 Estimación de ventas (Eje'!E51+'6.4.2 Estimación de ventas (Eje'!G51+'6.4.2 Estimación de ventas (Eje'!J51)</f>
        <v>10175124</v>
      </c>
      <c r="AC11" s="298">
        <f>847927*('6.4.2 Estimación de ventas (Eje'!E52+'6.4.2 Estimación de ventas (Eje'!G52+'6.4.2 Estimación de ventas (Eje'!J52)</f>
        <v>9327197</v>
      </c>
      <c r="AD11" s="298">
        <f>847927*('6.4.2 Estimación de ventas (Eje'!E53+'6.4.2 Estimación de ventas (Eje'!G53+'6.4.2 Estimación de ventas (Eje'!J53)</f>
        <v>10175124</v>
      </c>
      <c r="AE11" s="298">
        <f>898802*('6.4.2 Estimación de ventas (Eje'!E54+'6.4.2 Estimación de ventas (Eje'!G54+'6.4.2 Estimación de ventas (Eje'!J54)</f>
        <v>11684426</v>
      </c>
      <c r="AF11" s="298">
        <f>898802*('6.4.2 Estimación de ventas (Eje'!E55+'6.4.2 Estimación de ventas (Eje'!G55+'6.4.2 Estimación de ventas (Eje'!J55)</f>
        <v>10785624</v>
      </c>
      <c r="AG11" s="298">
        <f>898802*('6.4.2 Estimación de ventas (Eje'!E56+'6.4.2 Estimación de ventas (Eje'!G56+'6.4.2 Estimación de ventas (Eje'!J56)</f>
        <v>9886822</v>
      </c>
      <c r="AH11" s="298">
        <f>952730*('6.4.2 Estimación de ventas (Eje'!E57+'6.4.2 Estimación de ventas (Eje'!G57+'6.4.2 Estimación de ventas (Eje'!J57)</f>
        <v>9527300</v>
      </c>
      <c r="AI11" s="298">
        <f>952730*('6.4.2 Estimación de ventas (Eje'!E58+'6.4.2 Estimación de ventas (Eje'!G58+'6.4.2 Estimación de ventas (Eje'!J58)</f>
        <v>10480030</v>
      </c>
      <c r="AJ11" s="298">
        <f>952730*('6.4.2 Estimación de ventas (Eje'!E59+'6.4.2 Estimación de ventas (Eje'!G59+'6.4.2 Estimación de ventas (Eje'!J59)</f>
        <v>12385490</v>
      </c>
      <c r="AK11" s="298">
        <f>1009894*('6.4.2 Estimación de ventas (Eje'!E60+'6.4.2 Estimación de ventas (Eje'!G60+'6.4.2 Estimación de ventas (Eje'!J60)</f>
        <v>12118728</v>
      </c>
      <c r="AL11" s="298">
        <f>1009894*('6.4.2 Estimación de ventas (Eje'!E61+'6.4.2 Estimación de ventas (Eje'!G61+'6.4.2 Estimación de ventas (Eje'!J61)</f>
        <v>12118728</v>
      </c>
      <c r="AM11" s="298">
        <f>1009894*('6.4.2 Estimación de ventas (Eje'!E62+'6.4.2 Estimación de ventas (Eje'!G62+'6.4.2 Estimación de ventas (Eje'!J62)</f>
        <v>11108834</v>
      </c>
      <c r="AN11" s="304">
        <f t="shared" ref="AN11:AN45" si="12">SUM(AB11:AM11)</f>
        <v>129773427</v>
      </c>
      <c r="AO11" s="270"/>
    </row>
    <row r="12" ht="26.25" customHeight="1">
      <c r="A12" s="296" t="s">
        <v>232</v>
      </c>
      <c r="B12" s="297">
        <f>10000*('6.4.2 Estimación de ventas (Eje'!E5+'6.4.2 Estimación de ventas (Eje'!G5+'6.4.2 Estimación de ventas (Eje'!J5)</f>
        <v>50000</v>
      </c>
      <c r="C12" s="298">
        <f>10000*('6.4.2 Estimación de ventas (Eje'!E6+'6.4.2 Estimación de ventas (Eje'!G6+'6.4.2 Estimación de ventas (Eje'!J6)</f>
        <v>50000</v>
      </c>
      <c r="D12" s="298">
        <f>10000*('6.4.2 Estimación de ventas (Eje'!E7+'6.4.2 Estimación de ventas (Eje'!G7+'6.4.2 Estimación de ventas (Eje'!J7)</f>
        <v>60000</v>
      </c>
      <c r="E12" s="298">
        <f>10600*('6.4.2 Estimación de ventas (Eje'!E8+'6.4.2 Estimación de ventas (Eje'!G8+'6.4.2 Estimación de ventas (Eje'!J8)</f>
        <v>84800</v>
      </c>
      <c r="F12" s="298">
        <f>10600*('6.4.2 Estimación de ventas (Eje'!E9+'6.4.2 Estimación de ventas (Eje'!G9+'6.4.2 Estimación de ventas (Eje'!J9)</f>
        <v>84800</v>
      </c>
      <c r="G12" s="298">
        <f>10600*('6.4.2 Estimación de ventas (Eje'!E10+'6.4.2 Estimación de ventas (Eje'!G10+'6.4.2 Estimación de ventas (Eje'!J10)</f>
        <v>74200</v>
      </c>
      <c r="H12" s="298">
        <f>11236*('6.4.2 Estimación de ventas (Eje'!E11+'6.4.2 Estimación de ventas (Eje'!G11+'6.4.2 Estimación de ventas (Eje'!J11)</f>
        <v>78652</v>
      </c>
      <c r="I12" s="298">
        <f>11236*('6.4.2 Estimación de ventas (Eje'!E12+'6.4.2 Estimación de ventas (Eje'!G12+'6.4.2 Estimación de ventas (Eje'!J12)</f>
        <v>78652</v>
      </c>
      <c r="J12" s="298">
        <f>11236*('6.4.2 Estimación de ventas (Eje'!E13+'6.4.2 Estimación de ventas (Eje'!G13+'6.4.2 Estimación de ventas (Eje'!J13)</f>
        <v>101124</v>
      </c>
      <c r="K12" s="298">
        <f>11910*('6.4.2 Estimación de ventas (Eje'!E14+'6.4.2 Estimación de ventas (Eje'!G14+'6.4.2 Estimación de ventas (Eje'!J14)</f>
        <v>95280</v>
      </c>
      <c r="L12" s="298">
        <f>11910*('6.4.2 Estimación de ventas (Eje'!E15+'6.4.2 Estimación de ventas (Eje'!G15+'6.4.2 Estimación de ventas (Eje'!J15)</f>
        <v>95280</v>
      </c>
      <c r="M12" s="299">
        <f>11910*('6.4.2 Estimación de ventas (Eje'!E16+'6.4.2 Estimación de ventas (Eje'!G16+'6.4.2 Estimación de ventas (Eje'!J16)</f>
        <v>95280</v>
      </c>
      <c r="N12" s="300">
        <f t="shared" si="10"/>
        <v>948068</v>
      </c>
      <c r="O12" s="301">
        <f>12624*('6.4.2 Estimación de ventas (Eje'!E28+'6.4.2 Estimación de ventas (Eje'!G28+'6.4.2 Estimación de ventas (Eje'!J28)</f>
        <v>113616</v>
      </c>
      <c r="P12" s="302">
        <f>12624*('6.4.2 Estimación de ventas (Eje'!E29+'6.4.2 Estimación de ventas (Eje'!G29+'6.4.2 Estimación de ventas (Eje'!J29)</f>
        <v>100992</v>
      </c>
      <c r="Q12" s="298">
        <f>12624*('6.4.2 Estimación de ventas (Eje'!E30+'6.4.2 Estimación de ventas (Eje'!G30+'6.4.2 Estimación de ventas (Eje'!J30)</f>
        <v>113616</v>
      </c>
      <c r="R12" s="302">
        <f>13382*('6.4.2 Estimación de ventas (Eje'!E31+'6.4.2 Estimación de ventas (Eje'!G31+'6.4.2 Estimación de ventas (Eje'!J31)</f>
        <v>160584</v>
      </c>
      <c r="S12" s="298">
        <f>13382*('6.4.2 Estimación de ventas (Eje'!E32+'6.4.2 Estimación de ventas (Eje'!G32+'6.4.2 Estimación de ventas (Eje'!J32)</f>
        <v>120438</v>
      </c>
      <c r="T12" s="298">
        <f>13382*('6.4.2 Estimación de ventas (Eje'!E33+'6.4.2 Estimación de ventas (Eje'!G33+'6.4.2 Estimación de ventas (Eje'!J33)</f>
        <v>133820</v>
      </c>
      <c r="U12" s="302">
        <f>14185*('6.4.2 Estimación de ventas (Eje'!E34+'6.4.2 Estimación de ventas (Eje'!G34+'6.4.2 Estimación de ventas (Eje'!J34)</f>
        <v>141850</v>
      </c>
      <c r="V12" s="298">
        <f>14185*('6.4.2 Estimación de ventas (Eje'!E35+'6.4.2 Estimación de ventas (Eje'!G35+'6.4.2 Estimación de ventas (Eje'!J35)</f>
        <v>141850</v>
      </c>
      <c r="W12" s="298">
        <f>14185*('6.4.2 Estimación de ventas (Eje'!E36+'6.4.2 Estimación de ventas (Eje'!G36+'6.4.2 Estimación de ventas (Eje'!J36)</f>
        <v>156035</v>
      </c>
      <c r="X12" s="298">
        <f>15036*('6.4.2 Estimación de ventas (Eje'!E37+'6.4.2 Estimación de ventas (Eje'!G37+'6.4.2 Estimación de ventas (Eje'!J37)</f>
        <v>165396</v>
      </c>
      <c r="Y12" s="298">
        <f>15036*('6.4.2 Estimación de ventas (Eje'!E38+'6.4.2 Estimación de ventas (Eje'!G38+'6.4.2 Estimación de ventas (Eje'!J38)</f>
        <v>165396</v>
      </c>
      <c r="Z12" s="299">
        <f>15036*('6.4.2 Estimación de ventas (Eje'!E39+'6.4.2 Estimación de ventas (Eje'!G39+'6.4.2 Estimación de ventas (Eje'!J39)</f>
        <v>150360</v>
      </c>
      <c r="AA12" s="300">
        <f t="shared" si="11"/>
        <v>1663953</v>
      </c>
      <c r="AB12" s="303">
        <f>15938*('6.4.2 Estimación de ventas (Eje'!E51+'6.4.2 Estimación de ventas (Eje'!G51+'6.4.2 Estimación de ventas (Eje'!J51)</f>
        <v>191256</v>
      </c>
      <c r="AC12" s="298">
        <f>15938*('6.4.2 Estimación de ventas (Eje'!E52+'6.4.2 Estimación de ventas (Eje'!G52+'6.4.2 Estimación de ventas (Eje'!J52)</f>
        <v>175318</v>
      </c>
      <c r="AD12" s="298">
        <f>15938*('6.4.2 Estimación de ventas (Eje'!E53+'6.4.2 Estimación de ventas (Eje'!G53+'6.4.2 Estimación de ventas (Eje'!J53)</f>
        <v>191256</v>
      </c>
      <c r="AE12" s="298">
        <f>16894*('6.4.2 Estimación de ventas (Eje'!E54+'6.4.2 Estimación de ventas (Eje'!G54+'6.4.2 Estimación de ventas (Eje'!J54)</f>
        <v>219622</v>
      </c>
      <c r="AF12" s="298">
        <f>16894*('6.4.2 Estimación de ventas (Eje'!E55+'6.4.2 Estimación de ventas (Eje'!G55+'6.4.2 Estimación de ventas (Eje'!J55)</f>
        <v>202728</v>
      </c>
      <c r="AG12" s="298">
        <f>16894*('6.4.2 Estimación de ventas (Eje'!E56+'6.4.2 Estimación de ventas (Eje'!G56+'6.4.2 Estimación de ventas (Eje'!J56)</f>
        <v>185834</v>
      </c>
      <c r="AH12" s="298">
        <f>17908*('6.4.2 Estimación de ventas (Eje'!E57+'6.4.2 Estimación de ventas (Eje'!G57+'6.4.2 Estimación de ventas (Eje'!J57)</f>
        <v>179080</v>
      </c>
      <c r="AI12" s="298">
        <f>17908*('6.4.2 Estimación de ventas (Eje'!E58+'6.4.2 Estimación de ventas (Eje'!G58+'6.4.2 Estimación de ventas (Eje'!J58)</f>
        <v>196988</v>
      </c>
      <c r="AJ12" s="298">
        <f>17908*('6.4.2 Estimación de ventas (Eje'!E59+'6.4.2 Estimación de ventas (Eje'!G59+'6.4.2 Estimación de ventas (Eje'!J59)</f>
        <v>232804</v>
      </c>
      <c r="AK12" s="298">
        <f>18982*('6.4.2 Estimación de ventas (Eje'!E60+'6.4.2 Estimación de ventas (Eje'!G60+'6.4.2 Estimación de ventas (Eje'!J60)</f>
        <v>227784</v>
      </c>
      <c r="AL12" s="298">
        <f>18982*('6.4.2 Estimación de ventas (Eje'!E61+'6.4.2 Estimación de ventas (Eje'!G61+'6.4.2 Estimación de ventas (Eje'!J61)</f>
        <v>227784</v>
      </c>
      <c r="AM12" s="298">
        <f>18982*('6.4.2 Estimación de ventas (Eje'!E62+'6.4.2 Estimación de ventas (Eje'!G62+'6.4.2 Estimación de ventas (Eje'!J62)</f>
        <v>208802</v>
      </c>
      <c r="AN12" s="304">
        <f t="shared" si="12"/>
        <v>2439256</v>
      </c>
      <c r="AO12" s="270"/>
    </row>
    <row r="13" ht="26.25" customHeight="1">
      <c r="A13" s="296" t="s">
        <v>233</v>
      </c>
      <c r="B13" s="297">
        <f>30000*(('6.4.2 Estimación de ventas (Eje'!C5*'6.4.2 Estimación de ventas (Eje'!E5)+('6.4.2 Estimación de ventas (Eje'!G5*16)+('6.4.2 Estimación de ventas (Eje'!J5*16))</f>
        <v>2130000</v>
      </c>
      <c r="C13" s="298">
        <f>30000*(('6.4.2 Estimación de ventas (Eje'!C6*'6.4.2 Estimación de ventas (Eje'!E6)+('6.4.2 Estimación de ventas (Eje'!G6*16)+('6.4.2 Estimación de ventas (Eje'!J6*16))</f>
        <v>2130000</v>
      </c>
      <c r="D13" s="298">
        <f>30000*(('6.4.2 Estimación de ventas (Eje'!C7*'6.4.2 Estimación de ventas (Eje'!E7)+('6.4.2 Estimación de ventas (Eje'!G7*16)+('6.4.2 Estimación de ventas (Eje'!J7*16))</f>
        <v>2700000</v>
      </c>
      <c r="E13" s="298">
        <f>31800*(('6.4.2 Estimación de ventas (Eje'!C8*'6.4.2 Estimación de ventas (Eje'!E8)+('6.4.2 Estimación de ventas (Eje'!G8*16)+('6.4.2 Estimación de ventas (Eje'!J8*16))</f>
        <v>3943200</v>
      </c>
      <c r="F13" s="298">
        <f>31800*(('6.4.2 Estimación de ventas (Eje'!C9*'6.4.2 Estimación de ventas (Eje'!E9)+('6.4.2 Estimación de ventas (Eje'!G9*16)+('6.4.2 Estimación de ventas (Eje'!J9*16))</f>
        <v>3943200</v>
      </c>
      <c r="G13" s="298">
        <f>31800*(('6.4.2 Estimación de ventas (Eje'!C10*'6.4.2 Estimación de ventas (Eje'!E10)+('6.4.2 Estimación de ventas (Eje'!G10*16)+('6.4.2 Estimación de ventas (Eje'!J10*16))</f>
        <v>3402600</v>
      </c>
      <c r="H13" s="302">
        <f>33708*(('6.4.2 Estimación de ventas (Eje'!C11*'6.4.2 Estimación de ventas (Eje'!E11)+('6.4.2 Estimación de ventas (Eje'!G11*16)+('6.4.2 Estimación de ventas (Eje'!J11*16))</f>
        <v>3505632</v>
      </c>
      <c r="I13" s="302">
        <f>33708*(('6.4.2 Estimación de ventas (Eje'!C12*'6.4.2 Estimación de ventas (Eje'!E12)+('6.4.2 Estimación de ventas (Eje'!G12*16)+('6.4.2 Estimación de ventas (Eje'!J12*16))</f>
        <v>3606756</v>
      </c>
      <c r="J13" s="302">
        <f>33708*(('6.4.2 Estimación de ventas (Eje'!C13*'6.4.2 Estimación de ventas (Eje'!E13)+('6.4.2 Estimación de ventas (Eje'!G13*16)+('6.4.2 Estimación de ventas (Eje'!J13*16))</f>
        <v>4853952</v>
      </c>
      <c r="K13" s="302">
        <f>35730*(('6.4.2 Estimación de ventas (Eje'!C14*'6.4.2 Estimación de ventas (Eje'!E14)+('6.4.2 Estimación de ventas (Eje'!G14*16)+('6.4.2 Estimación de ventas (Eje'!J14*16))</f>
        <v>4573440</v>
      </c>
      <c r="L13" s="302">
        <f>35730*(('6.4.2 Estimación de ventas (Eje'!C15*'6.4.2 Estimación de ventas (Eje'!E15)+('6.4.2 Estimación de ventas (Eje'!G15*16)+('6.4.2 Estimación de ventas (Eje'!J15*16))</f>
        <v>4144680</v>
      </c>
      <c r="M13" s="305">
        <f>35730*(('6.4.2 Estimación de ventas (Eje'!C16*'6.4.2 Estimación de ventas (Eje'!E16)+('6.4.2 Estimación de ventas (Eje'!G16*16)+('6.4.2 Estimación de ventas (Eje'!J16*16))</f>
        <v>4037490</v>
      </c>
      <c r="N13" s="300">
        <f t="shared" si="10"/>
        <v>42970950</v>
      </c>
      <c r="O13" s="301">
        <f>37874*(('6.4.2 Estimación de ventas (Eje'!C28*'6.4.2 Estimación de ventas (Eje'!E28)+('6.4.2 Estimación de ventas (Eje'!G28*16)+('6.4.2 Estimación de ventas (Eje'!J28*16))</f>
        <v>5075116</v>
      </c>
      <c r="P13" s="302">
        <f>37874*(('6.4.2 Estimación de ventas (Eje'!C29*'6.4.2 Estimación de ventas (Eje'!E29)+('6.4.2 Estimación de ventas (Eje'!G29*16)+('6.4.2 Estimación de ventas (Eje'!J29*16))</f>
        <v>4696376</v>
      </c>
      <c r="Q13" s="302">
        <f>37874*(('6.4.2 Estimación de ventas (Eje'!C30*'6.4.2 Estimación de ventas (Eje'!E30)+('6.4.2 Estimación de ventas (Eje'!G30*16)+('6.4.2 Estimación de ventas (Eje'!J30*16))</f>
        <v>5302360</v>
      </c>
      <c r="R13" s="302">
        <f>40146*(('6.4.2 Estimación de ventas (Eje'!C31*'6.4.2 Estimación de ventas (Eje'!E31)+('6.4.2 Estimación de ventas (Eje'!G31*16)+('6.4.2 Estimación de ventas (Eje'!J31*16))</f>
        <v>7708032</v>
      </c>
      <c r="S13" s="302">
        <f>40146*(('6.4.2 Estimación de ventas (Eje'!C32*'6.4.2 Estimación de ventas (Eje'!E32)+('6.4.2 Estimación de ventas (Eje'!G32*16)+('6.4.2 Estimación de ventas (Eje'!J32*16))</f>
        <v>5941608</v>
      </c>
      <c r="T13" s="302">
        <f>40146*(('6.4.2 Estimación de ventas (Eje'!C33*'6.4.2 Estimación de ventas (Eje'!E33)+('6.4.2 Estimación de ventas (Eje'!G33*16)+('6.4.2 Estimación de ventas (Eje'!J33*16))</f>
        <v>5941608</v>
      </c>
      <c r="U13" s="302">
        <f>42555*(('6.4.2 Estimación de ventas (Eje'!C34*'6.4.2 Estimación de ventas (Eje'!E34)+('6.4.2 Estimación de ventas (Eje'!G34*16)+('6.4.2 Estimación de ventas (Eje'!J34*16))</f>
        <v>6383250</v>
      </c>
      <c r="V13" s="302">
        <f>42555*(('6.4.2 Estimación de ventas (Eje'!C35*'6.4.2 Estimación de ventas (Eje'!E35)+('6.4.2 Estimación de ventas (Eje'!G35*16)+('6.4.2 Estimación de ventas (Eje'!J35*16))</f>
        <v>6553470</v>
      </c>
      <c r="W13" s="302">
        <f>42555*(('6.4.2 Estimación de ventas (Eje'!C36*'6.4.2 Estimación de ventas (Eje'!E36)+('6.4.2 Estimación de ventas (Eje'!G36*16)+('6.4.2 Estimación de ventas (Eje'!J36*16))</f>
        <v>7702455</v>
      </c>
      <c r="X13" s="302">
        <f>45108*(('6.4.2 Estimación de ventas (Eje'!C37*'6.4.2 Estimación de ventas (Eje'!E37)+('6.4.2 Estimación de ventas (Eje'!G37*16)+('6.4.2 Estimación de ventas (Eje'!J37*16))</f>
        <v>7939008</v>
      </c>
      <c r="Y13" s="302">
        <f>45108*(('6.4.2 Estimación de ventas (Eje'!C38*'6.4.2 Estimación de ventas (Eje'!E38)+('6.4.2 Estimación de ventas (Eje'!G38*16)+('6.4.2 Estimación de ventas (Eje'!J38*16))</f>
        <v>7397712</v>
      </c>
      <c r="Z13" s="305">
        <f>45108*(('6.4.2 Estimación de ventas (Eje'!C39*'6.4.2 Estimación de ventas (Eje'!E39)+('6.4.2 Estimación de ventas (Eje'!G39*16)+('6.4.2 Estimación de ventas (Eje'!J39*16))</f>
        <v>6991740</v>
      </c>
      <c r="AA13" s="300">
        <f t="shared" si="11"/>
        <v>77632735</v>
      </c>
      <c r="AB13" s="301">
        <f>47815*(('6.4.2 Estimación de ventas (Eje'!C51*'6.4.2 Estimación de ventas (Eje'!E51)+('6.4.2 Estimación de ventas (Eje'!G51*16)+('6.4.2 Estimación de ventas (Eje'!J51*16))</f>
        <v>8606700</v>
      </c>
      <c r="AC13" s="302">
        <f>47815*(('6.4.2 Estimación de ventas (Eje'!C52*'6.4.2 Estimación de ventas (Eje'!E52)+('6.4.2 Estimación de ventas (Eje'!G52*16)+('6.4.2 Estimación de ventas (Eje'!J52*16))</f>
        <v>7937290</v>
      </c>
      <c r="AD13" s="302">
        <f>47815*(('6.4.2 Estimación de ventas (Eje'!C53*'6.4.2 Estimación de ventas (Eje'!E53)+('6.4.2 Estimación de ventas (Eje'!G53*16)+('6.4.2 Estimación de ventas (Eje'!J53*16))</f>
        <v>8702330</v>
      </c>
      <c r="AE13" s="302">
        <f>50684*(('6.4.2 Estimación de ventas (Eje'!C54*'6.4.2 Estimación de ventas (Eje'!E54)+('6.4.2 Estimación de ventas (Eje'!G54*16)+('6.4.2 Estimación de ventas (Eje'!J54*16))</f>
        <v>10542272</v>
      </c>
      <c r="AF13" s="302">
        <f>50684*(('6.4.2 Estimación de ventas (Eje'!C55*'6.4.2 Estimación de ventas (Eje'!E55)+('6.4.2 Estimación de ventas (Eje'!G55*16)+('6.4.2 Estimación de ventas (Eje'!J55*16))</f>
        <v>9984748</v>
      </c>
      <c r="AG13" s="302">
        <f>50684*(('6.4.2 Estimación de ventas (Eje'!C56*'6.4.2 Estimación de ventas (Eje'!E56)+('6.4.2 Estimación de ventas (Eje'!G56*16)+('6.4.2 Estimación de ventas (Eje'!J56*16))</f>
        <v>8312176</v>
      </c>
      <c r="AH13" s="302">
        <f>53725*(('6.4.2 Estimación de ventas (Eje'!C57*'6.4.2 Estimación de ventas (Eje'!E57)+('6.4.2 Estimación de ventas (Eje'!G57*16)+('6.4.2 Estimación de ventas (Eje'!J57*16))</f>
        <v>8058750</v>
      </c>
      <c r="AI13" s="302">
        <f>53725*(('6.4.2 Estimación de ventas (Eje'!C58*'6.4.2 Estimación de ventas (Eje'!E58)+('6.4.2 Estimación de ventas (Eje'!G58*16)+('6.4.2 Estimación de ventas (Eje'!J58*16))</f>
        <v>8810900</v>
      </c>
      <c r="AJ13" s="302">
        <f>53725*(('6.4.2 Estimación de ventas (Eje'!C59*'6.4.2 Estimación de ventas (Eje'!E59)+('6.4.2 Estimación de ventas (Eje'!G59*16)+('6.4.2 Estimación de ventas (Eje'!J59*16))</f>
        <v>11497150</v>
      </c>
      <c r="AK13" s="302">
        <f>56948*(('6.4.2 Estimación de ventas (Eje'!C60*'6.4.2 Estimación de ventas (Eje'!E60)+('6.4.2 Estimación de ventas (Eje'!G60*16)+('6.4.2 Estimación de ventas (Eje'!J60*16))</f>
        <v>11275704</v>
      </c>
      <c r="AL13" s="302">
        <f>56948*(('6.4.2 Estimación de ventas (Eje'!C61*'6.4.2 Estimación de ventas (Eje'!E61)+('6.4.2 Estimación de ventas (Eje'!G61*16)+('6.4.2 Estimación de ventas (Eje'!J61*16))</f>
        <v>10250640</v>
      </c>
      <c r="AM13" s="302">
        <f>56948*(('6.4.2 Estimación de ventas (Eje'!C62*'6.4.2 Estimación de ventas (Eje'!E62)+('6.4.2 Estimación de ventas (Eje'!G62*16)+('6.4.2 Estimación de ventas (Eje'!J62*16))</f>
        <v>9738108</v>
      </c>
      <c r="AN13" s="304">
        <f t="shared" si="12"/>
        <v>113716768</v>
      </c>
      <c r="AO13" s="270"/>
    </row>
    <row r="14" ht="26.25" customHeight="1">
      <c r="A14" s="306" t="s">
        <v>234</v>
      </c>
      <c r="B14" s="307">
        <f>40500*8*('6.4.2 Estimación de ventas (Eje'!E5+'6.4.2 Estimación de ventas (Eje'!G5+'6.4.2 Estimación de ventas (Eje'!J5)</f>
        <v>1620000</v>
      </c>
      <c r="C14" s="307">
        <f>40500*8*('6.4.2 Estimación de ventas (Eje'!E6+'6.4.2 Estimación de ventas (Eje'!G6+'6.4.2 Estimación de ventas (Eje'!J6)</f>
        <v>1620000</v>
      </c>
      <c r="D14" s="308">
        <f>40500*8*('6.4.2 Estimación de ventas (Eje'!E7+'6.4.2 Estimación de ventas (Eje'!G7+'6.4.2 Estimación de ventas (Eje'!J7)</f>
        <v>1944000</v>
      </c>
      <c r="E14" s="308">
        <f>42930*8*('6.4.2 Estimación de ventas (Eje'!E8+'6.4.2 Estimación de ventas (Eje'!G8+'6.4.2 Estimación de ventas (Eje'!J8)</f>
        <v>2747520</v>
      </c>
      <c r="F14" s="308">
        <f>42930*8*('6.4.2 Estimación de ventas (Eje'!E9+'6.4.2 Estimación de ventas (Eje'!G9+'6.4.2 Estimación de ventas (Eje'!J9)</f>
        <v>2747520</v>
      </c>
      <c r="G14" s="308">
        <f>42930*8*('6.4.2 Estimación de ventas (Eje'!E10+'6.4.2 Estimación de ventas (Eje'!G10+'6.4.2 Estimación de ventas (Eje'!J10)</f>
        <v>2404080</v>
      </c>
      <c r="H14" s="308">
        <f>45505*8*('6.4.2 Estimación de ventas (Eje'!E11+'6.4.2 Estimación de ventas (Eje'!G11+'6.4.2 Estimación de ventas (Eje'!J11)</f>
        <v>2548280</v>
      </c>
      <c r="I14" s="308">
        <f>45505*8*('6.4.2 Estimación de ventas (Eje'!E12+'6.4.2 Estimación de ventas (Eje'!G12+'6.4.2 Estimación de ventas (Eje'!J12)</f>
        <v>2548280</v>
      </c>
      <c r="J14" s="308">
        <f>45505*8*('6.4.2 Estimación de ventas (Eje'!E13+'6.4.2 Estimación de ventas (Eje'!G13+'6.4.2 Estimación de ventas (Eje'!J13)</f>
        <v>3276360</v>
      </c>
      <c r="K14" s="308">
        <f>48236*8*('6.4.2 Estimación de ventas (Eje'!E14+'6.4.2 Estimación de ventas (Eje'!G14+'6.4.2 Estimación de ventas (Eje'!J14)</f>
        <v>3087104</v>
      </c>
      <c r="L14" s="308">
        <f>48236*8*('6.4.2 Estimación de ventas (Eje'!E15+'6.4.2 Estimación de ventas (Eje'!G15+'6.4.2 Estimación de ventas (Eje'!J15)</f>
        <v>3087104</v>
      </c>
      <c r="M14" s="308">
        <f>48236*8*('6.4.2 Estimación de ventas (Eje'!E16+'6.4.2 Estimación de ventas (Eje'!G16+'6.4.2 Estimación de ventas (Eje'!J16)</f>
        <v>3087104</v>
      </c>
      <c r="N14" s="309">
        <f>SUM(C14:M14)</f>
        <v>29097352</v>
      </c>
      <c r="O14" s="307">
        <f>51130*8*('6.4.2 Estimación de ventas (Eje'!E28+'6.4.2 Estimación de ventas (Eje'!G28+'6.4.2 Estimación de ventas (Eje'!J28)</f>
        <v>3681360</v>
      </c>
      <c r="P14" s="308">
        <f>51130*8*('6.4.2 Estimación de ventas (Eje'!E29+'6.4.2 Estimación de ventas (Eje'!G29+'6.4.2 Estimación de ventas (Eje'!J29)</f>
        <v>3272320</v>
      </c>
      <c r="Q14" s="308">
        <f>51130*8*('6.4.2 Estimación de ventas (Eje'!E30+'6.4.2 Estimación de ventas (Eje'!G30+'6.4.2 Estimación de ventas (Eje'!J30)</f>
        <v>3681360</v>
      </c>
      <c r="R14" s="308">
        <f>54198*8*('6.4.2 Estimación de ventas (Eje'!E31+'6.4.2 Estimación de ventas (Eje'!G31+'6.4.2 Estimación de ventas (Eje'!J31)</f>
        <v>5203008</v>
      </c>
      <c r="S14" s="308">
        <f>54198*8*('6.4.2 Estimación de ventas (Eje'!E32+'6.4.2 Estimación de ventas (Eje'!G32+'6.4.2 Estimación de ventas (Eje'!J32)</f>
        <v>3902256</v>
      </c>
      <c r="T14" s="308">
        <f>54198*8*('6.4.2 Estimación de ventas (Eje'!E33+'6.4.2 Estimación de ventas (Eje'!G33+'6.4.2 Estimación de ventas (Eje'!J33)</f>
        <v>4335840</v>
      </c>
      <c r="U14" s="308">
        <f>57450*8*('6.4.2 Estimación de ventas (Eje'!E34+'6.4.2 Estimación de ventas (Eje'!G34+'6.4.2 Estimación de ventas (Eje'!J34)</f>
        <v>4596000</v>
      </c>
      <c r="V14" s="308">
        <f>57450*8*('6.4.2 Estimación de ventas (Eje'!E35+'6.4.2 Estimación de ventas (Eje'!G35+'6.4.2 Estimación de ventas (Eje'!J35)</f>
        <v>4596000</v>
      </c>
      <c r="W14" s="308">
        <f>57450*8*('6.4.2 Estimación de ventas (Eje'!E36+'6.4.2 Estimación de ventas (Eje'!G36+'6.4.2 Estimación de ventas (Eje'!J36)</f>
        <v>5055600</v>
      </c>
      <c r="X14" s="308">
        <f>60897*8*('6.4.2 Estimación de ventas (Eje'!E37+'6.4.2 Estimación de ventas (Eje'!G37+'6.4.2 Estimación de ventas (Eje'!J37)</f>
        <v>5358936</v>
      </c>
      <c r="Y14" s="308">
        <f>60897*8*('6.4.2 Estimación de ventas (Eje'!E38+'6.4.2 Estimación de ventas (Eje'!G38+'6.4.2 Estimación de ventas (Eje'!J38)</f>
        <v>5358936</v>
      </c>
      <c r="Z14" s="308">
        <f>60897*8*('6.4.2 Estimación de ventas (Eje'!E39+'6.4.2 Estimación de ventas (Eje'!G39+'6.4.2 Estimación de ventas (Eje'!J39)</f>
        <v>4871760</v>
      </c>
      <c r="AA14" s="309">
        <f t="shared" si="11"/>
        <v>53913376</v>
      </c>
      <c r="AB14" s="307">
        <f>64550*8*('6.4.2 Estimación de ventas (Eje'!E51+'6.4.2 Estimación de ventas (Eje'!G51+'6.4.2 Estimación de ventas (Eje'!J51)</f>
        <v>6196800</v>
      </c>
      <c r="AC14" s="308">
        <f>64550*8*('6.4.2 Estimación de ventas (Eje'!E52+'6.4.2 Estimación de ventas (Eje'!G52+'6.4.2 Estimación de ventas (Eje'!J52)</f>
        <v>5680400</v>
      </c>
      <c r="AD14" s="308">
        <f>64550*8*('6.4.2 Estimación de ventas (Eje'!E53+'6.4.2 Estimación de ventas (Eje'!G53+'6.4.2 Estimación de ventas (Eje'!J53)</f>
        <v>6196800</v>
      </c>
      <c r="AE14" s="308">
        <f>68423*8*('6.4.2 Estimación de ventas (Eje'!E54+'6.4.2 Estimación de ventas (Eje'!G54+'6.4.2 Estimación de ventas (Eje'!J54)</f>
        <v>7115992</v>
      </c>
      <c r="AF14" s="308">
        <f>68423*8*('6.4.2 Estimación de ventas (Eje'!E55+'6.4.2 Estimación de ventas (Eje'!G55+'6.4.2 Estimación de ventas (Eje'!J55)</f>
        <v>6568608</v>
      </c>
      <c r="AG14" s="308">
        <f>68423*8*('6.4.2 Estimación de ventas (Eje'!E56+'6.4.2 Estimación de ventas (Eje'!G56+'6.4.2 Estimación de ventas (Eje'!J56)</f>
        <v>6021224</v>
      </c>
      <c r="AH14" s="308">
        <f>72529*8*('6.4.2 Estimación de ventas (Eje'!E57+'6.4.2 Estimación de ventas (Eje'!G57+'6.4.2 Estimación de ventas (Eje'!J57)</f>
        <v>5802320</v>
      </c>
      <c r="AI14" s="308">
        <f>72529*8*('6.4.2 Estimación de ventas (Eje'!E58+'6.4.2 Estimación de ventas (Eje'!G58+'6.4.2 Estimación de ventas (Eje'!J58)</f>
        <v>6382552</v>
      </c>
      <c r="AJ14" s="308">
        <f>72529*8*('6.4.2 Estimación de ventas (Eje'!E59+'6.4.2 Estimación de ventas (Eje'!G59+'6.4.2 Estimación de ventas (Eje'!J59)</f>
        <v>7543016</v>
      </c>
      <c r="AK14" s="308">
        <f>76881*8*('6.4.2 Estimación de ventas (Eje'!E60+'6.4.2 Estimación de ventas (Eje'!G60+'6.4.2 Estimación de ventas (Eje'!J60)</f>
        <v>7380576</v>
      </c>
      <c r="AL14" s="308">
        <f>76881*8*('6.4.2 Estimación de ventas (Eje'!E61+'6.4.2 Estimación de ventas (Eje'!G61+'6.4.2 Estimación de ventas (Eje'!J61)</f>
        <v>7380576</v>
      </c>
      <c r="AM14" s="308">
        <f>76881*8*('6.4.2 Estimación de ventas (Eje'!E62+'6.4.2 Estimación de ventas (Eje'!G62+'6.4.2 Estimación de ventas (Eje'!J62)</f>
        <v>6765528</v>
      </c>
      <c r="AN14" s="309">
        <f t="shared" si="12"/>
        <v>79034392</v>
      </c>
      <c r="AO14" s="310"/>
    </row>
    <row r="15" ht="26.25" customHeight="1">
      <c r="A15" s="311" t="s">
        <v>235</v>
      </c>
      <c r="B15" s="312">
        <f>'6.5 Sueldos y cargas sociales'!C9</f>
        <v>5400000</v>
      </c>
      <c r="C15" s="313">
        <f t="shared" ref="C15:D15" si="13">B15</f>
        <v>5400000</v>
      </c>
      <c r="D15" s="313">
        <f t="shared" si="13"/>
        <v>5400000</v>
      </c>
      <c r="E15" s="313">
        <f t="shared" ref="E15:E22" si="26">D15*1.06</f>
        <v>5724000</v>
      </c>
      <c r="F15" s="313">
        <f t="shared" ref="F15:G15" si="14">E15</f>
        <v>5724000</v>
      </c>
      <c r="G15" s="313">
        <f t="shared" si="14"/>
        <v>5724000</v>
      </c>
      <c r="H15" s="313">
        <f t="shared" ref="H15:H22" si="28">G15*1.06</f>
        <v>6067440</v>
      </c>
      <c r="I15" s="313">
        <f t="shared" ref="I15:J15" si="15">H15</f>
        <v>6067440</v>
      </c>
      <c r="J15" s="313">
        <f t="shared" si="15"/>
        <v>6067440</v>
      </c>
      <c r="K15" s="313">
        <f t="shared" ref="K15:K22" si="30">J15*1.06</f>
        <v>6431486.4</v>
      </c>
      <c r="L15" s="313">
        <f t="shared" ref="L15:M15" si="16">K15</f>
        <v>6431486.4</v>
      </c>
      <c r="M15" s="314">
        <f t="shared" si="16"/>
        <v>6431486.4</v>
      </c>
      <c r="N15" s="315">
        <f t="shared" ref="N15:N33" si="32">SUM(B15:M15)</f>
        <v>70868779.2</v>
      </c>
      <c r="O15" s="316">
        <f t="shared" ref="O15:O22" si="33">M15*1.06</f>
        <v>6817375.584</v>
      </c>
      <c r="P15" s="313">
        <f t="shared" ref="P15:Q15" si="17">O15</f>
        <v>6817375.584</v>
      </c>
      <c r="Q15" s="313">
        <f t="shared" si="17"/>
        <v>6817375.584</v>
      </c>
      <c r="R15" s="313">
        <f t="shared" ref="R15:R17" si="35">P15*1.06</f>
        <v>7226418.119</v>
      </c>
      <c r="S15" s="313">
        <f t="shared" ref="S15:T15" si="18">R15</f>
        <v>7226418.119</v>
      </c>
      <c r="T15" s="313">
        <f t="shared" si="18"/>
        <v>7226418.119</v>
      </c>
      <c r="U15" s="313">
        <f t="shared" ref="U15:U24" si="37">S15*1.06</f>
        <v>7660003.206</v>
      </c>
      <c r="V15" s="313">
        <f t="shared" ref="V15:W15" si="19">U15</f>
        <v>7660003.206</v>
      </c>
      <c r="W15" s="313">
        <f t="shared" si="19"/>
        <v>7660003.206</v>
      </c>
      <c r="X15" s="313">
        <f t="shared" ref="X15:X17" si="39">V15*1.06</f>
        <v>8119603.399</v>
      </c>
      <c r="Y15" s="313">
        <f t="shared" ref="Y15:Z15" si="20">X15</f>
        <v>8119603.399</v>
      </c>
      <c r="Z15" s="314">
        <f t="shared" si="20"/>
        <v>8119603.399</v>
      </c>
      <c r="AA15" s="315">
        <f t="shared" si="11"/>
        <v>89470200.92</v>
      </c>
      <c r="AB15" s="316">
        <f t="shared" ref="AB15:AB22" si="41">Z15*1.06</f>
        <v>8606779.602</v>
      </c>
      <c r="AC15" s="313">
        <f t="shared" ref="AC15:AD15" si="21">AB15</f>
        <v>8606779.602</v>
      </c>
      <c r="AD15" s="313">
        <f t="shared" si="21"/>
        <v>8606779.602</v>
      </c>
      <c r="AE15" s="313">
        <f t="shared" ref="AE15:AE22" si="43">AD15*1.06</f>
        <v>9123186.379</v>
      </c>
      <c r="AF15" s="313">
        <f t="shared" ref="AF15:AG15" si="22">AE15</f>
        <v>9123186.379</v>
      </c>
      <c r="AG15" s="313">
        <f t="shared" si="22"/>
        <v>9123186.379</v>
      </c>
      <c r="AH15" s="313">
        <f t="shared" ref="AH15:AH24" si="45">AF15*1.06</f>
        <v>9670577.561</v>
      </c>
      <c r="AI15" s="313">
        <f t="shared" ref="AI15:AJ15" si="23">AH15</f>
        <v>9670577.561</v>
      </c>
      <c r="AJ15" s="313">
        <f t="shared" si="23"/>
        <v>9670577.561</v>
      </c>
      <c r="AK15" s="313">
        <f t="shared" ref="AK15:AK22" si="47">AJ15*1.06</f>
        <v>10250812.22</v>
      </c>
      <c r="AL15" s="313">
        <f t="shared" ref="AL15:AM15" si="24">AK15</f>
        <v>10250812.22</v>
      </c>
      <c r="AM15" s="313">
        <f t="shared" si="24"/>
        <v>10250812.22</v>
      </c>
      <c r="AN15" s="317">
        <f t="shared" si="12"/>
        <v>112954067.3</v>
      </c>
      <c r="AO15" s="270"/>
    </row>
    <row r="16" ht="26.25" customHeight="1">
      <c r="A16" s="318" t="s">
        <v>236</v>
      </c>
      <c r="B16" s="319">
        <f>'6.5 Sueldos y cargas sociales'!C10</f>
        <v>450000</v>
      </c>
      <c r="C16" s="320">
        <f t="shared" ref="C16:D16" si="25">B16</f>
        <v>450000</v>
      </c>
      <c r="D16" s="320">
        <f t="shared" si="25"/>
        <v>450000</v>
      </c>
      <c r="E16" s="320">
        <f t="shared" si="26"/>
        <v>477000</v>
      </c>
      <c r="F16" s="320">
        <f t="shared" ref="F16:G16" si="27">E16</f>
        <v>477000</v>
      </c>
      <c r="G16" s="320">
        <f t="shared" si="27"/>
        <v>477000</v>
      </c>
      <c r="H16" s="320">
        <f t="shared" si="28"/>
        <v>505620</v>
      </c>
      <c r="I16" s="320">
        <f t="shared" ref="I16:J16" si="29">H16</f>
        <v>505620</v>
      </c>
      <c r="J16" s="320">
        <f t="shared" si="29"/>
        <v>505620</v>
      </c>
      <c r="K16" s="320">
        <f t="shared" si="30"/>
        <v>535957.2</v>
      </c>
      <c r="L16" s="320">
        <f t="shared" ref="L16:M16" si="31">K16</f>
        <v>535957.2</v>
      </c>
      <c r="M16" s="321">
        <f t="shared" si="31"/>
        <v>535957.2</v>
      </c>
      <c r="N16" s="300">
        <f t="shared" si="32"/>
        <v>5905731.6</v>
      </c>
      <c r="O16" s="322">
        <f t="shared" si="33"/>
        <v>568114.632</v>
      </c>
      <c r="P16" s="320">
        <f t="shared" ref="P16:Q16" si="34">O16</f>
        <v>568114.632</v>
      </c>
      <c r="Q16" s="320">
        <f t="shared" si="34"/>
        <v>568114.632</v>
      </c>
      <c r="R16" s="320">
        <f t="shared" si="35"/>
        <v>602201.5099</v>
      </c>
      <c r="S16" s="320">
        <f t="shared" ref="S16:T16" si="36">R16</f>
        <v>602201.5099</v>
      </c>
      <c r="T16" s="320">
        <f t="shared" si="36"/>
        <v>602201.5099</v>
      </c>
      <c r="U16" s="320">
        <f t="shared" si="37"/>
        <v>638333.6005</v>
      </c>
      <c r="V16" s="320">
        <f t="shared" ref="V16:W16" si="38">U16</f>
        <v>638333.6005</v>
      </c>
      <c r="W16" s="320">
        <f t="shared" si="38"/>
        <v>638333.6005</v>
      </c>
      <c r="X16" s="320">
        <f t="shared" si="39"/>
        <v>676633.6165</v>
      </c>
      <c r="Y16" s="320">
        <f t="shared" ref="Y16:Z16" si="40">X16</f>
        <v>676633.6165</v>
      </c>
      <c r="Z16" s="321">
        <f t="shared" si="40"/>
        <v>676633.6165</v>
      </c>
      <c r="AA16" s="300">
        <f t="shared" si="11"/>
        <v>7455850.077</v>
      </c>
      <c r="AB16" s="322">
        <f t="shared" si="41"/>
        <v>717231.6335</v>
      </c>
      <c r="AC16" s="320">
        <f t="shared" ref="AC16:AD16" si="42">AB16</f>
        <v>717231.6335</v>
      </c>
      <c r="AD16" s="320">
        <f t="shared" si="42"/>
        <v>717231.6335</v>
      </c>
      <c r="AE16" s="320">
        <f t="shared" si="43"/>
        <v>760265.5316</v>
      </c>
      <c r="AF16" s="320">
        <f t="shared" ref="AF16:AG16" si="44">AE16</f>
        <v>760265.5316</v>
      </c>
      <c r="AG16" s="320">
        <f t="shared" si="44"/>
        <v>760265.5316</v>
      </c>
      <c r="AH16" s="320">
        <f t="shared" si="45"/>
        <v>805881.4634</v>
      </c>
      <c r="AI16" s="320">
        <f t="shared" ref="AI16:AJ16" si="46">AH16</f>
        <v>805881.4634</v>
      </c>
      <c r="AJ16" s="320">
        <f t="shared" si="46"/>
        <v>805881.4634</v>
      </c>
      <c r="AK16" s="320">
        <f t="shared" si="47"/>
        <v>854234.3513</v>
      </c>
      <c r="AL16" s="320">
        <f t="shared" ref="AL16:AM16" si="48">AK16</f>
        <v>854234.3513</v>
      </c>
      <c r="AM16" s="320">
        <f t="shared" si="48"/>
        <v>854234.3513</v>
      </c>
      <c r="AN16" s="304">
        <f t="shared" si="12"/>
        <v>9412838.939</v>
      </c>
      <c r="AO16" s="270"/>
    </row>
    <row r="17" ht="26.25" customHeight="1">
      <c r="A17" s="323" t="s">
        <v>237</v>
      </c>
      <c r="B17" s="324">
        <f>'6.5 Sueldos y cargas sociales'!C22</f>
        <v>1669005</v>
      </c>
      <c r="C17" s="325">
        <f t="shared" ref="C17:D17" si="49">B17</f>
        <v>1669005</v>
      </c>
      <c r="D17" s="325">
        <f t="shared" si="49"/>
        <v>1669005</v>
      </c>
      <c r="E17" s="325">
        <f t="shared" si="26"/>
        <v>1769145.3</v>
      </c>
      <c r="F17" s="325">
        <f t="shared" ref="F17:G17" si="50">E17</f>
        <v>1769145.3</v>
      </c>
      <c r="G17" s="325">
        <f t="shared" si="50"/>
        <v>1769145.3</v>
      </c>
      <c r="H17" s="325">
        <f t="shared" si="28"/>
        <v>1875294.018</v>
      </c>
      <c r="I17" s="325">
        <f t="shared" ref="I17:J17" si="51">H17</f>
        <v>1875294.018</v>
      </c>
      <c r="J17" s="325">
        <f t="shared" si="51"/>
        <v>1875294.018</v>
      </c>
      <c r="K17" s="325">
        <f t="shared" si="30"/>
        <v>1987811.659</v>
      </c>
      <c r="L17" s="325">
        <f t="shared" ref="L17:M17" si="52">K17</f>
        <v>1987811.659</v>
      </c>
      <c r="M17" s="326">
        <f t="shared" si="52"/>
        <v>1987811.659</v>
      </c>
      <c r="N17" s="327">
        <f t="shared" si="32"/>
        <v>21903767.93</v>
      </c>
      <c r="O17" s="328">
        <f t="shared" si="33"/>
        <v>2107080.359</v>
      </c>
      <c r="P17" s="325">
        <f t="shared" ref="P17:Q17" si="53">O17</f>
        <v>2107080.359</v>
      </c>
      <c r="Q17" s="325">
        <f t="shared" si="53"/>
        <v>2107080.359</v>
      </c>
      <c r="R17" s="325">
        <f t="shared" si="35"/>
        <v>2233505.18</v>
      </c>
      <c r="S17" s="325">
        <f t="shared" ref="S17:T17" si="54">R17</f>
        <v>2233505.18</v>
      </c>
      <c r="T17" s="325">
        <f t="shared" si="54"/>
        <v>2233505.18</v>
      </c>
      <c r="U17" s="325">
        <f t="shared" si="37"/>
        <v>2367515.491</v>
      </c>
      <c r="V17" s="325">
        <f t="shared" ref="V17:W17" si="55">U17</f>
        <v>2367515.491</v>
      </c>
      <c r="W17" s="325">
        <f t="shared" si="55"/>
        <v>2367515.491</v>
      </c>
      <c r="X17" s="325">
        <f t="shared" si="39"/>
        <v>2509566.42</v>
      </c>
      <c r="Y17" s="325">
        <f t="shared" ref="Y17:Z17" si="56">X17</f>
        <v>2509566.42</v>
      </c>
      <c r="Z17" s="326">
        <f t="shared" si="56"/>
        <v>2509566.42</v>
      </c>
      <c r="AA17" s="327">
        <f t="shared" si="11"/>
        <v>27653002.35</v>
      </c>
      <c r="AB17" s="328">
        <f t="shared" si="41"/>
        <v>2660140.406</v>
      </c>
      <c r="AC17" s="325">
        <f t="shared" ref="AC17:AD17" si="57">AB17</f>
        <v>2660140.406</v>
      </c>
      <c r="AD17" s="325">
        <f t="shared" si="57"/>
        <v>2660140.406</v>
      </c>
      <c r="AE17" s="325">
        <f t="shared" si="43"/>
        <v>2819748.83</v>
      </c>
      <c r="AF17" s="325">
        <f t="shared" ref="AF17:AG17" si="58">AE17</f>
        <v>2819748.83</v>
      </c>
      <c r="AG17" s="325">
        <f t="shared" si="58"/>
        <v>2819748.83</v>
      </c>
      <c r="AH17" s="325">
        <f t="shared" si="45"/>
        <v>2988933.76</v>
      </c>
      <c r="AI17" s="325">
        <f t="shared" ref="AI17:AJ17" si="59">AH17</f>
        <v>2988933.76</v>
      </c>
      <c r="AJ17" s="325">
        <f t="shared" si="59"/>
        <v>2988933.76</v>
      </c>
      <c r="AK17" s="325">
        <f t="shared" si="47"/>
        <v>3168269.785</v>
      </c>
      <c r="AL17" s="325">
        <f t="shared" ref="AL17:AM17" si="60">AK17</f>
        <v>3168269.785</v>
      </c>
      <c r="AM17" s="325">
        <f t="shared" si="60"/>
        <v>3168269.785</v>
      </c>
      <c r="AN17" s="267">
        <f t="shared" si="12"/>
        <v>34911278.34</v>
      </c>
      <c r="AO17" s="270"/>
    </row>
    <row r="18" ht="26.25" customHeight="1">
      <c r="A18" s="329" t="s">
        <v>238</v>
      </c>
      <c r="B18" s="297">
        <v>500000.0</v>
      </c>
      <c r="C18" s="302">
        <f t="shared" ref="C18:D18" si="61">B18</f>
        <v>500000</v>
      </c>
      <c r="D18" s="302">
        <f t="shared" si="61"/>
        <v>500000</v>
      </c>
      <c r="E18" s="302">
        <f t="shared" si="26"/>
        <v>530000</v>
      </c>
      <c r="F18" s="298">
        <f t="shared" ref="F18:G18" si="62">E18</f>
        <v>530000</v>
      </c>
      <c r="G18" s="298">
        <f t="shared" si="62"/>
        <v>530000</v>
      </c>
      <c r="H18" s="302">
        <f t="shared" si="28"/>
        <v>561800</v>
      </c>
      <c r="I18" s="298">
        <f t="shared" ref="I18:J18" si="63">H18</f>
        <v>561800</v>
      </c>
      <c r="J18" s="298">
        <f t="shared" si="63"/>
        <v>561800</v>
      </c>
      <c r="K18" s="302">
        <f t="shared" si="30"/>
        <v>595508</v>
      </c>
      <c r="L18" s="298">
        <f t="shared" ref="L18:M18" si="64">K18</f>
        <v>595508</v>
      </c>
      <c r="M18" s="299">
        <f t="shared" si="64"/>
        <v>595508</v>
      </c>
      <c r="N18" s="300">
        <f t="shared" si="32"/>
        <v>6561924</v>
      </c>
      <c r="O18" s="301">
        <f t="shared" si="33"/>
        <v>631238.48</v>
      </c>
      <c r="P18" s="302">
        <f t="shared" ref="P18:Q18" si="65">O18</f>
        <v>631238.48</v>
      </c>
      <c r="Q18" s="302">
        <f t="shared" si="65"/>
        <v>631238.48</v>
      </c>
      <c r="R18" s="302">
        <f t="shared" ref="R18:R22" si="77">Q18*1.06</f>
        <v>669112.7888</v>
      </c>
      <c r="S18" s="302">
        <f t="shared" ref="S18:T18" si="66">R18</f>
        <v>669112.7888</v>
      </c>
      <c r="T18" s="302">
        <f t="shared" si="66"/>
        <v>669112.7888</v>
      </c>
      <c r="U18" s="302">
        <f t="shared" si="37"/>
        <v>709259.5561</v>
      </c>
      <c r="V18" s="302">
        <f t="shared" ref="V18:W18" si="67">U18</f>
        <v>709259.5561</v>
      </c>
      <c r="W18" s="302">
        <f t="shared" si="67"/>
        <v>709259.5561</v>
      </c>
      <c r="X18" s="302">
        <f t="shared" ref="X18:X24" si="80">W18*1.06</f>
        <v>751815.1295</v>
      </c>
      <c r="Y18" s="302">
        <f t="shared" ref="Y18:Z18" si="68">X18</f>
        <v>751815.1295</v>
      </c>
      <c r="Z18" s="305">
        <f t="shared" si="68"/>
        <v>751815.1295</v>
      </c>
      <c r="AA18" s="300">
        <f t="shared" si="11"/>
        <v>8284277.863</v>
      </c>
      <c r="AB18" s="301">
        <f t="shared" si="41"/>
        <v>796924.0373</v>
      </c>
      <c r="AC18" s="302">
        <f t="shared" ref="AC18:AD18" si="69">AB18</f>
        <v>796924.0373</v>
      </c>
      <c r="AD18" s="302">
        <f t="shared" si="69"/>
        <v>796924.0373</v>
      </c>
      <c r="AE18" s="302">
        <f t="shared" si="43"/>
        <v>844739.4795</v>
      </c>
      <c r="AF18" s="302">
        <f t="shared" ref="AF18:AG18" si="70">AE18</f>
        <v>844739.4795</v>
      </c>
      <c r="AG18" s="302">
        <f t="shared" si="70"/>
        <v>844739.4795</v>
      </c>
      <c r="AH18" s="302">
        <f t="shared" si="45"/>
        <v>895423.8483</v>
      </c>
      <c r="AI18" s="302">
        <f t="shared" ref="AI18:AJ18" si="71">AH18</f>
        <v>895423.8483</v>
      </c>
      <c r="AJ18" s="302">
        <f t="shared" si="71"/>
        <v>895423.8483</v>
      </c>
      <c r="AK18" s="302">
        <f t="shared" si="47"/>
        <v>949149.2792</v>
      </c>
      <c r="AL18" s="302">
        <f t="shared" ref="AL18:AM18" si="72">AK18</f>
        <v>949149.2792</v>
      </c>
      <c r="AM18" s="302">
        <f t="shared" si="72"/>
        <v>949149.2792</v>
      </c>
      <c r="AN18" s="304">
        <f t="shared" si="12"/>
        <v>10458709.93</v>
      </c>
      <c r="AO18" s="270"/>
    </row>
    <row r="19" ht="26.25" customHeight="1">
      <c r="A19" s="330" t="s">
        <v>239</v>
      </c>
      <c r="B19" s="297">
        <v>18500.0</v>
      </c>
      <c r="C19" s="297">
        <v>18500.0</v>
      </c>
      <c r="D19" s="302">
        <f t="shared" ref="D19:D20" si="86">C19</f>
        <v>18500</v>
      </c>
      <c r="E19" s="302">
        <f t="shared" si="26"/>
        <v>19610</v>
      </c>
      <c r="F19" s="298">
        <f t="shared" ref="F19:G19" si="73">E19</f>
        <v>19610</v>
      </c>
      <c r="G19" s="298">
        <f t="shared" si="73"/>
        <v>19610</v>
      </c>
      <c r="H19" s="302">
        <f t="shared" si="28"/>
        <v>20786.6</v>
      </c>
      <c r="I19" s="298">
        <f t="shared" ref="I19:J19" si="74">H19</f>
        <v>20786.6</v>
      </c>
      <c r="J19" s="298">
        <f t="shared" si="74"/>
        <v>20786.6</v>
      </c>
      <c r="K19" s="302">
        <f t="shared" si="30"/>
        <v>22033.796</v>
      </c>
      <c r="L19" s="298">
        <f t="shared" ref="L19:M19" si="75">K19</f>
        <v>22033.796</v>
      </c>
      <c r="M19" s="299">
        <f t="shared" si="75"/>
        <v>22033.796</v>
      </c>
      <c r="N19" s="300">
        <f t="shared" si="32"/>
        <v>242791.188</v>
      </c>
      <c r="O19" s="301">
        <f t="shared" si="33"/>
        <v>23355.82376</v>
      </c>
      <c r="P19" s="302">
        <f t="shared" ref="P19:Q19" si="76">O19</f>
        <v>23355.82376</v>
      </c>
      <c r="Q19" s="302">
        <f t="shared" si="76"/>
        <v>23355.82376</v>
      </c>
      <c r="R19" s="302">
        <f t="shared" si="77"/>
        <v>24757.17319</v>
      </c>
      <c r="S19" s="302">
        <f t="shared" ref="S19:T19" si="78">R19</f>
        <v>24757.17319</v>
      </c>
      <c r="T19" s="302">
        <f t="shared" si="78"/>
        <v>24757.17319</v>
      </c>
      <c r="U19" s="302">
        <f t="shared" si="37"/>
        <v>26242.60358</v>
      </c>
      <c r="V19" s="302">
        <f t="shared" ref="V19:W19" si="79">U19</f>
        <v>26242.60358</v>
      </c>
      <c r="W19" s="302">
        <f t="shared" si="79"/>
        <v>26242.60358</v>
      </c>
      <c r="X19" s="302">
        <f t="shared" si="80"/>
        <v>27817.15979</v>
      </c>
      <c r="Y19" s="302">
        <f t="shared" ref="Y19:Z19" si="81">X19</f>
        <v>27817.15979</v>
      </c>
      <c r="Z19" s="305">
        <f t="shared" si="81"/>
        <v>27817.15979</v>
      </c>
      <c r="AA19" s="300">
        <f t="shared" si="11"/>
        <v>306518.2809</v>
      </c>
      <c r="AB19" s="301">
        <f t="shared" si="41"/>
        <v>29486.18938</v>
      </c>
      <c r="AC19" s="302">
        <f t="shared" ref="AC19:AD19" si="82">AB19</f>
        <v>29486.18938</v>
      </c>
      <c r="AD19" s="302">
        <f t="shared" si="82"/>
        <v>29486.18938</v>
      </c>
      <c r="AE19" s="302">
        <f t="shared" si="43"/>
        <v>31255.36074</v>
      </c>
      <c r="AF19" s="302">
        <f t="shared" ref="AF19:AG19" si="83">AE19</f>
        <v>31255.36074</v>
      </c>
      <c r="AG19" s="302">
        <f t="shared" si="83"/>
        <v>31255.36074</v>
      </c>
      <c r="AH19" s="302">
        <f t="shared" si="45"/>
        <v>33130.68239</v>
      </c>
      <c r="AI19" s="302">
        <f t="shared" ref="AI19:AJ19" si="84">AH19</f>
        <v>33130.68239</v>
      </c>
      <c r="AJ19" s="302">
        <f t="shared" si="84"/>
        <v>33130.68239</v>
      </c>
      <c r="AK19" s="302">
        <f t="shared" si="47"/>
        <v>35118.52333</v>
      </c>
      <c r="AL19" s="302">
        <f t="shared" ref="AL19:AM19" si="85">AK19</f>
        <v>35118.52333</v>
      </c>
      <c r="AM19" s="302">
        <f t="shared" si="85"/>
        <v>35118.52333</v>
      </c>
      <c r="AN19" s="304">
        <f t="shared" si="12"/>
        <v>386972.2675</v>
      </c>
      <c r="AO19" s="270"/>
    </row>
    <row r="20" ht="26.25" customHeight="1">
      <c r="A20" s="331" t="s">
        <v>240</v>
      </c>
      <c r="B20" s="297">
        <v>120000.0</v>
      </c>
      <c r="C20" s="298">
        <v>120000.0</v>
      </c>
      <c r="D20" s="302">
        <f t="shared" si="86"/>
        <v>120000</v>
      </c>
      <c r="E20" s="302">
        <f t="shared" si="26"/>
        <v>127200</v>
      </c>
      <c r="F20" s="298">
        <f t="shared" ref="F20:G20" si="87">E20</f>
        <v>127200</v>
      </c>
      <c r="G20" s="298">
        <f t="shared" si="87"/>
        <v>127200</v>
      </c>
      <c r="H20" s="302">
        <f t="shared" si="28"/>
        <v>134832</v>
      </c>
      <c r="I20" s="298">
        <f t="shared" ref="I20:J20" si="88">H20</f>
        <v>134832</v>
      </c>
      <c r="J20" s="298">
        <f t="shared" si="88"/>
        <v>134832</v>
      </c>
      <c r="K20" s="302">
        <f t="shared" si="30"/>
        <v>142921.92</v>
      </c>
      <c r="L20" s="298">
        <f t="shared" ref="L20:M20" si="89">K20</f>
        <v>142921.92</v>
      </c>
      <c r="M20" s="299">
        <f t="shared" si="89"/>
        <v>142921.92</v>
      </c>
      <c r="N20" s="300">
        <f t="shared" si="32"/>
        <v>1574861.76</v>
      </c>
      <c r="O20" s="301">
        <f t="shared" si="33"/>
        <v>151497.2352</v>
      </c>
      <c r="P20" s="302">
        <f t="shared" ref="P20:Q20" si="90">O20</f>
        <v>151497.2352</v>
      </c>
      <c r="Q20" s="302">
        <f t="shared" si="90"/>
        <v>151497.2352</v>
      </c>
      <c r="R20" s="302">
        <f t="shared" si="77"/>
        <v>160587.0693</v>
      </c>
      <c r="S20" s="302">
        <f t="shared" ref="S20:T20" si="91">R20</f>
        <v>160587.0693</v>
      </c>
      <c r="T20" s="302">
        <f t="shared" si="91"/>
        <v>160587.0693</v>
      </c>
      <c r="U20" s="302">
        <f t="shared" si="37"/>
        <v>170222.2935</v>
      </c>
      <c r="V20" s="302">
        <f t="shared" ref="V20:W20" si="92">U20</f>
        <v>170222.2935</v>
      </c>
      <c r="W20" s="302">
        <f t="shared" si="92"/>
        <v>170222.2935</v>
      </c>
      <c r="X20" s="302">
        <f t="shared" si="80"/>
        <v>180435.6311</v>
      </c>
      <c r="Y20" s="302">
        <f t="shared" ref="Y20:Z20" si="93">X20</f>
        <v>180435.6311</v>
      </c>
      <c r="Z20" s="305">
        <f t="shared" si="93"/>
        <v>180435.6311</v>
      </c>
      <c r="AA20" s="300">
        <f t="shared" si="11"/>
        <v>1988226.687</v>
      </c>
      <c r="AB20" s="301">
        <f t="shared" si="41"/>
        <v>191261.7689</v>
      </c>
      <c r="AC20" s="302">
        <f t="shared" ref="AC20:AD20" si="94">AB20</f>
        <v>191261.7689</v>
      </c>
      <c r="AD20" s="302">
        <f t="shared" si="94"/>
        <v>191261.7689</v>
      </c>
      <c r="AE20" s="302">
        <f t="shared" si="43"/>
        <v>202737.4751</v>
      </c>
      <c r="AF20" s="302">
        <f t="shared" ref="AF20:AG20" si="95">AE20</f>
        <v>202737.4751</v>
      </c>
      <c r="AG20" s="302">
        <f t="shared" si="95"/>
        <v>202737.4751</v>
      </c>
      <c r="AH20" s="302">
        <f t="shared" si="45"/>
        <v>214901.7236</v>
      </c>
      <c r="AI20" s="302">
        <f t="shared" ref="AI20:AJ20" si="96">AH20</f>
        <v>214901.7236</v>
      </c>
      <c r="AJ20" s="302">
        <f t="shared" si="96"/>
        <v>214901.7236</v>
      </c>
      <c r="AK20" s="302">
        <f t="shared" si="47"/>
        <v>227795.827</v>
      </c>
      <c r="AL20" s="302">
        <f t="shared" ref="AL20:AM20" si="97">AK20</f>
        <v>227795.827</v>
      </c>
      <c r="AM20" s="302">
        <f t="shared" si="97"/>
        <v>227795.827</v>
      </c>
      <c r="AN20" s="304">
        <f t="shared" si="12"/>
        <v>2510090.384</v>
      </c>
      <c r="AO20" s="270"/>
    </row>
    <row r="21" ht="26.25" customHeight="1">
      <c r="A21" s="331" t="s">
        <v>241</v>
      </c>
      <c r="B21" s="297">
        <v>31800.0</v>
      </c>
      <c r="C21" s="302">
        <f t="shared" ref="C21:D21" si="98">B21</f>
        <v>31800</v>
      </c>
      <c r="D21" s="302">
        <f t="shared" si="98"/>
        <v>31800</v>
      </c>
      <c r="E21" s="302">
        <f t="shared" si="26"/>
        <v>33708</v>
      </c>
      <c r="F21" s="298">
        <f t="shared" ref="F21:G21" si="99">E21</f>
        <v>33708</v>
      </c>
      <c r="G21" s="298">
        <f t="shared" si="99"/>
        <v>33708</v>
      </c>
      <c r="H21" s="302">
        <f t="shared" si="28"/>
        <v>35730.48</v>
      </c>
      <c r="I21" s="298">
        <f t="shared" ref="I21:J21" si="100">H21</f>
        <v>35730.48</v>
      </c>
      <c r="J21" s="298">
        <f t="shared" si="100"/>
        <v>35730.48</v>
      </c>
      <c r="K21" s="302">
        <f t="shared" si="30"/>
        <v>37874.3088</v>
      </c>
      <c r="L21" s="298">
        <f t="shared" ref="L21:M21" si="101">K21</f>
        <v>37874.3088</v>
      </c>
      <c r="M21" s="299">
        <f t="shared" si="101"/>
        <v>37874.3088</v>
      </c>
      <c r="N21" s="300">
        <f t="shared" si="32"/>
        <v>417338.3664</v>
      </c>
      <c r="O21" s="301">
        <f t="shared" si="33"/>
        <v>40146.76733</v>
      </c>
      <c r="P21" s="302">
        <f t="shared" ref="P21:Q21" si="102">O21</f>
        <v>40146.76733</v>
      </c>
      <c r="Q21" s="302">
        <f t="shared" si="102"/>
        <v>40146.76733</v>
      </c>
      <c r="R21" s="302">
        <f t="shared" si="77"/>
        <v>42555.57337</v>
      </c>
      <c r="S21" s="302">
        <f t="shared" ref="S21:T21" si="103">R21</f>
        <v>42555.57337</v>
      </c>
      <c r="T21" s="302">
        <f t="shared" si="103"/>
        <v>42555.57337</v>
      </c>
      <c r="U21" s="302">
        <f t="shared" si="37"/>
        <v>45108.90777</v>
      </c>
      <c r="V21" s="302">
        <f t="shared" ref="V21:W21" si="104">U21</f>
        <v>45108.90777</v>
      </c>
      <c r="W21" s="302">
        <f t="shared" si="104"/>
        <v>45108.90777</v>
      </c>
      <c r="X21" s="302">
        <f t="shared" si="80"/>
        <v>47815.44224</v>
      </c>
      <c r="Y21" s="302">
        <f t="shared" ref="Y21:Z21" si="105">X21</f>
        <v>47815.44224</v>
      </c>
      <c r="Z21" s="305">
        <f t="shared" si="105"/>
        <v>47815.44224</v>
      </c>
      <c r="AA21" s="300">
        <f t="shared" si="11"/>
        <v>526880.0721</v>
      </c>
      <c r="AB21" s="301">
        <f t="shared" si="41"/>
        <v>50684.36877</v>
      </c>
      <c r="AC21" s="302">
        <f t="shared" ref="AC21:AD21" si="106">AB21</f>
        <v>50684.36877</v>
      </c>
      <c r="AD21" s="302">
        <f t="shared" si="106"/>
        <v>50684.36877</v>
      </c>
      <c r="AE21" s="302">
        <f t="shared" si="43"/>
        <v>53725.4309</v>
      </c>
      <c r="AF21" s="302">
        <f t="shared" ref="AF21:AG21" si="107">AE21</f>
        <v>53725.4309</v>
      </c>
      <c r="AG21" s="302">
        <f t="shared" si="107"/>
        <v>53725.4309</v>
      </c>
      <c r="AH21" s="302">
        <f t="shared" si="45"/>
        <v>56948.95675</v>
      </c>
      <c r="AI21" s="302">
        <f t="shared" ref="AI21:AJ21" si="108">AH21</f>
        <v>56948.95675</v>
      </c>
      <c r="AJ21" s="302">
        <f t="shared" si="108"/>
        <v>56948.95675</v>
      </c>
      <c r="AK21" s="302">
        <f t="shared" si="47"/>
        <v>60365.89416</v>
      </c>
      <c r="AL21" s="302">
        <f t="shared" ref="AL21:AM21" si="109">AK21</f>
        <v>60365.89416</v>
      </c>
      <c r="AM21" s="302">
        <f t="shared" si="109"/>
        <v>60365.89416</v>
      </c>
      <c r="AN21" s="304">
        <f t="shared" si="12"/>
        <v>665173.9517</v>
      </c>
      <c r="AO21" s="270"/>
    </row>
    <row r="22" ht="26.25" customHeight="1">
      <c r="A22" s="296" t="s">
        <v>242</v>
      </c>
      <c r="B22" s="297">
        <v>54040.0</v>
      </c>
      <c r="C22" s="302">
        <f t="shared" ref="C22:D22" si="110">B22</f>
        <v>54040</v>
      </c>
      <c r="D22" s="302">
        <f t="shared" si="110"/>
        <v>54040</v>
      </c>
      <c r="E22" s="302">
        <f t="shared" si="26"/>
        <v>57282.4</v>
      </c>
      <c r="F22" s="298">
        <f t="shared" ref="F22:G22" si="111">E22</f>
        <v>57282.4</v>
      </c>
      <c r="G22" s="298">
        <f t="shared" si="111"/>
        <v>57282.4</v>
      </c>
      <c r="H22" s="302">
        <f t="shared" si="28"/>
        <v>60719.344</v>
      </c>
      <c r="I22" s="298">
        <f t="shared" ref="I22:J22" si="112">H22</f>
        <v>60719.344</v>
      </c>
      <c r="J22" s="298">
        <f t="shared" si="112"/>
        <v>60719.344</v>
      </c>
      <c r="K22" s="302">
        <f t="shared" si="30"/>
        <v>64362.50464</v>
      </c>
      <c r="L22" s="298">
        <f t="shared" ref="L22:M22" si="113">K22</f>
        <v>64362.50464</v>
      </c>
      <c r="M22" s="299">
        <f t="shared" si="113"/>
        <v>64362.50464</v>
      </c>
      <c r="N22" s="300">
        <f t="shared" si="32"/>
        <v>709212.7459</v>
      </c>
      <c r="O22" s="301">
        <f t="shared" si="33"/>
        <v>68224.25492</v>
      </c>
      <c r="P22" s="302">
        <f t="shared" ref="P22:Q22" si="114">O22</f>
        <v>68224.25492</v>
      </c>
      <c r="Q22" s="302">
        <f t="shared" si="114"/>
        <v>68224.25492</v>
      </c>
      <c r="R22" s="302">
        <f t="shared" si="77"/>
        <v>72317.71021</v>
      </c>
      <c r="S22" s="302">
        <f t="shared" ref="S22:T22" si="115">R22</f>
        <v>72317.71021</v>
      </c>
      <c r="T22" s="302">
        <f t="shared" si="115"/>
        <v>72317.71021</v>
      </c>
      <c r="U22" s="302">
        <f t="shared" si="37"/>
        <v>76656.77283</v>
      </c>
      <c r="V22" s="302">
        <f t="shared" ref="V22:W22" si="116">U22</f>
        <v>76656.77283</v>
      </c>
      <c r="W22" s="302">
        <f t="shared" si="116"/>
        <v>76656.77283</v>
      </c>
      <c r="X22" s="302">
        <f t="shared" si="80"/>
        <v>81256.1792</v>
      </c>
      <c r="Y22" s="302">
        <f t="shared" ref="Y22:Z22" si="117">X22</f>
        <v>81256.1792</v>
      </c>
      <c r="Z22" s="305">
        <f t="shared" si="117"/>
        <v>81256.1792</v>
      </c>
      <c r="AA22" s="300">
        <f t="shared" si="11"/>
        <v>895364.7515</v>
      </c>
      <c r="AB22" s="301">
        <f t="shared" si="41"/>
        <v>86131.54995</v>
      </c>
      <c r="AC22" s="302">
        <f t="shared" ref="AC22:AD22" si="118">AB22</f>
        <v>86131.54995</v>
      </c>
      <c r="AD22" s="302">
        <f t="shared" si="118"/>
        <v>86131.54995</v>
      </c>
      <c r="AE22" s="302">
        <f t="shared" si="43"/>
        <v>91299.44294</v>
      </c>
      <c r="AF22" s="302">
        <f t="shared" ref="AF22:AG22" si="119">AE22</f>
        <v>91299.44294</v>
      </c>
      <c r="AG22" s="302">
        <f t="shared" si="119"/>
        <v>91299.44294</v>
      </c>
      <c r="AH22" s="302">
        <f t="shared" si="45"/>
        <v>96777.40952</v>
      </c>
      <c r="AI22" s="302">
        <f t="shared" ref="AI22:AJ22" si="120">AH22</f>
        <v>96777.40952</v>
      </c>
      <c r="AJ22" s="302">
        <f t="shared" si="120"/>
        <v>96777.40952</v>
      </c>
      <c r="AK22" s="302">
        <f t="shared" si="47"/>
        <v>102584.0541</v>
      </c>
      <c r="AL22" s="302">
        <f t="shared" ref="AL22:AM22" si="121">AK22</f>
        <v>102584.0541</v>
      </c>
      <c r="AM22" s="302">
        <f t="shared" si="121"/>
        <v>102584.0541</v>
      </c>
      <c r="AN22" s="304">
        <f t="shared" si="12"/>
        <v>1130377.37</v>
      </c>
      <c r="AO22" s="270"/>
    </row>
    <row r="23" ht="26.25" customHeight="1">
      <c r="A23" s="296" t="s">
        <v>243</v>
      </c>
      <c r="B23" s="332">
        <v>285200.0</v>
      </c>
      <c r="C23" s="298">
        <v>0.0</v>
      </c>
      <c r="D23" s="298">
        <v>0.0</v>
      </c>
      <c r="E23" s="298">
        <v>0.0</v>
      </c>
      <c r="F23" s="298">
        <v>0.0</v>
      </c>
      <c r="G23" s="298">
        <v>0.0</v>
      </c>
      <c r="H23" s="298">
        <v>0.0</v>
      </c>
      <c r="I23" s="298">
        <v>0.0</v>
      </c>
      <c r="J23" s="298">
        <v>0.0</v>
      </c>
      <c r="K23" s="298">
        <v>0.0</v>
      </c>
      <c r="L23" s="298">
        <v>0.0</v>
      </c>
      <c r="M23" s="299">
        <v>0.0</v>
      </c>
      <c r="N23" s="300">
        <f t="shared" si="32"/>
        <v>285200</v>
      </c>
      <c r="O23" s="301">
        <f>N23*1.24</f>
        <v>353648</v>
      </c>
      <c r="P23" s="298">
        <v>0.0</v>
      </c>
      <c r="Q23" s="298">
        <v>0.0</v>
      </c>
      <c r="R23" s="298">
        <v>0.0</v>
      </c>
      <c r="S23" s="302">
        <f t="shared" ref="S23:T23" si="122">R23</f>
        <v>0</v>
      </c>
      <c r="T23" s="302">
        <f t="shared" si="122"/>
        <v>0</v>
      </c>
      <c r="U23" s="302">
        <f t="shared" si="37"/>
        <v>0</v>
      </c>
      <c r="V23" s="302">
        <f t="shared" ref="V23:W23" si="123">U23</f>
        <v>0</v>
      </c>
      <c r="W23" s="302">
        <f t="shared" si="123"/>
        <v>0</v>
      </c>
      <c r="X23" s="302">
        <f t="shared" si="80"/>
        <v>0</v>
      </c>
      <c r="Y23" s="302">
        <f t="shared" ref="Y23:Z23" si="124">X23</f>
        <v>0</v>
      </c>
      <c r="Z23" s="305">
        <f t="shared" si="124"/>
        <v>0</v>
      </c>
      <c r="AA23" s="300">
        <f t="shared" si="11"/>
        <v>353648</v>
      </c>
      <c r="AB23" s="301">
        <f>AA23*1.24</f>
        <v>438523.52</v>
      </c>
      <c r="AC23" s="298">
        <v>0.0</v>
      </c>
      <c r="AD23" s="298">
        <v>0.0</v>
      </c>
      <c r="AE23" s="298">
        <v>0.0</v>
      </c>
      <c r="AF23" s="302">
        <f t="shared" ref="AF23:AG23" si="125">AE23</f>
        <v>0</v>
      </c>
      <c r="AG23" s="302">
        <f t="shared" si="125"/>
        <v>0</v>
      </c>
      <c r="AH23" s="302">
        <f t="shared" si="45"/>
        <v>0</v>
      </c>
      <c r="AI23" s="302">
        <f>AB23*1.12</f>
        <v>491146.3424</v>
      </c>
      <c r="AJ23" s="298">
        <v>0.0</v>
      </c>
      <c r="AK23" s="298">
        <v>0.0</v>
      </c>
      <c r="AL23" s="302">
        <f t="shared" ref="AL23:AM23" si="126">AK23</f>
        <v>0</v>
      </c>
      <c r="AM23" s="302">
        <f t="shared" si="126"/>
        <v>0</v>
      </c>
      <c r="AN23" s="304">
        <f t="shared" si="12"/>
        <v>929669.8624</v>
      </c>
      <c r="AO23" s="270"/>
    </row>
    <row r="24" ht="26.25" customHeight="1">
      <c r="A24" s="296" t="s">
        <v>244</v>
      </c>
      <c r="B24" s="297">
        <v>45000.0</v>
      </c>
      <c r="C24" s="302">
        <f t="shared" ref="C24:D24" si="127">B24</f>
        <v>45000</v>
      </c>
      <c r="D24" s="302">
        <f t="shared" si="127"/>
        <v>45000</v>
      </c>
      <c r="E24" s="302">
        <f>D24*1.06</f>
        <v>47700</v>
      </c>
      <c r="F24" s="298">
        <f t="shared" ref="F24:G24" si="128">E24</f>
        <v>47700</v>
      </c>
      <c r="G24" s="298">
        <f t="shared" si="128"/>
        <v>47700</v>
      </c>
      <c r="H24" s="302">
        <f>G24*1.06</f>
        <v>50562</v>
      </c>
      <c r="I24" s="298">
        <f t="shared" ref="I24:J24" si="129">H24</f>
        <v>50562</v>
      </c>
      <c r="J24" s="298">
        <f t="shared" si="129"/>
        <v>50562</v>
      </c>
      <c r="K24" s="302">
        <f>J24*1.06</f>
        <v>53595.72</v>
      </c>
      <c r="L24" s="298">
        <f t="shared" ref="L24:M24" si="130">K24</f>
        <v>53595.72</v>
      </c>
      <c r="M24" s="299">
        <f t="shared" si="130"/>
        <v>53595.72</v>
      </c>
      <c r="N24" s="300">
        <f t="shared" si="32"/>
        <v>590573.16</v>
      </c>
      <c r="O24" s="301">
        <f>M24*1.06</f>
        <v>56811.4632</v>
      </c>
      <c r="P24" s="302">
        <f t="shared" ref="P24:Q24" si="131">O24</f>
        <v>56811.4632</v>
      </c>
      <c r="Q24" s="302">
        <f t="shared" si="131"/>
        <v>56811.4632</v>
      </c>
      <c r="R24" s="302">
        <f>Q24*1.06</f>
        <v>60220.15099</v>
      </c>
      <c r="S24" s="302">
        <f t="shared" ref="S24:T24" si="132">R24</f>
        <v>60220.15099</v>
      </c>
      <c r="T24" s="302">
        <f t="shared" si="132"/>
        <v>60220.15099</v>
      </c>
      <c r="U24" s="302">
        <f t="shared" si="37"/>
        <v>63833.36005</v>
      </c>
      <c r="V24" s="302">
        <f t="shared" ref="V24:W24" si="133">U24</f>
        <v>63833.36005</v>
      </c>
      <c r="W24" s="302">
        <f t="shared" si="133"/>
        <v>63833.36005</v>
      </c>
      <c r="X24" s="302">
        <f t="shared" si="80"/>
        <v>67663.36165</v>
      </c>
      <c r="Y24" s="302">
        <f t="shared" ref="Y24:Z24" si="134">X24</f>
        <v>67663.36165</v>
      </c>
      <c r="Z24" s="305">
        <f t="shared" si="134"/>
        <v>67663.36165</v>
      </c>
      <c r="AA24" s="300">
        <f t="shared" si="11"/>
        <v>745585.0077</v>
      </c>
      <c r="AB24" s="301">
        <f>Z24*1.06</f>
        <v>71723.16335</v>
      </c>
      <c r="AC24" s="302">
        <f t="shared" ref="AC24:AD24" si="135">AB24</f>
        <v>71723.16335</v>
      </c>
      <c r="AD24" s="302">
        <f t="shared" si="135"/>
        <v>71723.16335</v>
      </c>
      <c r="AE24" s="302">
        <f>AD24*1.06</f>
        <v>76026.55316</v>
      </c>
      <c r="AF24" s="302">
        <f t="shared" ref="AF24:AG24" si="136">AE24</f>
        <v>76026.55316</v>
      </c>
      <c r="AG24" s="302">
        <f t="shared" si="136"/>
        <v>76026.55316</v>
      </c>
      <c r="AH24" s="302">
        <f t="shared" si="45"/>
        <v>80588.14634</v>
      </c>
      <c r="AI24" s="302">
        <f t="shared" ref="AI24:AJ24" si="137">AH24</f>
        <v>80588.14634</v>
      </c>
      <c r="AJ24" s="302">
        <f t="shared" si="137"/>
        <v>80588.14634</v>
      </c>
      <c r="AK24" s="302">
        <f>AJ24*1.06</f>
        <v>85423.43513</v>
      </c>
      <c r="AL24" s="302">
        <f t="shared" ref="AL24:AM24" si="138">AK24</f>
        <v>85423.43513</v>
      </c>
      <c r="AM24" s="302">
        <f t="shared" si="138"/>
        <v>85423.43513</v>
      </c>
      <c r="AN24" s="304">
        <f t="shared" si="12"/>
        <v>941283.8939</v>
      </c>
      <c r="AO24" s="270"/>
    </row>
    <row r="25" ht="26.25" customHeight="1">
      <c r="A25" s="296" t="s">
        <v>245</v>
      </c>
      <c r="B25" s="297">
        <f>'6.1 Detalle de inversión inicia'!E38/'6.1 Detalle de inversión inicia'!I38</f>
        <v>93437.5</v>
      </c>
      <c r="C25" s="298">
        <f>'6.1 Detalle de inversión inicia'!E38/'6.1 Detalle de inversión inicia'!I38</f>
        <v>93437.5</v>
      </c>
      <c r="D25" s="298">
        <f>'6.1 Detalle de inversión inicia'!E38/'6.1 Detalle de inversión inicia'!I38</f>
        <v>93437.5</v>
      </c>
      <c r="E25" s="298">
        <f>'6.1 Detalle de inversión inicia'!E38/'6.1 Detalle de inversión inicia'!I38</f>
        <v>93437.5</v>
      </c>
      <c r="F25" s="298">
        <f>'6.1 Detalle de inversión inicia'!E38/'6.1 Detalle de inversión inicia'!I38</f>
        <v>93437.5</v>
      </c>
      <c r="G25" s="298">
        <f>'6.1 Detalle de inversión inicia'!E38/'6.1 Detalle de inversión inicia'!I38</f>
        <v>93437.5</v>
      </c>
      <c r="H25" s="298">
        <f>'6.1 Detalle de inversión inicia'!E38/'6.1 Detalle de inversión inicia'!I38</f>
        <v>93437.5</v>
      </c>
      <c r="I25" s="298">
        <f>'6.1 Detalle de inversión inicia'!E38/'6.1 Detalle de inversión inicia'!I38</f>
        <v>93437.5</v>
      </c>
      <c r="J25" s="298">
        <f>'6.1 Detalle de inversión inicia'!E38/'6.1 Detalle de inversión inicia'!I38</f>
        <v>93437.5</v>
      </c>
      <c r="K25" s="298">
        <f>'6.1 Detalle de inversión inicia'!E38/'6.1 Detalle de inversión inicia'!I38</f>
        <v>93437.5</v>
      </c>
      <c r="L25" s="298">
        <f>'6.1 Detalle de inversión inicia'!E38/'6.1 Detalle de inversión inicia'!I38</f>
        <v>93437.5</v>
      </c>
      <c r="M25" s="299">
        <f>'6.1 Detalle de inversión inicia'!E38/'6.1 Detalle de inversión inicia'!I38</f>
        <v>93437.5</v>
      </c>
      <c r="N25" s="300">
        <f t="shared" si="32"/>
        <v>1121250</v>
      </c>
      <c r="O25" s="303">
        <f>'6.1 Detalle de inversión inicia'!E38/'6.1 Detalle de inversión inicia'!I38</f>
        <v>93437.5</v>
      </c>
      <c r="P25" s="298">
        <f>'6.1 Detalle de inversión inicia'!E38/'6.1 Detalle de inversión inicia'!I38</f>
        <v>93437.5</v>
      </c>
      <c r="Q25" s="298">
        <f>'6.1 Detalle de inversión inicia'!E38/'6.1 Detalle de inversión inicia'!I38</f>
        <v>93437.5</v>
      </c>
      <c r="R25" s="298">
        <f>'6.1 Detalle de inversión inicia'!E38/'6.1 Detalle de inversión inicia'!I38</f>
        <v>93437.5</v>
      </c>
      <c r="S25" s="298">
        <f>'6.1 Detalle de inversión inicia'!E38/'6.1 Detalle de inversión inicia'!I38</f>
        <v>93437.5</v>
      </c>
      <c r="T25" s="298">
        <f>'6.1 Detalle de inversión inicia'!E38/'6.1 Detalle de inversión inicia'!I38</f>
        <v>93437.5</v>
      </c>
      <c r="U25" s="298">
        <f>'6.1 Detalle de inversión inicia'!E38/'6.1 Detalle de inversión inicia'!I38</f>
        <v>93437.5</v>
      </c>
      <c r="V25" s="298">
        <f>'6.1 Detalle de inversión inicia'!E38/'6.1 Detalle de inversión inicia'!I38</f>
        <v>93437.5</v>
      </c>
      <c r="W25" s="298">
        <f>'6.1 Detalle de inversión inicia'!E38/'6.1 Detalle de inversión inicia'!I38</f>
        <v>93437.5</v>
      </c>
      <c r="X25" s="298">
        <f>'6.1 Detalle de inversión inicia'!E38/'6.1 Detalle de inversión inicia'!I38</f>
        <v>93437.5</v>
      </c>
      <c r="Y25" s="298">
        <f>'6.1 Detalle de inversión inicia'!E38/'6.1 Detalle de inversión inicia'!I38</f>
        <v>93437.5</v>
      </c>
      <c r="Z25" s="299">
        <f>'6.1 Detalle de inversión inicia'!E38/'6.1 Detalle de inversión inicia'!I38</f>
        <v>93437.5</v>
      </c>
      <c r="AA25" s="300">
        <f t="shared" si="11"/>
        <v>1121250</v>
      </c>
      <c r="AB25" s="303">
        <f>'6.1 Detalle de inversión inicia'!E38/'6.1 Detalle de inversión inicia'!I38</f>
        <v>93437.5</v>
      </c>
      <c r="AC25" s="298">
        <f>'6.1 Detalle de inversión inicia'!E38/'6.1 Detalle de inversión inicia'!I38</f>
        <v>93437.5</v>
      </c>
      <c r="AD25" s="298">
        <f>'6.1 Detalle de inversión inicia'!E38/'6.1 Detalle de inversión inicia'!I38</f>
        <v>93437.5</v>
      </c>
      <c r="AE25" s="298">
        <f>'6.1 Detalle de inversión inicia'!E38/'6.1 Detalle de inversión inicia'!I38</f>
        <v>93437.5</v>
      </c>
      <c r="AF25" s="298">
        <f>'6.1 Detalle de inversión inicia'!E38/'6.1 Detalle de inversión inicia'!I38</f>
        <v>93437.5</v>
      </c>
      <c r="AG25" s="298">
        <f>'6.1 Detalle de inversión inicia'!E38/'6.1 Detalle de inversión inicia'!I38</f>
        <v>93437.5</v>
      </c>
      <c r="AH25" s="298">
        <f>'6.1 Detalle de inversión inicia'!E38/'6.1 Detalle de inversión inicia'!I38</f>
        <v>93437.5</v>
      </c>
      <c r="AI25" s="298">
        <f>'6.1 Detalle de inversión inicia'!E38/'6.1 Detalle de inversión inicia'!I38</f>
        <v>93437.5</v>
      </c>
      <c r="AJ25" s="298">
        <f>'6.1 Detalle de inversión inicia'!E38/'6.1 Detalle de inversión inicia'!I38</f>
        <v>93437.5</v>
      </c>
      <c r="AK25" s="298">
        <f>'6.1 Detalle de inversión inicia'!E38/'6.1 Detalle de inversión inicia'!I38</f>
        <v>93437.5</v>
      </c>
      <c r="AL25" s="298">
        <f>'6.1 Detalle de inversión inicia'!E38/'6.1 Detalle de inversión inicia'!I38</f>
        <v>93437.5</v>
      </c>
      <c r="AM25" s="298">
        <f>'6.1 Detalle de inversión inicia'!E38/'6.1 Detalle de inversión inicia'!I38</f>
        <v>93437.5</v>
      </c>
      <c r="AN25" s="304">
        <f t="shared" si="12"/>
        <v>1121250</v>
      </c>
      <c r="AO25" s="270"/>
    </row>
    <row r="26" ht="26.25" customHeight="1">
      <c r="A26" s="296" t="s">
        <v>246</v>
      </c>
      <c r="B26" s="297">
        <f>'6.1 Detalle de inversión inicia'!E29/'6.1 Detalle de inversión inicia'!I29</f>
        <v>55416.66667</v>
      </c>
      <c r="C26" s="298">
        <f>'6.1 Detalle de inversión inicia'!E29/'6.1 Detalle de inversión inicia'!I29</f>
        <v>55416.66667</v>
      </c>
      <c r="D26" s="298">
        <f>'6.1 Detalle de inversión inicia'!E29/'6.1 Detalle de inversión inicia'!I29</f>
        <v>55416.66667</v>
      </c>
      <c r="E26" s="298">
        <f>'6.1 Detalle de inversión inicia'!E29/'6.1 Detalle de inversión inicia'!I29</f>
        <v>55416.66667</v>
      </c>
      <c r="F26" s="298">
        <f>'6.1 Detalle de inversión inicia'!E29/'6.1 Detalle de inversión inicia'!I29</f>
        <v>55416.66667</v>
      </c>
      <c r="G26" s="298">
        <f>'6.1 Detalle de inversión inicia'!E29/'6.1 Detalle de inversión inicia'!I29</f>
        <v>55416.66667</v>
      </c>
      <c r="H26" s="298">
        <f>'6.1 Detalle de inversión inicia'!E29/'6.1 Detalle de inversión inicia'!I29</f>
        <v>55416.66667</v>
      </c>
      <c r="I26" s="298">
        <f>'6.1 Detalle de inversión inicia'!E29/'6.1 Detalle de inversión inicia'!I29</f>
        <v>55416.66667</v>
      </c>
      <c r="J26" s="298">
        <f>'6.1 Detalle de inversión inicia'!E29/'6.1 Detalle de inversión inicia'!I29</f>
        <v>55416.66667</v>
      </c>
      <c r="K26" s="298">
        <f>'6.1 Detalle de inversión inicia'!E29/'6.1 Detalle de inversión inicia'!I29</f>
        <v>55416.66667</v>
      </c>
      <c r="L26" s="298">
        <f>'6.1 Detalle de inversión inicia'!E29/'6.1 Detalle de inversión inicia'!I29</f>
        <v>55416.66667</v>
      </c>
      <c r="M26" s="299">
        <f>'6.1 Detalle de inversión inicia'!E29/'6.1 Detalle de inversión inicia'!I29</f>
        <v>55416.66667</v>
      </c>
      <c r="N26" s="300">
        <f t="shared" si="32"/>
        <v>665000</v>
      </c>
      <c r="O26" s="303">
        <f>'6.1 Detalle de inversión inicia'!E29/'6.1 Detalle de inversión inicia'!I29</f>
        <v>55416.66667</v>
      </c>
      <c r="P26" s="298">
        <f>'6.1 Detalle de inversión inicia'!E29/'6.1 Detalle de inversión inicia'!I29</f>
        <v>55416.66667</v>
      </c>
      <c r="Q26" s="298">
        <f>'6.1 Detalle de inversión inicia'!E29/'6.1 Detalle de inversión inicia'!I29</f>
        <v>55416.66667</v>
      </c>
      <c r="R26" s="298">
        <f>'6.1 Detalle de inversión inicia'!E29/'6.1 Detalle de inversión inicia'!I29</f>
        <v>55416.66667</v>
      </c>
      <c r="S26" s="298">
        <f>'6.1 Detalle de inversión inicia'!E29/'6.1 Detalle de inversión inicia'!I29</f>
        <v>55416.66667</v>
      </c>
      <c r="T26" s="298">
        <f>'6.1 Detalle de inversión inicia'!E29/'6.1 Detalle de inversión inicia'!I29</f>
        <v>55416.66667</v>
      </c>
      <c r="U26" s="298">
        <f>'6.1 Detalle de inversión inicia'!E29/'6.1 Detalle de inversión inicia'!I29</f>
        <v>55416.66667</v>
      </c>
      <c r="V26" s="298">
        <f>'6.1 Detalle de inversión inicia'!E29/'6.1 Detalle de inversión inicia'!I29</f>
        <v>55416.66667</v>
      </c>
      <c r="W26" s="298">
        <f>'6.1 Detalle de inversión inicia'!E29/'6.1 Detalle de inversión inicia'!I29</f>
        <v>55416.66667</v>
      </c>
      <c r="X26" s="298">
        <f>'6.1 Detalle de inversión inicia'!E29/'6.1 Detalle de inversión inicia'!I29</f>
        <v>55416.66667</v>
      </c>
      <c r="Y26" s="298">
        <f>'6.1 Detalle de inversión inicia'!E29/'6.1 Detalle de inversión inicia'!I29</f>
        <v>55416.66667</v>
      </c>
      <c r="Z26" s="299">
        <f>'6.1 Detalle de inversión inicia'!E29/'6.1 Detalle de inversión inicia'!I29</f>
        <v>55416.66667</v>
      </c>
      <c r="AA26" s="300">
        <f t="shared" si="11"/>
        <v>665000</v>
      </c>
      <c r="AB26" s="303">
        <f>'6.1 Detalle de inversión inicia'!E29/'6.1 Detalle de inversión inicia'!I29</f>
        <v>55416.66667</v>
      </c>
      <c r="AC26" s="298">
        <f>'6.1 Detalle de inversión inicia'!E29/'6.1 Detalle de inversión inicia'!I29</f>
        <v>55416.66667</v>
      </c>
      <c r="AD26" s="298">
        <f>'6.1 Detalle de inversión inicia'!E29/'6.1 Detalle de inversión inicia'!I29</f>
        <v>55416.66667</v>
      </c>
      <c r="AE26" s="298">
        <f>'6.1 Detalle de inversión inicia'!E29/'6.1 Detalle de inversión inicia'!I29</f>
        <v>55416.66667</v>
      </c>
      <c r="AF26" s="298">
        <f>'6.1 Detalle de inversión inicia'!E29/'6.1 Detalle de inversión inicia'!I29</f>
        <v>55416.66667</v>
      </c>
      <c r="AG26" s="298">
        <f>'6.1 Detalle de inversión inicia'!E29/'6.1 Detalle de inversión inicia'!I29</f>
        <v>55416.66667</v>
      </c>
      <c r="AH26" s="298">
        <f>'6.1 Detalle de inversión inicia'!E29/'6.1 Detalle de inversión inicia'!I29</f>
        <v>55416.66667</v>
      </c>
      <c r="AI26" s="298">
        <f>'6.1 Detalle de inversión inicia'!E29/'6.1 Detalle de inversión inicia'!I29</f>
        <v>55416.66667</v>
      </c>
      <c r="AJ26" s="298">
        <f>'6.1 Detalle de inversión inicia'!E29/'6.1 Detalle de inversión inicia'!I29</f>
        <v>55416.66667</v>
      </c>
      <c r="AK26" s="298">
        <f>'6.1 Detalle de inversión inicia'!E29/'6.1 Detalle de inversión inicia'!I29</f>
        <v>55416.66667</v>
      </c>
      <c r="AL26" s="298">
        <f>'6.1 Detalle de inversión inicia'!E29/'6.1 Detalle de inversión inicia'!I29</f>
        <v>55416.66667</v>
      </c>
      <c r="AM26" s="298">
        <f>'6.1 Detalle de inversión inicia'!E29/'6.1 Detalle de inversión inicia'!I29</f>
        <v>55416.66667</v>
      </c>
      <c r="AN26" s="304">
        <f t="shared" si="12"/>
        <v>665000</v>
      </c>
      <c r="AO26" s="270"/>
    </row>
    <row r="27" ht="26.25" customHeight="1">
      <c r="A27" s="296" t="s">
        <v>247</v>
      </c>
      <c r="B27" s="297">
        <f>'6.1 Detalle de inversión inicia'!E30/'6.1 Detalle de inversión inicia'!I30</f>
        <v>116666.6667</v>
      </c>
      <c r="C27" s="298">
        <f>'6.1 Detalle de inversión inicia'!E30/'6.1 Detalle de inversión inicia'!I30</f>
        <v>116666.6667</v>
      </c>
      <c r="D27" s="298">
        <f>'6.1 Detalle de inversión inicia'!E30/'6.1 Detalle de inversión inicia'!I30</f>
        <v>116666.6667</v>
      </c>
      <c r="E27" s="298">
        <f>'6.1 Detalle de inversión inicia'!E30/'6.1 Detalle de inversión inicia'!I30</f>
        <v>116666.6667</v>
      </c>
      <c r="F27" s="298">
        <f>'6.1 Detalle de inversión inicia'!E30/'6.1 Detalle de inversión inicia'!I30</f>
        <v>116666.6667</v>
      </c>
      <c r="G27" s="298">
        <f>'6.1 Detalle de inversión inicia'!E30/'6.1 Detalle de inversión inicia'!I30</f>
        <v>116666.6667</v>
      </c>
      <c r="H27" s="298">
        <f>'6.1 Detalle de inversión inicia'!E30/'6.1 Detalle de inversión inicia'!I30</f>
        <v>116666.6667</v>
      </c>
      <c r="I27" s="298">
        <f>'6.1 Detalle de inversión inicia'!E30/'6.1 Detalle de inversión inicia'!I30</f>
        <v>116666.6667</v>
      </c>
      <c r="J27" s="298">
        <f>'6.1 Detalle de inversión inicia'!E30/'6.1 Detalle de inversión inicia'!I30</f>
        <v>116666.6667</v>
      </c>
      <c r="K27" s="298">
        <f>'6.1 Detalle de inversión inicia'!E30/'6.1 Detalle de inversión inicia'!I30</f>
        <v>116666.6667</v>
      </c>
      <c r="L27" s="298">
        <f>'6.1 Detalle de inversión inicia'!E30/'6.1 Detalle de inversión inicia'!I30</f>
        <v>116666.6667</v>
      </c>
      <c r="M27" s="299">
        <f>'6.1 Detalle de inversión inicia'!E30/'6.1 Detalle de inversión inicia'!I30</f>
        <v>116666.6667</v>
      </c>
      <c r="N27" s="300">
        <f t="shared" si="32"/>
        <v>1400000</v>
      </c>
      <c r="O27" s="303">
        <f>'6.1 Detalle de inversión inicia'!E30/'6.1 Detalle de inversión inicia'!I30</f>
        <v>116666.6667</v>
      </c>
      <c r="P27" s="298">
        <f>'6.1 Detalle de inversión inicia'!E30/'6.1 Detalle de inversión inicia'!I30</f>
        <v>116666.6667</v>
      </c>
      <c r="Q27" s="298">
        <f>'6.1 Detalle de inversión inicia'!E30/'6.1 Detalle de inversión inicia'!I30</f>
        <v>116666.6667</v>
      </c>
      <c r="R27" s="298">
        <f>'6.1 Detalle de inversión inicia'!E30/'6.1 Detalle de inversión inicia'!I30</f>
        <v>116666.6667</v>
      </c>
      <c r="S27" s="298">
        <f>'6.1 Detalle de inversión inicia'!E30/'6.1 Detalle de inversión inicia'!I30</f>
        <v>116666.6667</v>
      </c>
      <c r="T27" s="298">
        <f>'6.1 Detalle de inversión inicia'!E30/'6.1 Detalle de inversión inicia'!I30</f>
        <v>116666.6667</v>
      </c>
      <c r="U27" s="298">
        <f>'6.1 Detalle de inversión inicia'!E30/'6.1 Detalle de inversión inicia'!I30</f>
        <v>116666.6667</v>
      </c>
      <c r="V27" s="298">
        <f>'6.1 Detalle de inversión inicia'!E30/'6.1 Detalle de inversión inicia'!I30</f>
        <v>116666.6667</v>
      </c>
      <c r="W27" s="298">
        <f>'6.1 Detalle de inversión inicia'!E30/'6.1 Detalle de inversión inicia'!I30</f>
        <v>116666.6667</v>
      </c>
      <c r="X27" s="298">
        <f>'6.1 Detalle de inversión inicia'!E30/'6.1 Detalle de inversión inicia'!I30</f>
        <v>116666.6667</v>
      </c>
      <c r="Y27" s="298">
        <f>'6.1 Detalle de inversión inicia'!E30/'6.1 Detalle de inversión inicia'!I30</f>
        <v>116666.6667</v>
      </c>
      <c r="Z27" s="299">
        <f>'6.1 Detalle de inversión inicia'!E30/'6.1 Detalle de inversión inicia'!I30</f>
        <v>116666.6667</v>
      </c>
      <c r="AA27" s="300">
        <f t="shared" si="11"/>
        <v>1400000</v>
      </c>
      <c r="AB27" s="303">
        <f>'6.1 Detalle de inversión inicia'!E30/'6.1 Detalle de inversión inicia'!I30</f>
        <v>116666.6667</v>
      </c>
      <c r="AC27" s="298">
        <f>'6.1 Detalle de inversión inicia'!E30/'6.1 Detalle de inversión inicia'!I30</f>
        <v>116666.6667</v>
      </c>
      <c r="AD27" s="298">
        <f>'6.1 Detalle de inversión inicia'!E30/'6.1 Detalle de inversión inicia'!I30</f>
        <v>116666.6667</v>
      </c>
      <c r="AE27" s="298">
        <f>'6.1 Detalle de inversión inicia'!E30/'6.1 Detalle de inversión inicia'!I30</f>
        <v>116666.6667</v>
      </c>
      <c r="AF27" s="298">
        <f>'6.1 Detalle de inversión inicia'!E30/'6.1 Detalle de inversión inicia'!I30</f>
        <v>116666.6667</v>
      </c>
      <c r="AG27" s="298">
        <f>'6.1 Detalle de inversión inicia'!E30/'6.1 Detalle de inversión inicia'!I30</f>
        <v>116666.6667</v>
      </c>
      <c r="AH27" s="298">
        <f>'6.1 Detalle de inversión inicia'!E30/'6.1 Detalle de inversión inicia'!I30</f>
        <v>116666.6667</v>
      </c>
      <c r="AI27" s="298">
        <f>'6.1 Detalle de inversión inicia'!E30/'6.1 Detalle de inversión inicia'!I30</f>
        <v>116666.6667</v>
      </c>
      <c r="AJ27" s="298">
        <f>'6.1 Detalle de inversión inicia'!E30/'6.1 Detalle de inversión inicia'!I30</f>
        <v>116666.6667</v>
      </c>
      <c r="AK27" s="298">
        <f>'6.1 Detalle de inversión inicia'!E30/'6.1 Detalle de inversión inicia'!I30</f>
        <v>116666.6667</v>
      </c>
      <c r="AL27" s="298">
        <f>'6.1 Detalle de inversión inicia'!E30/'6.1 Detalle de inversión inicia'!I30</f>
        <v>116666.6667</v>
      </c>
      <c r="AM27" s="298">
        <f>'6.1 Detalle de inversión inicia'!E30/'6.1 Detalle de inversión inicia'!I30</f>
        <v>116666.6667</v>
      </c>
      <c r="AN27" s="304">
        <f t="shared" si="12"/>
        <v>1400000</v>
      </c>
      <c r="AO27" s="270"/>
    </row>
    <row r="28" ht="26.25" customHeight="1">
      <c r="A28" s="296" t="s">
        <v>248</v>
      </c>
      <c r="B28" s="297">
        <v>200000.0</v>
      </c>
      <c r="C28" s="302">
        <f t="shared" ref="C28:D28" si="139">B28</f>
        <v>200000</v>
      </c>
      <c r="D28" s="302">
        <f t="shared" si="139"/>
        <v>200000</v>
      </c>
      <c r="E28" s="302">
        <f t="shared" ref="E28:E29" si="151">D28*1.06</f>
        <v>212000</v>
      </c>
      <c r="F28" s="298">
        <f t="shared" ref="F28:G28" si="140">E28</f>
        <v>212000</v>
      </c>
      <c r="G28" s="298">
        <f t="shared" si="140"/>
        <v>212000</v>
      </c>
      <c r="H28" s="302">
        <f t="shared" ref="H28:H29" si="153">G28*1.06</f>
        <v>224720</v>
      </c>
      <c r="I28" s="298">
        <f t="shared" ref="I28:J28" si="141">H28</f>
        <v>224720</v>
      </c>
      <c r="J28" s="298">
        <f t="shared" si="141"/>
        <v>224720</v>
      </c>
      <c r="K28" s="302">
        <f t="shared" ref="K28:K29" si="155">J28*1.06</f>
        <v>238203.2</v>
      </c>
      <c r="L28" s="298">
        <f t="shared" ref="L28:M28" si="142">K28</f>
        <v>238203.2</v>
      </c>
      <c r="M28" s="299">
        <f t="shared" si="142"/>
        <v>238203.2</v>
      </c>
      <c r="N28" s="300">
        <f t="shared" si="32"/>
        <v>2624769.6</v>
      </c>
      <c r="O28" s="301">
        <f t="shared" ref="O28:O29" si="157">M28*1.06</f>
        <v>252495.392</v>
      </c>
      <c r="P28" s="302">
        <f t="shared" ref="P28:Q28" si="143">O28</f>
        <v>252495.392</v>
      </c>
      <c r="Q28" s="302">
        <f t="shared" si="143"/>
        <v>252495.392</v>
      </c>
      <c r="R28" s="302">
        <f t="shared" ref="R28:R29" si="159">Q28*1.06</f>
        <v>267645.1155</v>
      </c>
      <c r="S28" s="302">
        <f t="shared" ref="S28:T28" si="144">R28</f>
        <v>267645.1155</v>
      </c>
      <c r="T28" s="302">
        <f t="shared" si="144"/>
        <v>267645.1155</v>
      </c>
      <c r="U28" s="302">
        <f t="shared" ref="U28:U29" si="161">S28*1.06</f>
        <v>283703.8225</v>
      </c>
      <c r="V28" s="302">
        <f t="shared" ref="V28:W28" si="145">U28</f>
        <v>283703.8225</v>
      </c>
      <c r="W28" s="302">
        <f t="shared" si="145"/>
        <v>283703.8225</v>
      </c>
      <c r="X28" s="302">
        <f t="shared" ref="X28:X29" si="163">W28*1.06</f>
        <v>300726.0518</v>
      </c>
      <c r="Y28" s="302">
        <f t="shared" ref="Y28:Z28" si="146">X28</f>
        <v>300726.0518</v>
      </c>
      <c r="Z28" s="305">
        <f t="shared" si="146"/>
        <v>300726.0518</v>
      </c>
      <c r="AA28" s="300">
        <f t="shared" si="11"/>
        <v>3313711.145</v>
      </c>
      <c r="AB28" s="301">
        <f t="shared" ref="AB28:AB29" si="165">Z28*1.06</f>
        <v>318769.6149</v>
      </c>
      <c r="AC28" s="302">
        <f t="shared" ref="AC28:AD28" si="147">AB28</f>
        <v>318769.6149</v>
      </c>
      <c r="AD28" s="302">
        <f t="shared" si="147"/>
        <v>318769.6149</v>
      </c>
      <c r="AE28" s="302">
        <f t="shared" ref="AE28:AE29" si="167">AD28*1.06</f>
        <v>337895.7918</v>
      </c>
      <c r="AF28" s="302">
        <f t="shared" ref="AF28:AG28" si="148">AE28</f>
        <v>337895.7918</v>
      </c>
      <c r="AG28" s="302">
        <f t="shared" si="148"/>
        <v>337895.7918</v>
      </c>
      <c r="AH28" s="302">
        <f t="shared" ref="AH28:AH29" si="169">AF28*1.06</f>
        <v>358169.5393</v>
      </c>
      <c r="AI28" s="302">
        <f t="shared" ref="AI28:AJ28" si="149">AH28</f>
        <v>358169.5393</v>
      </c>
      <c r="AJ28" s="302">
        <f t="shared" si="149"/>
        <v>358169.5393</v>
      </c>
      <c r="AK28" s="302">
        <f t="shared" ref="AK28:AK29" si="171">AJ28*1.06</f>
        <v>379659.7117</v>
      </c>
      <c r="AL28" s="302">
        <f t="shared" ref="AL28:AM28" si="150">AK28</f>
        <v>379659.7117</v>
      </c>
      <c r="AM28" s="302">
        <f t="shared" si="150"/>
        <v>379659.7117</v>
      </c>
      <c r="AN28" s="304">
        <f t="shared" si="12"/>
        <v>4183483.973</v>
      </c>
      <c r="AO28" s="270"/>
    </row>
    <row r="29" ht="26.25" customHeight="1">
      <c r="A29" s="296" t="s">
        <v>249</v>
      </c>
      <c r="B29" s="297">
        <v>0.0</v>
      </c>
      <c r="C29" s="298">
        <v>316955.0</v>
      </c>
      <c r="D29" s="302">
        <f>C29</f>
        <v>316955</v>
      </c>
      <c r="E29" s="302">
        <f t="shared" si="151"/>
        <v>335972.3</v>
      </c>
      <c r="F29" s="302">
        <f t="shared" ref="F29:G29" si="152">E29</f>
        <v>335972.3</v>
      </c>
      <c r="G29" s="302">
        <f t="shared" si="152"/>
        <v>335972.3</v>
      </c>
      <c r="H29" s="302">
        <f t="shared" si="153"/>
        <v>356130.638</v>
      </c>
      <c r="I29" s="302">
        <f t="shared" ref="I29:J29" si="154">H29</f>
        <v>356130.638</v>
      </c>
      <c r="J29" s="302">
        <f t="shared" si="154"/>
        <v>356130.638</v>
      </c>
      <c r="K29" s="302">
        <f t="shared" si="155"/>
        <v>377498.4763</v>
      </c>
      <c r="L29" s="302">
        <f t="shared" ref="L29:M29" si="156">K29</f>
        <v>377498.4763</v>
      </c>
      <c r="M29" s="305">
        <f t="shared" si="156"/>
        <v>377498.4763</v>
      </c>
      <c r="N29" s="300">
        <f t="shared" si="32"/>
        <v>3842714.243</v>
      </c>
      <c r="O29" s="301">
        <f t="shared" si="157"/>
        <v>400148.3849</v>
      </c>
      <c r="P29" s="302">
        <f t="shared" ref="P29:Q29" si="158">O29</f>
        <v>400148.3849</v>
      </c>
      <c r="Q29" s="302">
        <f t="shared" si="158"/>
        <v>400148.3849</v>
      </c>
      <c r="R29" s="302">
        <f t="shared" si="159"/>
        <v>424157.2879</v>
      </c>
      <c r="S29" s="302">
        <f t="shared" ref="S29:T29" si="160">R29</f>
        <v>424157.2879</v>
      </c>
      <c r="T29" s="302">
        <f t="shared" si="160"/>
        <v>424157.2879</v>
      </c>
      <c r="U29" s="302">
        <f t="shared" si="161"/>
        <v>449606.7252</v>
      </c>
      <c r="V29" s="302">
        <f t="shared" ref="V29:W29" si="162">U29</f>
        <v>449606.7252</v>
      </c>
      <c r="W29" s="302">
        <f t="shared" si="162"/>
        <v>449606.7252</v>
      </c>
      <c r="X29" s="302">
        <f t="shared" si="163"/>
        <v>476583.1287</v>
      </c>
      <c r="Y29" s="302">
        <f t="shared" ref="Y29:Z29" si="164">X29</f>
        <v>476583.1287</v>
      </c>
      <c r="Z29" s="305">
        <f t="shared" si="164"/>
        <v>476583.1287</v>
      </c>
      <c r="AA29" s="300">
        <f t="shared" si="11"/>
        <v>5251486.58</v>
      </c>
      <c r="AB29" s="301">
        <f t="shared" si="165"/>
        <v>505178.1165</v>
      </c>
      <c r="AC29" s="302">
        <f t="shared" ref="AC29:AD29" si="166">AB29</f>
        <v>505178.1165</v>
      </c>
      <c r="AD29" s="302">
        <f t="shared" si="166"/>
        <v>505178.1165</v>
      </c>
      <c r="AE29" s="302">
        <f t="shared" si="167"/>
        <v>535488.8035</v>
      </c>
      <c r="AF29" s="302">
        <f t="shared" ref="AF29:AG29" si="168">AE29</f>
        <v>535488.8035</v>
      </c>
      <c r="AG29" s="302">
        <f t="shared" si="168"/>
        <v>535488.8035</v>
      </c>
      <c r="AH29" s="302">
        <f t="shared" si="169"/>
        <v>567618.1317</v>
      </c>
      <c r="AI29" s="302">
        <f t="shared" ref="AI29:AJ29" si="170">AH29</f>
        <v>567618.1317</v>
      </c>
      <c r="AJ29" s="302">
        <f t="shared" si="170"/>
        <v>567618.1317</v>
      </c>
      <c r="AK29" s="302">
        <f t="shared" si="171"/>
        <v>601675.2196</v>
      </c>
      <c r="AL29" s="302">
        <f t="shared" ref="AL29:AM29" si="172">AK29</f>
        <v>601675.2196</v>
      </c>
      <c r="AM29" s="302">
        <f t="shared" si="172"/>
        <v>601675.2196</v>
      </c>
      <c r="AN29" s="304">
        <f t="shared" si="12"/>
        <v>6629880.813</v>
      </c>
      <c r="AO29" s="270"/>
    </row>
    <row r="30" ht="26.25" customHeight="1">
      <c r="A30" s="331" t="s">
        <v>250</v>
      </c>
      <c r="B30" s="297">
        <v>0.0</v>
      </c>
      <c r="C30" s="298">
        <v>0.0</v>
      </c>
      <c r="D30" s="298">
        <v>0.0</v>
      </c>
      <c r="E30" s="298">
        <v>0.0</v>
      </c>
      <c r="F30" s="298">
        <v>0.0</v>
      </c>
      <c r="G30" s="298">
        <v>0.0</v>
      </c>
      <c r="H30" s="298">
        <v>0.0</v>
      </c>
      <c r="I30" s="298">
        <v>0.0</v>
      </c>
      <c r="J30" s="298">
        <v>0.0</v>
      </c>
      <c r="K30" s="298">
        <v>0.0</v>
      </c>
      <c r="L30" s="298">
        <v>0.0</v>
      </c>
      <c r="M30" s="299">
        <v>0.0</v>
      </c>
      <c r="N30" s="300">
        <f t="shared" si="32"/>
        <v>0</v>
      </c>
      <c r="O30" s="303">
        <f>10*'6.1 Detalle de inversión inicia'!C2</f>
        <v>14950</v>
      </c>
      <c r="P30" s="298">
        <v>0.0</v>
      </c>
      <c r="Q30" s="298">
        <v>0.0</v>
      </c>
      <c r="R30" s="298">
        <v>0.0</v>
      </c>
      <c r="S30" s="298">
        <v>0.0</v>
      </c>
      <c r="T30" s="298">
        <v>0.0</v>
      </c>
      <c r="U30" s="298">
        <v>0.0</v>
      </c>
      <c r="V30" s="298">
        <v>0.0</v>
      </c>
      <c r="W30" s="298">
        <v>0.0</v>
      </c>
      <c r="X30" s="298">
        <v>0.0</v>
      </c>
      <c r="Y30" s="298">
        <v>0.0</v>
      </c>
      <c r="Z30" s="299">
        <v>0.0</v>
      </c>
      <c r="AA30" s="300">
        <f t="shared" si="11"/>
        <v>14950</v>
      </c>
      <c r="AB30" s="303">
        <f t="shared" ref="AB30:AB31" si="173">O30*1.24</f>
        <v>18538</v>
      </c>
      <c r="AC30" s="298">
        <v>0.0</v>
      </c>
      <c r="AD30" s="298">
        <v>0.0</v>
      </c>
      <c r="AE30" s="298">
        <v>0.0</v>
      </c>
      <c r="AF30" s="298">
        <v>0.0</v>
      </c>
      <c r="AG30" s="298">
        <v>0.0</v>
      </c>
      <c r="AH30" s="298">
        <v>0.0</v>
      </c>
      <c r="AI30" s="298">
        <v>0.0</v>
      </c>
      <c r="AJ30" s="298">
        <v>0.0</v>
      </c>
      <c r="AK30" s="298">
        <v>0.0</v>
      </c>
      <c r="AL30" s="298">
        <v>0.0</v>
      </c>
      <c r="AM30" s="302">
        <f t="shared" ref="AM30:AM31" si="174">Z30*1.24</f>
        <v>0</v>
      </c>
      <c r="AN30" s="304">
        <f t="shared" si="12"/>
        <v>18538</v>
      </c>
      <c r="AO30" s="270"/>
    </row>
    <row r="31" ht="26.25" customHeight="1">
      <c r="A31" s="296" t="s">
        <v>251</v>
      </c>
      <c r="B31" s="297">
        <v>0.0</v>
      </c>
      <c r="C31" s="298">
        <v>0.0</v>
      </c>
      <c r="D31" s="298">
        <v>0.0</v>
      </c>
      <c r="E31" s="298">
        <v>0.0</v>
      </c>
      <c r="F31" s="298">
        <v>0.0</v>
      </c>
      <c r="G31" s="298">
        <v>0.0</v>
      </c>
      <c r="H31" s="298">
        <v>0.0</v>
      </c>
      <c r="I31" s="298">
        <v>0.0</v>
      </c>
      <c r="J31" s="298">
        <v>0.0</v>
      </c>
      <c r="K31" s="298">
        <v>0.0</v>
      </c>
      <c r="L31" s="298">
        <v>0.0</v>
      </c>
      <c r="M31" s="299">
        <v>0.0</v>
      </c>
      <c r="N31" s="300">
        <f t="shared" si="32"/>
        <v>0</v>
      </c>
      <c r="O31" s="303">
        <f>100*'6.1 Detalle de inversión inicia'!C2</f>
        <v>149500</v>
      </c>
      <c r="P31" s="298">
        <v>0.0</v>
      </c>
      <c r="Q31" s="298">
        <v>0.0</v>
      </c>
      <c r="R31" s="298">
        <v>0.0</v>
      </c>
      <c r="S31" s="298">
        <v>0.0</v>
      </c>
      <c r="T31" s="298">
        <v>0.0</v>
      </c>
      <c r="U31" s="298">
        <v>0.0</v>
      </c>
      <c r="V31" s="298">
        <v>0.0</v>
      </c>
      <c r="W31" s="298">
        <v>0.0</v>
      </c>
      <c r="X31" s="298">
        <v>0.0</v>
      </c>
      <c r="Y31" s="298">
        <v>0.0</v>
      </c>
      <c r="Z31" s="299">
        <v>0.0</v>
      </c>
      <c r="AA31" s="300">
        <f t="shared" si="11"/>
        <v>149500</v>
      </c>
      <c r="AB31" s="303">
        <f t="shared" si="173"/>
        <v>185380</v>
      </c>
      <c r="AC31" s="298">
        <v>0.0</v>
      </c>
      <c r="AD31" s="298">
        <v>0.0</v>
      </c>
      <c r="AE31" s="298">
        <v>0.0</v>
      </c>
      <c r="AF31" s="298">
        <v>0.0</v>
      </c>
      <c r="AG31" s="298">
        <v>0.0</v>
      </c>
      <c r="AH31" s="298">
        <v>0.0</v>
      </c>
      <c r="AI31" s="298">
        <v>0.0</v>
      </c>
      <c r="AJ31" s="298">
        <v>0.0</v>
      </c>
      <c r="AK31" s="298">
        <v>0.0</v>
      </c>
      <c r="AL31" s="298">
        <v>0.0</v>
      </c>
      <c r="AM31" s="302">
        <f t="shared" si="174"/>
        <v>0</v>
      </c>
      <c r="AN31" s="304">
        <f t="shared" si="12"/>
        <v>185380</v>
      </c>
      <c r="AO31" s="270"/>
    </row>
    <row r="32" ht="26.25" customHeight="1">
      <c r="A32" s="296" t="s">
        <v>71</v>
      </c>
      <c r="B32" s="297">
        <v>0.0</v>
      </c>
      <c r="C32" s="298">
        <v>0.0</v>
      </c>
      <c r="D32" s="298">
        <v>0.0</v>
      </c>
      <c r="E32" s="298">
        <v>0.0</v>
      </c>
      <c r="F32" s="298">
        <v>0.0</v>
      </c>
      <c r="G32" s="298">
        <v>0.0</v>
      </c>
      <c r="H32" s="298">
        <v>0.0</v>
      </c>
      <c r="I32" s="298">
        <v>0.0</v>
      </c>
      <c r="J32" s="298">
        <v>0.0</v>
      </c>
      <c r="K32" s="298">
        <v>0.0</v>
      </c>
      <c r="L32" s="298">
        <v>0.0</v>
      </c>
      <c r="M32" s="299">
        <v>0.0</v>
      </c>
      <c r="N32" s="300">
        <f t="shared" si="32"/>
        <v>0</v>
      </c>
      <c r="O32" s="303">
        <v>42000.0</v>
      </c>
      <c r="P32" s="298">
        <v>0.0</v>
      </c>
      <c r="Q32" s="298">
        <v>0.0</v>
      </c>
      <c r="R32" s="298">
        <v>0.0</v>
      </c>
      <c r="S32" s="298">
        <v>0.0</v>
      </c>
      <c r="T32" s="298">
        <v>0.0</v>
      </c>
      <c r="U32" s="298">
        <v>0.0</v>
      </c>
      <c r="V32" s="298">
        <v>0.0</v>
      </c>
      <c r="W32" s="298">
        <v>0.0</v>
      </c>
      <c r="X32" s="298">
        <v>0.0</v>
      </c>
      <c r="Y32" s="298">
        <v>0.0</v>
      </c>
      <c r="Z32" s="299">
        <v>0.0</v>
      </c>
      <c r="AA32" s="300">
        <f t="shared" si="11"/>
        <v>42000</v>
      </c>
      <c r="AB32" s="303">
        <v>42000.0</v>
      </c>
      <c r="AC32" s="298">
        <v>0.0</v>
      </c>
      <c r="AD32" s="298">
        <v>0.0</v>
      </c>
      <c r="AE32" s="298">
        <v>0.0</v>
      </c>
      <c r="AF32" s="298">
        <v>0.0</v>
      </c>
      <c r="AG32" s="298">
        <v>0.0</v>
      </c>
      <c r="AH32" s="298">
        <v>0.0</v>
      </c>
      <c r="AI32" s="298">
        <v>0.0</v>
      </c>
      <c r="AJ32" s="298">
        <v>0.0</v>
      </c>
      <c r="AK32" s="298">
        <v>0.0</v>
      </c>
      <c r="AL32" s="298">
        <v>0.0</v>
      </c>
      <c r="AM32" s="298">
        <v>0.0</v>
      </c>
      <c r="AN32" s="304">
        <f t="shared" si="12"/>
        <v>42000</v>
      </c>
      <c r="AO32" s="270"/>
    </row>
    <row r="33" ht="26.25" customHeight="1">
      <c r="A33" s="331" t="s">
        <v>252</v>
      </c>
      <c r="B33" s="297">
        <v>0.0</v>
      </c>
      <c r="C33" s="298">
        <v>0.0</v>
      </c>
      <c r="D33" s="298">
        <v>0.0</v>
      </c>
      <c r="E33" s="298">
        <v>0.0</v>
      </c>
      <c r="F33" s="298">
        <v>0.0</v>
      </c>
      <c r="G33" s="298">
        <v>0.0</v>
      </c>
      <c r="H33" s="298">
        <v>60000.0</v>
      </c>
      <c r="I33" s="298">
        <v>60000.0</v>
      </c>
      <c r="J33" s="298">
        <v>60000.0</v>
      </c>
      <c r="K33" s="298">
        <v>60000.0</v>
      </c>
      <c r="L33" s="298">
        <v>60000.0</v>
      </c>
      <c r="M33" s="299">
        <v>60000.0</v>
      </c>
      <c r="N33" s="300">
        <f t="shared" si="32"/>
        <v>360000</v>
      </c>
      <c r="O33" s="303">
        <v>67200.0</v>
      </c>
      <c r="P33" s="298">
        <v>67200.0</v>
      </c>
      <c r="Q33" s="298">
        <v>67200.0</v>
      </c>
      <c r="R33" s="298">
        <v>67200.0</v>
      </c>
      <c r="S33" s="298">
        <v>67200.0</v>
      </c>
      <c r="T33" s="298">
        <v>67200.0</v>
      </c>
      <c r="U33" s="298">
        <v>75264.0</v>
      </c>
      <c r="V33" s="298">
        <v>75264.0</v>
      </c>
      <c r="W33" s="298">
        <v>75264.0</v>
      </c>
      <c r="X33" s="298">
        <v>75264.0</v>
      </c>
      <c r="Y33" s="298">
        <v>75264.0</v>
      </c>
      <c r="Z33" s="299">
        <v>75264.0</v>
      </c>
      <c r="AA33" s="300">
        <f t="shared" si="11"/>
        <v>854784</v>
      </c>
      <c r="AB33" s="303">
        <v>84300.0</v>
      </c>
      <c r="AC33" s="298">
        <v>84300.0</v>
      </c>
      <c r="AD33" s="298">
        <v>84300.0</v>
      </c>
      <c r="AE33" s="298">
        <v>84300.0</v>
      </c>
      <c r="AF33" s="298">
        <v>84300.0</v>
      </c>
      <c r="AG33" s="298">
        <v>84300.0</v>
      </c>
      <c r="AH33" s="298">
        <v>94500.0</v>
      </c>
      <c r="AI33" s="298">
        <v>94500.0</v>
      </c>
      <c r="AJ33" s="298">
        <v>94500.0</v>
      </c>
      <c r="AK33" s="298">
        <v>94500.0</v>
      </c>
      <c r="AL33" s="298">
        <v>94500.0</v>
      </c>
      <c r="AM33" s="298">
        <v>94500.0</v>
      </c>
      <c r="AN33" s="304">
        <f t="shared" si="12"/>
        <v>1072800</v>
      </c>
      <c r="AO33" s="270"/>
    </row>
    <row r="34" ht="26.25" customHeight="1">
      <c r="A34" s="296" t="s">
        <v>253</v>
      </c>
      <c r="B34" s="297">
        <v>0.0</v>
      </c>
      <c r="C34" s="298">
        <v>0.0</v>
      </c>
      <c r="D34" s="298">
        <v>0.0</v>
      </c>
      <c r="E34" s="298">
        <v>0.0</v>
      </c>
      <c r="F34" s="298">
        <v>0.0</v>
      </c>
      <c r="G34" s="298">
        <v>0.0</v>
      </c>
      <c r="H34" s="298">
        <v>0.0</v>
      </c>
      <c r="I34" s="298">
        <v>0.0</v>
      </c>
      <c r="J34" s="298">
        <v>0.0</v>
      </c>
      <c r="K34" s="298">
        <v>0.0</v>
      </c>
      <c r="L34" s="298">
        <v>0.0</v>
      </c>
      <c r="M34" s="298">
        <v>0.0</v>
      </c>
      <c r="N34" s="300">
        <f t="shared" ref="N34:N36" si="175">SUM(C34:M34)</f>
        <v>0</v>
      </c>
      <c r="O34" s="298">
        <f>'6.2 Detalle de Financiación'!C11</f>
        <v>753184.2758</v>
      </c>
      <c r="P34" s="298">
        <f>'6.2 Detalle de Financiación'!C11</f>
        <v>753184.2758</v>
      </c>
      <c r="Q34" s="298">
        <f>'6.2 Detalle de Financiación'!C11</f>
        <v>753184.2758</v>
      </c>
      <c r="R34" s="298">
        <f>'6.2 Detalle de Financiación'!C11</f>
        <v>753184.2758</v>
      </c>
      <c r="S34" s="298">
        <f>'6.2 Detalle de Financiación'!C11</f>
        <v>753184.2758</v>
      </c>
      <c r="T34" s="298">
        <f>'6.2 Detalle de Financiación'!C11</f>
        <v>753184.2758</v>
      </c>
      <c r="U34" s="298">
        <f>'6.2 Detalle de Financiación'!C11</f>
        <v>753184.2758</v>
      </c>
      <c r="V34" s="298">
        <f>'6.2 Detalle de Financiación'!C11</f>
        <v>753184.2758</v>
      </c>
      <c r="W34" s="298">
        <f>'6.2 Detalle de Financiación'!C11</f>
        <v>753184.2758</v>
      </c>
      <c r="X34" s="298">
        <f>'6.2 Detalle de Financiación'!C11</f>
        <v>753184.2758</v>
      </c>
      <c r="Y34" s="298">
        <f>'6.2 Detalle de Financiación'!C11</f>
        <v>753184.2758</v>
      </c>
      <c r="Z34" s="298">
        <f>'6.2 Detalle de Financiación'!C11</f>
        <v>753184.2758</v>
      </c>
      <c r="AA34" s="300">
        <f t="shared" si="11"/>
        <v>9038211.31</v>
      </c>
      <c r="AB34" s="298">
        <f>'6.2 Detalle de Financiación'!C11</f>
        <v>753184.2758</v>
      </c>
      <c r="AC34" s="298">
        <f>'6.2 Detalle de Financiación'!C11</f>
        <v>753184.2758</v>
      </c>
      <c r="AD34" s="298">
        <f>'6.2 Detalle de Financiación'!C11</f>
        <v>753184.2758</v>
      </c>
      <c r="AE34" s="298">
        <f>'6.2 Detalle de Financiación'!C11</f>
        <v>753184.2758</v>
      </c>
      <c r="AF34" s="298">
        <f>'6.2 Detalle de Financiación'!C11</f>
        <v>753184.2758</v>
      </c>
      <c r="AG34" s="298">
        <f>'6.2 Detalle de Financiación'!C11</f>
        <v>753184.2758</v>
      </c>
      <c r="AH34" s="298">
        <v>0.0</v>
      </c>
      <c r="AI34" s="298">
        <v>0.0</v>
      </c>
      <c r="AJ34" s="298">
        <v>0.0</v>
      </c>
      <c r="AK34" s="298">
        <v>0.0</v>
      </c>
      <c r="AL34" s="298">
        <v>0.0</v>
      </c>
      <c r="AM34" s="298">
        <v>0.0</v>
      </c>
      <c r="AN34" s="304">
        <f t="shared" si="12"/>
        <v>4519105.655</v>
      </c>
      <c r="AO34" s="270"/>
    </row>
    <row r="35" ht="26.25" customHeight="1">
      <c r="A35" s="296" t="s">
        <v>254</v>
      </c>
      <c r="B35" s="297">
        <v>0.0</v>
      </c>
      <c r="C35" s="298">
        <v>0.0</v>
      </c>
      <c r="D35" s="298">
        <v>0.0</v>
      </c>
      <c r="E35" s="298">
        <v>0.0</v>
      </c>
      <c r="F35" s="298">
        <v>0.0</v>
      </c>
      <c r="G35" s="298">
        <v>0.0</v>
      </c>
      <c r="H35" s="298">
        <v>0.0</v>
      </c>
      <c r="I35" s="298">
        <v>0.0</v>
      </c>
      <c r="J35" s="298">
        <v>0.0</v>
      </c>
      <c r="K35" s="298">
        <v>0.0</v>
      </c>
      <c r="L35" s="298">
        <v>0.0</v>
      </c>
      <c r="M35" s="298">
        <v>0.0</v>
      </c>
      <c r="N35" s="300">
        <f t="shared" si="175"/>
        <v>0</v>
      </c>
      <c r="O35" s="298">
        <f>'6.2 Detalle de Financiación'!C11</f>
        <v>753184.2758</v>
      </c>
      <c r="P35" s="298">
        <f>'6.2 Detalle de Financiación'!C11</f>
        <v>753184.2758</v>
      </c>
      <c r="Q35" s="298">
        <f>'6.2 Detalle de Financiación'!C11</f>
        <v>753184.2758</v>
      </c>
      <c r="R35" s="298">
        <f>'6.2 Detalle de Financiación'!C11</f>
        <v>753184.2758</v>
      </c>
      <c r="S35" s="298">
        <f>'6.2 Detalle de Financiación'!C11</f>
        <v>753184.2758</v>
      </c>
      <c r="T35" s="298">
        <f>'6.2 Detalle de Financiación'!C11</f>
        <v>753184.2758</v>
      </c>
      <c r="U35" s="298">
        <f>'6.2 Detalle de Financiación'!C11</f>
        <v>753184.2758</v>
      </c>
      <c r="V35" s="298">
        <f>'6.2 Detalle de Financiación'!C11</f>
        <v>753184.2758</v>
      </c>
      <c r="W35" s="298">
        <f>'6.2 Detalle de Financiación'!C11</f>
        <v>753184.2758</v>
      </c>
      <c r="X35" s="298">
        <f>'6.2 Detalle de Financiación'!C11</f>
        <v>753184.2758</v>
      </c>
      <c r="Y35" s="298">
        <f>'6.2 Detalle de Financiación'!C11</f>
        <v>753184.2758</v>
      </c>
      <c r="Z35" s="298">
        <f>'6.2 Detalle de Financiación'!C11</f>
        <v>753184.2758</v>
      </c>
      <c r="AA35" s="300">
        <f t="shared" si="11"/>
        <v>9038211.31</v>
      </c>
      <c r="AB35" s="298">
        <f>'6.2 Detalle de Financiación'!C11</f>
        <v>753184.2758</v>
      </c>
      <c r="AC35" s="298">
        <f>'6.2 Detalle de Financiación'!C11</f>
        <v>753184.2758</v>
      </c>
      <c r="AD35" s="298">
        <f>'6.2 Detalle de Financiación'!C11</f>
        <v>753184.2758</v>
      </c>
      <c r="AE35" s="298">
        <f>'6.2 Detalle de Financiación'!C11</f>
        <v>753184.2758</v>
      </c>
      <c r="AF35" s="298">
        <f>'6.2 Detalle de Financiación'!C11</f>
        <v>753184.2758</v>
      </c>
      <c r="AG35" s="298">
        <f>'6.2 Detalle de Financiación'!C11</f>
        <v>753184.2758</v>
      </c>
      <c r="AH35" s="298">
        <v>0.0</v>
      </c>
      <c r="AI35" s="298">
        <v>0.0</v>
      </c>
      <c r="AJ35" s="298">
        <v>0.0</v>
      </c>
      <c r="AK35" s="298">
        <v>0.0</v>
      </c>
      <c r="AL35" s="298">
        <v>0.0</v>
      </c>
      <c r="AM35" s="298">
        <v>0.0</v>
      </c>
      <c r="AN35" s="304">
        <f t="shared" si="12"/>
        <v>4519105.655</v>
      </c>
      <c r="AO35" s="270"/>
    </row>
    <row r="36" ht="26.25" customHeight="1">
      <c r="A36" s="333" t="s">
        <v>255</v>
      </c>
      <c r="B36" s="334">
        <v>0.0</v>
      </c>
      <c r="C36" s="308">
        <v>0.0</v>
      </c>
      <c r="D36" s="308">
        <v>0.0</v>
      </c>
      <c r="E36" s="308">
        <v>0.0</v>
      </c>
      <c r="F36" s="308">
        <v>0.0</v>
      </c>
      <c r="G36" s="308">
        <v>0.0</v>
      </c>
      <c r="H36" s="308">
        <v>0.0</v>
      </c>
      <c r="I36" s="308">
        <v>0.0</v>
      </c>
      <c r="J36" s="308">
        <v>0.0</v>
      </c>
      <c r="K36" s="298">
        <v>0.0</v>
      </c>
      <c r="L36" s="298">
        <v>0.0</v>
      </c>
      <c r="M36" s="298">
        <v>0.0</v>
      </c>
      <c r="N36" s="327">
        <f t="shared" si="175"/>
        <v>0</v>
      </c>
      <c r="O36" s="298">
        <f>'6.2 Detalle de Financiación'!C11</f>
        <v>753184.2758</v>
      </c>
      <c r="P36" s="298">
        <f>'6.2 Detalle de Financiación'!C11</f>
        <v>753184.2758</v>
      </c>
      <c r="Q36" s="298">
        <f>'6.2 Detalle de Financiación'!C11</f>
        <v>753184.2758</v>
      </c>
      <c r="R36" s="298">
        <f>'6.2 Detalle de Financiación'!C11</f>
        <v>753184.2758</v>
      </c>
      <c r="S36" s="298">
        <f>'6.2 Detalle de Financiación'!C11</f>
        <v>753184.2758</v>
      </c>
      <c r="T36" s="298">
        <f>'6.2 Detalle de Financiación'!C11</f>
        <v>753184.2758</v>
      </c>
      <c r="U36" s="298">
        <f>'6.2 Detalle de Financiación'!C11</f>
        <v>753184.2758</v>
      </c>
      <c r="V36" s="298">
        <f>'6.2 Detalle de Financiación'!C11</f>
        <v>753184.2758</v>
      </c>
      <c r="W36" s="298">
        <f>'6.2 Detalle de Financiación'!C11</f>
        <v>753184.2758</v>
      </c>
      <c r="X36" s="298">
        <f>'6.2 Detalle de Financiación'!C11</f>
        <v>753184.2758</v>
      </c>
      <c r="Y36" s="298">
        <f>'6.2 Detalle de Financiación'!C11</f>
        <v>753184.2758</v>
      </c>
      <c r="Z36" s="298">
        <f>'6.2 Detalle de Financiación'!C11</f>
        <v>753184.2758</v>
      </c>
      <c r="AA36" s="327">
        <f t="shared" si="11"/>
        <v>9038211.31</v>
      </c>
      <c r="AB36" s="298">
        <f>'6.2 Detalle de Financiación'!C11</f>
        <v>753184.2758</v>
      </c>
      <c r="AC36" s="298">
        <f>'6.2 Detalle de Financiación'!C11</f>
        <v>753184.2758</v>
      </c>
      <c r="AD36" s="298">
        <f>'6.2 Detalle de Financiación'!C11</f>
        <v>753184.2758</v>
      </c>
      <c r="AE36" s="298">
        <f>'6.2 Detalle de Financiación'!C11</f>
        <v>753184.2758</v>
      </c>
      <c r="AF36" s="298">
        <f>'6.2 Detalle de Financiación'!C11</f>
        <v>753184.2758</v>
      </c>
      <c r="AG36" s="298">
        <f>'6.2 Detalle de Financiación'!C11</f>
        <v>753184.2758</v>
      </c>
      <c r="AH36" s="298">
        <v>0.0</v>
      </c>
      <c r="AI36" s="298">
        <v>0.0</v>
      </c>
      <c r="AJ36" s="308">
        <v>0.0</v>
      </c>
      <c r="AK36" s="308">
        <v>0.0</v>
      </c>
      <c r="AL36" s="308">
        <v>0.0</v>
      </c>
      <c r="AM36" s="308">
        <v>0.0</v>
      </c>
      <c r="AN36" s="267">
        <f t="shared" si="12"/>
        <v>4519105.655</v>
      </c>
      <c r="AO36" s="270"/>
    </row>
    <row r="37" ht="36.0" customHeight="1">
      <c r="A37" s="311" t="s">
        <v>256</v>
      </c>
      <c r="B37" s="335">
        <f t="shared" ref="B37:M37" si="176">B9*0.03</f>
        <v>379350</v>
      </c>
      <c r="C37" s="336">
        <f t="shared" si="176"/>
        <v>342000</v>
      </c>
      <c r="D37" s="336">
        <f t="shared" si="176"/>
        <v>472365</v>
      </c>
      <c r="E37" s="336">
        <f t="shared" si="176"/>
        <v>747022.5</v>
      </c>
      <c r="F37" s="336">
        <f t="shared" si="176"/>
        <v>747022.5</v>
      </c>
      <c r="G37" s="336">
        <f t="shared" si="176"/>
        <v>591097.5</v>
      </c>
      <c r="H37" s="336">
        <f t="shared" si="176"/>
        <v>623629.125</v>
      </c>
      <c r="I37" s="336">
        <f t="shared" si="176"/>
        <v>620652.375</v>
      </c>
      <c r="J37" s="336">
        <f t="shared" si="176"/>
        <v>913035.375</v>
      </c>
      <c r="K37" s="336">
        <f t="shared" si="176"/>
        <v>846336.33</v>
      </c>
      <c r="L37" s="336">
        <f t="shared" si="176"/>
        <v>707766.9638</v>
      </c>
      <c r="M37" s="337">
        <f t="shared" si="176"/>
        <v>679625.1</v>
      </c>
      <c r="N37" s="315">
        <f t="shared" ref="N37:N45" si="180">SUM(B37:M37)</f>
        <v>7669902.769</v>
      </c>
      <c r="O37" s="335">
        <f t="shared" ref="O37:Z37" si="177">O9*0.03</f>
        <v>889229.6438</v>
      </c>
      <c r="P37" s="336">
        <f t="shared" si="177"/>
        <v>800494.2146</v>
      </c>
      <c r="Q37" s="336">
        <f t="shared" si="177"/>
        <v>943630.4942</v>
      </c>
      <c r="R37" s="336">
        <f t="shared" si="177"/>
        <v>1444466.3</v>
      </c>
      <c r="S37" s="336">
        <f t="shared" si="177"/>
        <v>1104705.562</v>
      </c>
      <c r="T37" s="336">
        <f t="shared" si="177"/>
        <v>1021530.293</v>
      </c>
      <c r="U37" s="336">
        <f t="shared" si="177"/>
        <v>1107014.72</v>
      </c>
      <c r="V37" s="336">
        <f t="shared" si="177"/>
        <v>1110960.345</v>
      </c>
      <c r="W37" s="336">
        <f t="shared" si="177"/>
        <v>1420152.613</v>
      </c>
      <c r="X37" s="336">
        <f t="shared" si="177"/>
        <v>1523224.83</v>
      </c>
      <c r="Y37" s="336">
        <f t="shared" si="177"/>
        <v>1382747.047</v>
      </c>
      <c r="Z37" s="338">
        <f t="shared" si="177"/>
        <v>1222056.963</v>
      </c>
      <c r="AA37" s="339">
        <f t="shared" si="11"/>
        <v>13970213.03</v>
      </c>
      <c r="AB37" s="335">
        <f t="shared" ref="AB37:AM37" si="178">AB9*0.03</f>
        <v>1513862.024</v>
      </c>
      <c r="AC37" s="336">
        <f t="shared" si="178"/>
        <v>1334114.141</v>
      </c>
      <c r="AD37" s="336">
        <f t="shared" si="178"/>
        <v>1538743.92</v>
      </c>
      <c r="AE37" s="336">
        <f t="shared" si="178"/>
        <v>1936854.353</v>
      </c>
      <c r="AF37" s="336">
        <f t="shared" si="178"/>
        <v>1829066.271</v>
      </c>
      <c r="AG37" s="336">
        <f t="shared" si="178"/>
        <v>1436210.631</v>
      </c>
      <c r="AH37" s="336">
        <f t="shared" si="178"/>
        <v>1390234.585</v>
      </c>
      <c r="AI37" s="336">
        <f t="shared" si="178"/>
        <v>1489438.252</v>
      </c>
      <c r="AJ37" s="336">
        <f t="shared" si="178"/>
        <v>2067316.947</v>
      </c>
      <c r="AK37" s="336">
        <f t="shared" si="178"/>
        <v>2033897.887</v>
      </c>
      <c r="AL37" s="336">
        <f t="shared" si="178"/>
        <v>1756038.897</v>
      </c>
      <c r="AM37" s="337">
        <f t="shared" si="178"/>
        <v>1590865.089</v>
      </c>
      <c r="AN37" s="339">
        <f t="shared" si="12"/>
        <v>19916643</v>
      </c>
      <c r="AO37" s="270"/>
    </row>
    <row r="38" ht="36.0" customHeight="1">
      <c r="A38" s="318" t="s">
        <v>257</v>
      </c>
      <c r="B38" s="340">
        <f t="shared" ref="B38:M38" si="179">SUM(B15:B37)*0.006</f>
        <v>56510.495</v>
      </c>
      <c r="C38" s="320">
        <f t="shared" si="179"/>
        <v>56476.925</v>
      </c>
      <c r="D38" s="320">
        <f t="shared" si="179"/>
        <v>57259.115</v>
      </c>
      <c r="E38" s="320">
        <f t="shared" si="179"/>
        <v>62076.968</v>
      </c>
      <c r="F38" s="320">
        <f t="shared" si="179"/>
        <v>62076.968</v>
      </c>
      <c r="G38" s="320">
        <f t="shared" si="179"/>
        <v>61141.418</v>
      </c>
      <c r="H38" s="320">
        <f t="shared" si="179"/>
        <v>65056.71023</v>
      </c>
      <c r="I38" s="320">
        <f t="shared" si="179"/>
        <v>65038.84973</v>
      </c>
      <c r="J38" s="320">
        <f t="shared" si="179"/>
        <v>66793.14773</v>
      </c>
      <c r="K38" s="320">
        <f t="shared" si="179"/>
        <v>69954.66209</v>
      </c>
      <c r="L38" s="320">
        <f t="shared" si="179"/>
        <v>69123.24589</v>
      </c>
      <c r="M38" s="341">
        <f t="shared" si="179"/>
        <v>68954.39471</v>
      </c>
      <c r="N38" s="300">
        <f t="shared" si="180"/>
        <v>760462.8994</v>
      </c>
      <c r="O38" s="340">
        <f t="shared" ref="O38:Z38" si="181">SUM(O15:O37)*0.006</f>
        <v>90948.53808</v>
      </c>
      <c r="P38" s="320">
        <f t="shared" si="181"/>
        <v>87055.53751</v>
      </c>
      <c r="Q38" s="320">
        <f t="shared" si="181"/>
        <v>87914.35519</v>
      </c>
      <c r="R38" s="320">
        <f t="shared" si="181"/>
        <v>94921.30584</v>
      </c>
      <c r="S38" s="320">
        <f t="shared" si="181"/>
        <v>92882.74141</v>
      </c>
      <c r="T38" s="320">
        <f t="shared" si="181"/>
        <v>92383.68979</v>
      </c>
      <c r="U38" s="320">
        <f t="shared" si="181"/>
        <v>97187.03232</v>
      </c>
      <c r="V38" s="320">
        <f t="shared" si="181"/>
        <v>97210.70607</v>
      </c>
      <c r="W38" s="320">
        <f t="shared" si="181"/>
        <v>99065.85968</v>
      </c>
      <c r="X38" s="320">
        <f t="shared" si="181"/>
        <v>104180.8681</v>
      </c>
      <c r="Y38" s="320">
        <f t="shared" si="181"/>
        <v>103338.0014</v>
      </c>
      <c r="Z38" s="321">
        <f t="shared" si="181"/>
        <v>102373.8609</v>
      </c>
      <c r="AA38" s="300">
        <f t="shared" si="11"/>
        <v>1149462.496</v>
      </c>
      <c r="AB38" s="340">
        <f t="shared" ref="AB38:AM38" si="182">SUM(AB15:AB37)*0.006</f>
        <v>113051.9259</v>
      </c>
      <c r="AC38" s="320">
        <f t="shared" si="182"/>
        <v>107866.7895</v>
      </c>
      <c r="AD38" s="320">
        <f t="shared" si="182"/>
        <v>109094.5682</v>
      </c>
      <c r="AE38" s="320">
        <f t="shared" si="182"/>
        <v>116535.5825</v>
      </c>
      <c r="AF38" s="320">
        <f t="shared" si="182"/>
        <v>115888.8541</v>
      </c>
      <c r="AG38" s="320">
        <f t="shared" si="182"/>
        <v>113531.7202</v>
      </c>
      <c r="AH38" s="320">
        <f t="shared" si="182"/>
        <v>105115.2398</v>
      </c>
      <c r="AI38" s="320">
        <f t="shared" si="182"/>
        <v>108657.3399</v>
      </c>
      <c r="AJ38" s="320">
        <f t="shared" si="182"/>
        <v>109177.734</v>
      </c>
      <c r="AK38" s="320">
        <f t="shared" si="182"/>
        <v>114654.0421</v>
      </c>
      <c r="AL38" s="320">
        <f t="shared" si="182"/>
        <v>112986.8882</v>
      </c>
      <c r="AM38" s="341">
        <f t="shared" si="182"/>
        <v>111995.8453</v>
      </c>
      <c r="AN38" s="300">
        <f t="shared" si="12"/>
        <v>1338556.53</v>
      </c>
      <c r="AO38" s="270"/>
    </row>
    <row r="39" ht="36.0" customHeight="1">
      <c r="A39" s="318" t="s">
        <v>258</v>
      </c>
      <c r="B39" s="342">
        <f t="shared" ref="B39:M39" si="183">B9*0.006</f>
        <v>75870</v>
      </c>
      <c r="C39" s="325">
        <f t="shared" si="183"/>
        <v>68400</v>
      </c>
      <c r="D39" s="325">
        <f t="shared" si="183"/>
        <v>94473</v>
      </c>
      <c r="E39" s="325">
        <f t="shared" si="183"/>
        <v>149404.5</v>
      </c>
      <c r="F39" s="325">
        <f t="shared" si="183"/>
        <v>149404.5</v>
      </c>
      <c r="G39" s="325">
        <f t="shared" si="183"/>
        <v>118219.5</v>
      </c>
      <c r="H39" s="325">
        <f t="shared" si="183"/>
        <v>124725.825</v>
      </c>
      <c r="I39" s="325">
        <f t="shared" si="183"/>
        <v>124130.475</v>
      </c>
      <c r="J39" s="325">
        <f t="shared" si="183"/>
        <v>182607.075</v>
      </c>
      <c r="K39" s="325">
        <f t="shared" si="183"/>
        <v>169267.266</v>
      </c>
      <c r="L39" s="325">
        <f t="shared" si="183"/>
        <v>141553.3928</v>
      </c>
      <c r="M39" s="343">
        <f t="shared" si="183"/>
        <v>135925.02</v>
      </c>
      <c r="N39" s="300">
        <f t="shared" si="180"/>
        <v>1533980.554</v>
      </c>
      <c r="O39" s="342">
        <f t="shared" ref="O39:Z39" si="184">O9*0.006</f>
        <v>177845.9288</v>
      </c>
      <c r="P39" s="325">
        <f t="shared" si="184"/>
        <v>160098.8429</v>
      </c>
      <c r="Q39" s="325">
        <f t="shared" si="184"/>
        <v>188726.0988</v>
      </c>
      <c r="R39" s="325">
        <f t="shared" si="184"/>
        <v>288893.2601</v>
      </c>
      <c r="S39" s="325">
        <f t="shared" si="184"/>
        <v>220941.1125</v>
      </c>
      <c r="T39" s="325">
        <f t="shared" si="184"/>
        <v>204306.0586</v>
      </c>
      <c r="U39" s="325">
        <f t="shared" si="184"/>
        <v>221402.9441</v>
      </c>
      <c r="V39" s="325">
        <f t="shared" si="184"/>
        <v>222192.0689</v>
      </c>
      <c r="W39" s="325">
        <f t="shared" si="184"/>
        <v>284030.5227</v>
      </c>
      <c r="X39" s="325">
        <f t="shared" si="184"/>
        <v>304644.9661</v>
      </c>
      <c r="Y39" s="325">
        <f t="shared" si="184"/>
        <v>276549.4094</v>
      </c>
      <c r="Z39" s="326">
        <f t="shared" si="184"/>
        <v>244411.3926</v>
      </c>
      <c r="AA39" s="327">
        <f t="shared" si="11"/>
        <v>2794042.605</v>
      </c>
      <c r="AB39" s="342">
        <f t="shared" ref="AB39:AM39" si="185">SUM(AB16:AB38)*0.006</f>
        <v>62089.55988</v>
      </c>
      <c r="AC39" s="325">
        <f t="shared" si="185"/>
        <v>56873.31264</v>
      </c>
      <c r="AD39" s="325">
        <f t="shared" si="185"/>
        <v>58108.45798</v>
      </c>
      <c r="AE39" s="325">
        <f t="shared" si="185"/>
        <v>62495.67777</v>
      </c>
      <c r="AF39" s="325">
        <f t="shared" si="185"/>
        <v>61845.06891</v>
      </c>
      <c r="AG39" s="325">
        <f t="shared" si="185"/>
        <v>59473.79227</v>
      </c>
      <c r="AH39" s="325">
        <f t="shared" si="185"/>
        <v>47722.46591</v>
      </c>
      <c r="AI39" s="325">
        <f t="shared" si="185"/>
        <v>51285.81857</v>
      </c>
      <c r="AJ39" s="325">
        <f t="shared" si="185"/>
        <v>51809.33505</v>
      </c>
      <c r="AK39" s="325">
        <f t="shared" si="185"/>
        <v>53837.09306</v>
      </c>
      <c r="AL39" s="325">
        <f t="shared" si="185"/>
        <v>52159.9362</v>
      </c>
      <c r="AM39" s="343">
        <f t="shared" si="185"/>
        <v>51162.94709</v>
      </c>
      <c r="AN39" s="327">
        <f t="shared" si="12"/>
        <v>668863.4653</v>
      </c>
      <c r="AO39" s="270"/>
    </row>
    <row r="40" ht="26.25" customHeight="1">
      <c r="A40" s="344" t="s">
        <v>259</v>
      </c>
      <c r="B40" s="345">
        <f t="shared" ref="B40:M40" si="186">SUM(B11:B39)</f>
        <v>16010796.33</v>
      </c>
      <c r="C40" s="345">
        <f t="shared" si="186"/>
        <v>15997697.76</v>
      </c>
      <c r="D40" s="345">
        <f t="shared" si="186"/>
        <v>17590917.95</v>
      </c>
      <c r="E40" s="345">
        <f t="shared" si="186"/>
        <v>21844522.8</v>
      </c>
      <c r="F40" s="345">
        <f t="shared" si="186"/>
        <v>21844522.8</v>
      </c>
      <c r="G40" s="345">
        <f t="shared" si="186"/>
        <v>20197917.25</v>
      </c>
      <c r="H40" s="345">
        <f t="shared" si="186"/>
        <v>21349416.57</v>
      </c>
      <c r="I40" s="345">
        <f t="shared" si="186"/>
        <v>21446950.61</v>
      </c>
      <c r="J40" s="345">
        <f t="shared" si="186"/>
        <v>24992822.51</v>
      </c>
      <c r="K40" s="345">
        <f t="shared" si="186"/>
        <v>24723116.28</v>
      </c>
      <c r="L40" s="345">
        <f t="shared" si="186"/>
        <v>24127241.62</v>
      </c>
      <c r="M40" s="345">
        <f t="shared" si="186"/>
        <v>23986112.53</v>
      </c>
      <c r="N40" s="346">
        <f t="shared" si="180"/>
        <v>254112035</v>
      </c>
      <c r="O40" s="345">
        <f t="shared" ref="O40:Z40" si="187">SUM(O11:O39)</f>
        <v>30341709.15</v>
      </c>
      <c r="P40" s="345">
        <f t="shared" si="187"/>
        <v>28199194.63</v>
      </c>
      <c r="Q40" s="345">
        <f t="shared" si="187"/>
        <v>30071101.98</v>
      </c>
      <c r="R40" s="345">
        <f t="shared" si="187"/>
        <v>37818888.21</v>
      </c>
      <c r="S40" s="345">
        <f t="shared" si="187"/>
        <v>32166006.76</v>
      </c>
      <c r="T40" s="345">
        <f t="shared" si="187"/>
        <v>33224599.38</v>
      </c>
      <c r="U40" s="345">
        <f t="shared" si="187"/>
        <v>35184048.7</v>
      </c>
      <c r="V40" s="345">
        <f t="shared" si="187"/>
        <v>35359027.12</v>
      </c>
      <c r="W40" s="345">
        <f t="shared" si="187"/>
        <v>38109335</v>
      </c>
      <c r="X40" s="345">
        <f t="shared" si="187"/>
        <v>40034884.84</v>
      </c>
      <c r="Y40" s="345">
        <f t="shared" si="187"/>
        <v>39324172.64</v>
      </c>
      <c r="Z40" s="345">
        <f t="shared" si="187"/>
        <v>37422265.4</v>
      </c>
      <c r="AA40" s="347">
        <f t="shared" si="11"/>
        <v>417255233.8</v>
      </c>
      <c r="AB40" s="345">
        <f t="shared" ref="AB40:AM40" si="188">SUM(AB11:AB39)</f>
        <v>44187009.14</v>
      </c>
      <c r="AC40" s="345">
        <f t="shared" si="188"/>
        <v>41262743.35</v>
      </c>
      <c r="AD40" s="345">
        <f t="shared" si="188"/>
        <v>43615141.06</v>
      </c>
      <c r="AE40" s="345">
        <f t="shared" si="188"/>
        <v>49163940.35</v>
      </c>
      <c r="AF40" s="345">
        <f t="shared" si="188"/>
        <v>47034250.93</v>
      </c>
      <c r="AG40" s="345">
        <f t="shared" si="188"/>
        <v>43501014.88</v>
      </c>
      <c r="AH40" s="345">
        <f t="shared" si="188"/>
        <v>41239494.35</v>
      </c>
      <c r="AI40" s="345">
        <f t="shared" si="188"/>
        <v>44139969.81</v>
      </c>
      <c r="AJ40" s="345">
        <f t="shared" si="188"/>
        <v>50015736.07</v>
      </c>
      <c r="AK40" s="345">
        <f t="shared" si="188"/>
        <v>50280290.15</v>
      </c>
      <c r="AL40" s="345">
        <f t="shared" si="188"/>
        <v>48974022.85</v>
      </c>
      <c r="AM40" s="345">
        <f t="shared" si="188"/>
        <v>46650405.01</v>
      </c>
      <c r="AN40" s="348">
        <f t="shared" si="12"/>
        <v>550064018</v>
      </c>
      <c r="AO40" s="270"/>
    </row>
    <row r="41" ht="26.25" customHeight="1">
      <c r="A41" s="349" t="s">
        <v>260</v>
      </c>
      <c r="B41" s="335">
        <f t="shared" ref="B41:M41" si="189">B9-B40</f>
        <v>-3365796.328</v>
      </c>
      <c r="C41" s="336">
        <f t="shared" si="189"/>
        <v>-4597697.758</v>
      </c>
      <c r="D41" s="336">
        <f t="shared" si="189"/>
        <v>-1845417.948</v>
      </c>
      <c r="E41" s="336">
        <f t="shared" si="189"/>
        <v>3056227.199</v>
      </c>
      <c r="F41" s="336">
        <f t="shared" si="189"/>
        <v>3056227.199</v>
      </c>
      <c r="G41" s="336">
        <f t="shared" si="189"/>
        <v>-494667.2513</v>
      </c>
      <c r="H41" s="336">
        <f t="shared" si="189"/>
        <v>-561779.0736</v>
      </c>
      <c r="I41" s="336">
        <f t="shared" si="189"/>
        <v>-758538.1131</v>
      </c>
      <c r="J41" s="336">
        <f t="shared" si="189"/>
        <v>5441689.989</v>
      </c>
      <c r="K41" s="336">
        <f t="shared" si="189"/>
        <v>3488094.724</v>
      </c>
      <c r="L41" s="336">
        <f t="shared" si="189"/>
        <v>-535009.4955</v>
      </c>
      <c r="M41" s="338">
        <f t="shared" si="189"/>
        <v>-1331942.533</v>
      </c>
      <c r="N41" s="350">
        <f t="shared" si="180"/>
        <v>1551390.609</v>
      </c>
      <c r="O41" s="351">
        <f t="shared" ref="O41:Z41" si="190">O9-O40</f>
        <v>-700721.0223</v>
      </c>
      <c r="P41" s="336">
        <f t="shared" si="190"/>
        <v>-1516054.144</v>
      </c>
      <c r="Q41" s="336">
        <f t="shared" si="190"/>
        <v>1383247.821</v>
      </c>
      <c r="R41" s="336">
        <f t="shared" si="190"/>
        <v>10329988.47</v>
      </c>
      <c r="S41" s="336">
        <f t="shared" si="190"/>
        <v>4657511.987</v>
      </c>
      <c r="T41" s="336">
        <f t="shared" si="190"/>
        <v>826410.3811</v>
      </c>
      <c r="U41" s="336">
        <f t="shared" si="190"/>
        <v>1716441.979</v>
      </c>
      <c r="V41" s="336">
        <f t="shared" si="190"/>
        <v>1672984.371</v>
      </c>
      <c r="W41" s="336">
        <f t="shared" si="190"/>
        <v>9229085.451</v>
      </c>
      <c r="X41" s="336">
        <f t="shared" si="190"/>
        <v>10739276.17</v>
      </c>
      <c r="Y41" s="336">
        <f t="shared" si="190"/>
        <v>6767395.593</v>
      </c>
      <c r="Z41" s="338">
        <f t="shared" si="190"/>
        <v>3312966.701</v>
      </c>
      <c r="AA41" s="350">
        <f t="shared" si="11"/>
        <v>48418533.75</v>
      </c>
      <c r="AB41" s="351">
        <f t="shared" ref="AB41:AM41" si="191">AB9-AB40</f>
        <v>6275058.335</v>
      </c>
      <c r="AC41" s="336">
        <f t="shared" si="191"/>
        <v>3207728.018</v>
      </c>
      <c r="AD41" s="336">
        <f t="shared" si="191"/>
        <v>7676322.929</v>
      </c>
      <c r="AE41" s="336">
        <f t="shared" si="191"/>
        <v>15397871.41</v>
      </c>
      <c r="AF41" s="336">
        <f t="shared" si="191"/>
        <v>13934624.77</v>
      </c>
      <c r="AG41" s="336">
        <f t="shared" si="191"/>
        <v>4372672.812</v>
      </c>
      <c r="AH41" s="336">
        <f t="shared" si="191"/>
        <v>5101658.473</v>
      </c>
      <c r="AI41" s="336">
        <f t="shared" si="191"/>
        <v>5507971.93</v>
      </c>
      <c r="AJ41" s="336">
        <f t="shared" si="191"/>
        <v>18894828.84</v>
      </c>
      <c r="AK41" s="336">
        <f t="shared" si="191"/>
        <v>17516306.07</v>
      </c>
      <c r="AL41" s="336">
        <f t="shared" si="191"/>
        <v>9560607.056</v>
      </c>
      <c r="AM41" s="338">
        <f t="shared" si="191"/>
        <v>6378431.299</v>
      </c>
      <c r="AN41" s="350">
        <f t="shared" si="12"/>
        <v>113824081.9</v>
      </c>
      <c r="AO41" s="270"/>
    </row>
    <row r="42" ht="26.25" customHeight="1">
      <c r="A42" s="323" t="s">
        <v>261</v>
      </c>
      <c r="B42" s="352">
        <f t="shared" ref="B42:M42" si="192">IF(B41&gt;0,B41*0.35,0)</f>
        <v>0</v>
      </c>
      <c r="C42" s="353">
        <f t="shared" si="192"/>
        <v>0</v>
      </c>
      <c r="D42" s="353">
        <f t="shared" si="192"/>
        <v>0</v>
      </c>
      <c r="E42" s="353">
        <f t="shared" si="192"/>
        <v>1069679.52</v>
      </c>
      <c r="F42" s="353">
        <f t="shared" si="192"/>
        <v>1069679.52</v>
      </c>
      <c r="G42" s="353">
        <f t="shared" si="192"/>
        <v>0</v>
      </c>
      <c r="H42" s="353">
        <f t="shared" si="192"/>
        <v>0</v>
      </c>
      <c r="I42" s="353">
        <f t="shared" si="192"/>
        <v>0</v>
      </c>
      <c r="J42" s="353">
        <f t="shared" si="192"/>
        <v>1904591.496</v>
      </c>
      <c r="K42" s="353">
        <f t="shared" si="192"/>
        <v>1220833.153</v>
      </c>
      <c r="L42" s="353">
        <f t="shared" si="192"/>
        <v>0</v>
      </c>
      <c r="M42" s="354">
        <f t="shared" si="192"/>
        <v>0</v>
      </c>
      <c r="N42" s="355">
        <f t="shared" si="180"/>
        <v>5264783.689</v>
      </c>
      <c r="O42" s="356">
        <f t="shared" ref="O42:Z42" si="193">IF(O41&gt;0,O41*0.35,0)</f>
        <v>0</v>
      </c>
      <c r="P42" s="353">
        <f t="shared" si="193"/>
        <v>0</v>
      </c>
      <c r="Q42" s="353">
        <f t="shared" si="193"/>
        <v>484136.7375</v>
      </c>
      <c r="R42" s="353">
        <f t="shared" si="193"/>
        <v>3615495.965</v>
      </c>
      <c r="S42" s="353">
        <f t="shared" si="193"/>
        <v>1630129.195</v>
      </c>
      <c r="T42" s="353">
        <f t="shared" si="193"/>
        <v>289243.6334</v>
      </c>
      <c r="U42" s="353">
        <f t="shared" si="193"/>
        <v>600754.6927</v>
      </c>
      <c r="V42" s="353">
        <f t="shared" si="193"/>
        <v>585544.5299</v>
      </c>
      <c r="W42" s="353">
        <f t="shared" si="193"/>
        <v>3230179.908</v>
      </c>
      <c r="X42" s="353">
        <f t="shared" si="193"/>
        <v>3758746.658</v>
      </c>
      <c r="Y42" s="353">
        <f t="shared" si="193"/>
        <v>2368588.457</v>
      </c>
      <c r="Z42" s="354">
        <f t="shared" si="193"/>
        <v>1159538.345</v>
      </c>
      <c r="AA42" s="355">
        <f t="shared" si="11"/>
        <v>17722358.12</v>
      </c>
      <c r="AB42" s="356">
        <f t="shared" ref="AB42:AM42" si="194">IF(AB41&gt;0,AB41*0.35,0)</f>
        <v>2196270.417</v>
      </c>
      <c r="AC42" s="353">
        <f t="shared" si="194"/>
        <v>1122704.806</v>
      </c>
      <c r="AD42" s="353">
        <f t="shared" si="194"/>
        <v>2686713.025</v>
      </c>
      <c r="AE42" s="353">
        <f t="shared" si="194"/>
        <v>5389254.994</v>
      </c>
      <c r="AF42" s="353">
        <f t="shared" si="194"/>
        <v>4877118.67</v>
      </c>
      <c r="AG42" s="353">
        <f t="shared" si="194"/>
        <v>1530435.484</v>
      </c>
      <c r="AH42" s="353">
        <f t="shared" si="194"/>
        <v>1785580.466</v>
      </c>
      <c r="AI42" s="353">
        <f t="shared" si="194"/>
        <v>1927790.175</v>
      </c>
      <c r="AJ42" s="353">
        <f t="shared" si="194"/>
        <v>6613190.095</v>
      </c>
      <c r="AK42" s="353">
        <f t="shared" si="194"/>
        <v>6130707.124</v>
      </c>
      <c r="AL42" s="353">
        <f t="shared" si="194"/>
        <v>3346212.47</v>
      </c>
      <c r="AM42" s="354">
        <f t="shared" si="194"/>
        <v>2232450.955</v>
      </c>
      <c r="AN42" s="357">
        <f t="shared" si="12"/>
        <v>39838428.68</v>
      </c>
      <c r="AO42" s="295"/>
    </row>
    <row r="43" ht="26.25" customHeight="1">
      <c r="A43" s="358" t="s">
        <v>262</v>
      </c>
      <c r="B43" s="345">
        <f t="shared" ref="B43:M43" si="195">B41-B42</f>
        <v>-3365796.328</v>
      </c>
      <c r="C43" s="359">
        <f t="shared" si="195"/>
        <v>-4597697.758</v>
      </c>
      <c r="D43" s="359">
        <f t="shared" si="195"/>
        <v>-1845417.948</v>
      </c>
      <c r="E43" s="359">
        <f t="shared" si="195"/>
        <v>1986547.679</v>
      </c>
      <c r="F43" s="359">
        <f t="shared" si="195"/>
        <v>1986547.679</v>
      </c>
      <c r="G43" s="359">
        <f t="shared" si="195"/>
        <v>-494667.2513</v>
      </c>
      <c r="H43" s="359">
        <f t="shared" si="195"/>
        <v>-561779.0736</v>
      </c>
      <c r="I43" s="359">
        <f t="shared" si="195"/>
        <v>-758538.1131</v>
      </c>
      <c r="J43" s="359">
        <f t="shared" si="195"/>
        <v>3537098.493</v>
      </c>
      <c r="K43" s="359">
        <f t="shared" si="195"/>
        <v>2267261.57</v>
      </c>
      <c r="L43" s="359">
        <f t="shared" si="195"/>
        <v>-535009.4955</v>
      </c>
      <c r="M43" s="360">
        <f t="shared" si="195"/>
        <v>-1331942.533</v>
      </c>
      <c r="N43" s="361">
        <f t="shared" si="180"/>
        <v>-3713393.08</v>
      </c>
      <c r="O43" s="361">
        <f t="shared" ref="O43:Z43" si="196">O41-O42</f>
        <v>-700721.0223</v>
      </c>
      <c r="P43" s="362">
        <f t="shared" si="196"/>
        <v>-1516054.144</v>
      </c>
      <c r="Q43" s="362">
        <f t="shared" si="196"/>
        <v>899111.0839</v>
      </c>
      <c r="R43" s="362">
        <f t="shared" si="196"/>
        <v>6714492.506</v>
      </c>
      <c r="S43" s="362">
        <f t="shared" si="196"/>
        <v>3027382.792</v>
      </c>
      <c r="T43" s="362">
        <f t="shared" si="196"/>
        <v>537166.7477</v>
      </c>
      <c r="U43" s="362">
        <f t="shared" si="196"/>
        <v>1115687.286</v>
      </c>
      <c r="V43" s="362">
        <f t="shared" si="196"/>
        <v>1087439.841</v>
      </c>
      <c r="W43" s="362">
        <f t="shared" si="196"/>
        <v>5998905.543</v>
      </c>
      <c r="X43" s="362">
        <f t="shared" si="196"/>
        <v>6980529.507</v>
      </c>
      <c r="Y43" s="362">
        <f t="shared" si="196"/>
        <v>4398807.135</v>
      </c>
      <c r="Z43" s="363">
        <f t="shared" si="196"/>
        <v>2153428.356</v>
      </c>
      <c r="AA43" s="361">
        <f t="shared" si="11"/>
        <v>30696175.63</v>
      </c>
      <c r="AB43" s="364">
        <f t="shared" ref="AB43:AM43" si="197">AB41-AB42</f>
        <v>4078787.918</v>
      </c>
      <c r="AC43" s="362">
        <f t="shared" si="197"/>
        <v>2085023.212</v>
      </c>
      <c r="AD43" s="362">
        <f t="shared" si="197"/>
        <v>4989609.904</v>
      </c>
      <c r="AE43" s="362">
        <f t="shared" si="197"/>
        <v>10008616.42</v>
      </c>
      <c r="AF43" s="362">
        <f t="shared" si="197"/>
        <v>9057506.102</v>
      </c>
      <c r="AG43" s="362">
        <f t="shared" si="197"/>
        <v>2842237.328</v>
      </c>
      <c r="AH43" s="362">
        <f t="shared" si="197"/>
        <v>3316078.008</v>
      </c>
      <c r="AI43" s="362">
        <f t="shared" si="197"/>
        <v>3580181.754</v>
      </c>
      <c r="AJ43" s="362">
        <f t="shared" si="197"/>
        <v>12281638.75</v>
      </c>
      <c r="AK43" s="362">
        <f t="shared" si="197"/>
        <v>11385598.95</v>
      </c>
      <c r="AL43" s="362">
        <f t="shared" si="197"/>
        <v>6214394.586</v>
      </c>
      <c r="AM43" s="362">
        <f t="shared" si="197"/>
        <v>4145980.344</v>
      </c>
      <c r="AN43" s="362">
        <f t="shared" si="12"/>
        <v>73985653.27</v>
      </c>
      <c r="AO43" s="295"/>
    </row>
    <row r="44" ht="26.25" customHeight="1">
      <c r="A44" s="318" t="s">
        <v>263</v>
      </c>
      <c r="B44" s="365">
        <f t="shared" ref="B44:M44" si="198">IF(B43&gt;0,B43*0.3,0)</f>
        <v>0</v>
      </c>
      <c r="C44" s="365">
        <f t="shared" si="198"/>
        <v>0</v>
      </c>
      <c r="D44" s="365">
        <f t="shared" si="198"/>
        <v>0</v>
      </c>
      <c r="E44" s="365">
        <f t="shared" si="198"/>
        <v>595964.3037</v>
      </c>
      <c r="F44" s="365">
        <f t="shared" si="198"/>
        <v>595964.3037</v>
      </c>
      <c r="G44" s="365">
        <f t="shared" si="198"/>
        <v>0</v>
      </c>
      <c r="H44" s="365">
        <f t="shared" si="198"/>
        <v>0</v>
      </c>
      <c r="I44" s="365">
        <f t="shared" si="198"/>
        <v>0</v>
      </c>
      <c r="J44" s="365">
        <f t="shared" si="198"/>
        <v>1061129.548</v>
      </c>
      <c r="K44" s="365">
        <f t="shared" si="198"/>
        <v>680178.4711</v>
      </c>
      <c r="L44" s="365">
        <f t="shared" si="198"/>
        <v>0</v>
      </c>
      <c r="M44" s="365">
        <f t="shared" si="198"/>
        <v>0</v>
      </c>
      <c r="N44" s="366">
        <f t="shared" si="180"/>
        <v>2933236.626</v>
      </c>
      <c r="O44" s="365">
        <f t="shared" ref="O44:U44" si="199">IF(O43&gt;0,O43*0.3,0)</f>
        <v>0</v>
      </c>
      <c r="P44" s="365">
        <f t="shared" si="199"/>
        <v>0</v>
      </c>
      <c r="Q44" s="365">
        <f t="shared" si="199"/>
        <v>269733.3252</v>
      </c>
      <c r="R44" s="365">
        <f t="shared" si="199"/>
        <v>2014347.752</v>
      </c>
      <c r="S44" s="365">
        <f t="shared" si="199"/>
        <v>908214.8375</v>
      </c>
      <c r="T44" s="365">
        <f t="shared" si="199"/>
        <v>161150.0243</v>
      </c>
      <c r="U44" s="365">
        <f t="shared" si="199"/>
        <v>334706.1859</v>
      </c>
      <c r="V44" s="365">
        <f t="shared" ref="V44:Z44" si="200">IF(V43&gt;0,V43*0.5,0)</f>
        <v>543719.9206</v>
      </c>
      <c r="W44" s="365">
        <f t="shared" si="200"/>
        <v>2999452.772</v>
      </c>
      <c r="X44" s="365">
        <f t="shared" si="200"/>
        <v>3490264.754</v>
      </c>
      <c r="Y44" s="365">
        <f t="shared" si="200"/>
        <v>2199403.568</v>
      </c>
      <c r="Z44" s="365">
        <f t="shared" si="200"/>
        <v>1076714.178</v>
      </c>
      <c r="AA44" s="366">
        <f t="shared" si="11"/>
        <v>13997707.32</v>
      </c>
      <c r="AB44" s="365">
        <f t="shared" ref="AB44:AM44" si="201">IF(AB43&gt;0,AB43*0.9,0)</f>
        <v>3670909.126</v>
      </c>
      <c r="AC44" s="365">
        <f t="shared" si="201"/>
        <v>1876520.891</v>
      </c>
      <c r="AD44" s="365">
        <f t="shared" si="201"/>
        <v>4490648.913</v>
      </c>
      <c r="AE44" s="365">
        <f t="shared" si="201"/>
        <v>9007754.776</v>
      </c>
      <c r="AF44" s="365">
        <f t="shared" si="201"/>
        <v>8151755.492</v>
      </c>
      <c r="AG44" s="365">
        <f t="shared" si="201"/>
        <v>2558013.595</v>
      </c>
      <c r="AH44" s="365">
        <f t="shared" si="201"/>
        <v>2984470.207</v>
      </c>
      <c r="AI44" s="365">
        <f t="shared" si="201"/>
        <v>3222163.579</v>
      </c>
      <c r="AJ44" s="365">
        <f t="shared" si="201"/>
        <v>11053474.87</v>
      </c>
      <c r="AK44" s="365">
        <f t="shared" si="201"/>
        <v>10247039.05</v>
      </c>
      <c r="AL44" s="365">
        <f t="shared" si="201"/>
        <v>5592955.128</v>
      </c>
      <c r="AM44" s="365">
        <f t="shared" si="201"/>
        <v>3731382.31</v>
      </c>
      <c r="AN44" s="320">
        <f t="shared" si="12"/>
        <v>66587087.94</v>
      </c>
      <c r="AO44" s="270">
        <f t="shared" ref="AO44:AO45" si="205">N44+AA44+AN44</f>
        <v>83518031.88</v>
      </c>
    </row>
    <row r="45" ht="26.25" customHeight="1">
      <c r="A45" s="367" t="s">
        <v>264</v>
      </c>
      <c r="B45" s="368">
        <f t="shared" ref="B45:M45" si="202">B43-B44</f>
        <v>-3365796.328</v>
      </c>
      <c r="C45" s="369">
        <f t="shared" si="202"/>
        <v>-4597697.758</v>
      </c>
      <c r="D45" s="369">
        <f t="shared" si="202"/>
        <v>-1845417.948</v>
      </c>
      <c r="E45" s="369">
        <f t="shared" si="202"/>
        <v>1390583.375</v>
      </c>
      <c r="F45" s="369">
        <f t="shared" si="202"/>
        <v>1390583.375</v>
      </c>
      <c r="G45" s="369">
        <f t="shared" si="202"/>
        <v>-494667.2513</v>
      </c>
      <c r="H45" s="369">
        <f t="shared" si="202"/>
        <v>-561779.0736</v>
      </c>
      <c r="I45" s="369">
        <f t="shared" si="202"/>
        <v>-758538.1131</v>
      </c>
      <c r="J45" s="369">
        <f t="shared" si="202"/>
        <v>2475968.945</v>
      </c>
      <c r="K45" s="369">
        <f t="shared" si="202"/>
        <v>1587083.099</v>
      </c>
      <c r="L45" s="369">
        <f t="shared" si="202"/>
        <v>-535009.4955</v>
      </c>
      <c r="M45" s="370">
        <f t="shared" si="202"/>
        <v>-1331942.533</v>
      </c>
      <c r="N45" s="371">
        <f t="shared" si="180"/>
        <v>-6646629.706</v>
      </c>
      <c r="O45" s="372">
        <f t="shared" ref="O45:Z45" si="203">O43-O44</f>
        <v>-700721.0223</v>
      </c>
      <c r="P45" s="373">
        <f t="shared" si="203"/>
        <v>-1516054.144</v>
      </c>
      <c r="Q45" s="373">
        <f t="shared" si="203"/>
        <v>629377.7587</v>
      </c>
      <c r="R45" s="373">
        <f t="shared" si="203"/>
        <v>4700144.754</v>
      </c>
      <c r="S45" s="373">
        <f t="shared" si="203"/>
        <v>2119167.954</v>
      </c>
      <c r="T45" s="373">
        <f t="shared" si="203"/>
        <v>376016.7234</v>
      </c>
      <c r="U45" s="373">
        <f t="shared" si="203"/>
        <v>780981.1005</v>
      </c>
      <c r="V45" s="373">
        <f t="shared" si="203"/>
        <v>543719.9206</v>
      </c>
      <c r="W45" s="373">
        <f t="shared" si="203"/>
        <v>2999452.772</v>
      </c>
      <c r="X45" s="373">
        <f t="shared" si="203"/>
        <v>3490264.754</v>
      </c>
      <c r="Y45" s="373">
        <f t="shared" si="203"/>
        <v>2199403.568</v>
      </c>
      <c r="Z45" s="374">
        <f t="shared" si="203"/>
        <v>1076714.178</v>
      </c>
      <c r="AA45" s="371">
        <f t="shared" si="11"/>
        <v>16698468.32</v>
      </c>
      <c r="AB45" s="372">
        <f t="shared" ref="AB45:AM45" si="204">AB43-AB44</f>
        <v>407878.7918</v>
      </c>
      <c r="AC45" s="373">
        <f t="shared" si="204"/>
        <v>208502.3212</v>
      </c>
      <c r="AD45" s="373">
        <f t="shared" si="204"/>
        <v>498960.9904</v>
      </c>
      <c r="AE45" s="373">
        <f t="shared" si="204"/>
        <v>1000861.642</v>
      </c>
      <c r="AF45" s="373">
        <f t="shared" si="204"/>
        <v>905750.6102</v>
      </c>
      <c r="AG45" s="373">
        <f t="shared" si="204"/>
        <v>284223.7328</v>
      </c>
      <c r="AH45" s="373">
        <f t="shared" si="204"/>
        <v>331607.8008</v>
      </c>
      <c r="AI45" s="373">
        <f t="shared" si="204"/>
        <v>358018.1754</v>
      </c>
      <c r="AJ45" s="373">
        <f t="shared" si="204"/>
        <v>1228163.875</v>
      </c>
      <c r="AK45" s="373">
        <f t="shared" si="204"/>
        <v>1138559.895</v>
      </c>
      <c r="AL45" s="373">
        <f t="shared" si="204"/>
        <v>621439.4586</v>
      </c>
      <c r="AM45" s="373">
        <f t="shared" si="204"/>
        <v>414598.0344</v>
      </c>
      <c r="AN45" s="373">
        <f t="shared" si="12"/>
        <v>7398565.327</v>
      </c>
      <c r="AO45" s="270">
        <f t="shared" si="205"/>
        <v>17450403.94</v>
      </c>
    </row>
    <row r="46" ht="26.25" customHeight="1">
      <c r="A46" s="375" t="s">
        <v>265</v>
      </c>
      <c r="B46" s="376">
        <f>B45</f>
        <v>-3365796.328</v>
      </c>
      <c r="C46" s="377">
        <f t="shared" ref="C46:M46" si="206">IF(B46&lt;0,B46,0)+C45</f>
        <v>-7963494.087</v>
      </c>
      <c r="D46" s="377">
        <f t="shared" si="206"/>
        <v>-9808912.035</v>
      </c>
      <c r="E46" s="377">
        <f t="shared" si="206"/>
        <v>-8418328.66</v>
      </c>
      <c r="F46" s="377">
        <f t="shared" si="206"/>
        <v>-7027745.284</v>
      </c>
      <c r="G46" s="377">
        <f t="shared" si="206"/>
        <v>-7522412.536</v>
      </c>
      <c r="H46" s="377">
        <f t="shared" si="206"/>
        <v>-8084191.609</v>
      </c>
      <c r="I46" s="377">
        <f t="shared" si="206"/>
        <v>-8842729.722</v>
      </c>
      <c r="J46" s="377">
        <f t="shared" si="206"/>
        <v>-6366760.777</v>
      </c>
      <c r="K46" s="377">
        <f t="shared" si="206"/>
        <v>-4779677.678</v>
      </c>
      <c r="L46" s="377">
        <f t="shared" si="206"/>
        <v>-5314687.173</v>
      </c>
      <c r="M46" s="377">
        <f t="shared" si="206"/>
        <v>-6646629.706</v>
      </c>
      <c r="N46" s="378"/>
      <c r="O46" s="377">
        <f>IF(M46&lt;0,M46,0)+O45</f>
        <v>-7347350.729</v>
      </c>
      <c r="P46" s="377">
        <f t="shared" ref="P46:Z46" si="207">IF(O46&lt;0,O46,0)+P45</f>
        <v>-8863404.873</v>
      </c>
      <c r="Q46" s="377">
        <f t="shared" si="207"/>
        <v>-8234027.114</v>
      </c>
      <c r="R46" s="377">
        <f t="shared" si="207"/>
        <v>-3533882.36</v>
      </c>
      <c r="S46" s="377">
        <f t="shared" si="207"/>
        <v>-1414714.406</v>
      </c>
      <c r="T46" s="377">
        <f t="shared" si="207"/>
        <v>-1038697.682</v>
      </c>
      <c r="U46" s="377">
        <f t="shared" si="207"/>
        <v>-257716.5819</v>
      </c>
      <c r="V46" s="377">
        <f t="shared" si="207"/>
        <v>286003.3387</v>
      </c>
      <c r="W46" s="377">
        <f t="shared" si="207"/>
        <v>2999452.772</v>
      </c>
      <c r="X46" s="377">
        <f t="shared" si="207"/>
        <v>3490264.754</v>
      </c>
      <c r="Y46" s="377">
        <f t="shared" si="207"/>
        <v>2199403.568</v>
      </c>
      <c r="Z46" s="377">
        <f t="shared" si="207"/>
        <v>1076714.178</v>
      </c>
      <c r="AA46" s="378"/>
      <c r="AB46" s="377">
        <f t="shared" ref="AB46:AM46" si="208">IF(AA46&lt;0,AA46,0)+AB45</f>
        <v>407878.7918</v>
      </c>
      <c r="AC46" s="377">
        <f t="shared" si="208"/>
        <v>208502.3212</v>
      </c>
      <c r="AD46" s="377">
        <f t="shared" si="208"/>
        <v>498960.9904</v>
      </c>
      <c r="AE46" s="377">
        <f t="shared" si="208"/>
        <v>1000861.642</v>
      </c>
      <c r="AF46" s="377">
        <f t="shared" si="208"/>
        <v>905750.6102</v>
      </c>
      <c r="AG46" s="377">
        <f t="shared" si="208"/>
        <v>284223.7328</v>
      </c>
      <c r="AH46" s="377">
        <f t="shared" si="208"/>
        <v>331607.8008</v>
      </c>
      <c r="AI46" s="377">
        <f t="shared" si="208"/>
        <v>358018.1754</v>
      </c>
      <c r="AJ46" s="377">
        <f t="shared" si="208"/>
        <v>1228163.875</v>
      </c>
      <c r="AK46" s="377">
        <f t="shared" si="208"/>
        <v>1138559.895</v>
      </c>
      <c r="AL46" s="377">
        <f t="shared" si="208"/>
        <v>621439.4586</v>
      </c>
      <c r="AM46" s="377">
        <f t="shared" si="208"/>
        <v>414598.0344</v>
      </c>
      <c r="AN46" s="373"/>
      <c r="AO46" s="270"/>
    </row>
    <row r="47" ht="26.25" customHeight="1">
      <c r="A47" s="1"/>
      <c r="B47" s="270"/>
      <c r="C47" s="270"/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270"/>
      <c r="O47" s="270"/>
      <c r="P47" s="270"/>
      <c r="Q47" s="270"/>
      <c r="R47" s="270"/>
      <c r="S47" s="270"/>
      <c r="T47" s="270"/>
      <c r="U47" s="270"/>
      <c r="V47" s="270"/>
      <c r="W47" s="270"/>
      <c r="X47" s="270"/>
      <c r="Y47" s="270"/>
      <c r="Z47" s="270"/>
      <c r="AA47" s="270"/>
      <c r="AB47" s="270"/>
      <c r="AC47" s="270"/>
      <c r="AD47" s="270"/>
      <c r="AE47" s="270"/>
      <c r="AF47" s="270"/>
      <c r="AG47" s="270"/>
      <c r="AH47" s="270"/>
      <c r="AI47" s="270"/>
      <c r="AJ47" s="270"/>
      <c r="AK47" s="270"/>
      <c r="AL47" s="270"/>
      <c r="AM47" s="270"/>
      <c r="AN47" s="270"/>
      <c r="AO47" s="270"/>
    </row>
    <row r="48" ht="101.25" customHeight="1">
      <c r="A48" s="379" t="s">
        <v>266</v>
      </c>
      <c r="B48" s="380">
        <f>IF(MIN(B46:AN46)&lt;0,MIN(B46:AN46)*-1,0)</f>
        <v>9808912.035</v>
      </c>
      <c r="C48" s="246"/>
      <c r="D48" s="245"/>
      <c r="E48" s="381"/>
      <c r="F48" s="246"/>
      <c r="G48" s="246"/>
      <c r="H48" s="245"/>
      <c r="I48" s="245"/>
      <c r="J48" s="245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  <c r="AI48" s="245"/>
      <c r="AJ48" s="245"/>
      <c r="AK48" s="245"/>
      <c r="AL48" s="245"/>
      <c r="AM48" s="246" t="s">
        <v>267</v>
      </c>
      <c r="AN48" s="382">
        <f t="array" ref="AN48">IRR({-'6.2 Detalle de Financiación'!C4;N34+N44/3;AA34+AA44/3;AN34+AN44/3})</f>
        <v>0.5477666929</v>
      </c>
      <c r="AO48" s="245"/>
    </row>
    <row r="49" ht="26.25" customHeight="1">
      <c r="A49" s="1"/>
      <c r="C49" s="246"/>
      <c r="D49" s="270"/>
      <c r="E49" s="270"/>
      <c r="F49" s="270"/>
      <c r="G49" s="270"/>
      <c r="I49" s="245"/>
      <c r="J49" s="245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  <c r="AI49" s="245"/>
      <c r="AJ49" s="245"/>
      <c r="AK49" s="245"/>
      <c r="AL49" s="245"/>
      <c r="AM49" s="245"/>
      <c r="AO49" s="245"/>
    </row>
  </sheetData>
  <mergeCells count="5">
    <mergeCell ref="B2:N2"/>
    <mergeCell ref="O2:AA2"/>
    <mergeCell ref="AB2:AN2"/>
    <mergeCell ref="B5:AN5"/>
    <mergeCell ref="B10:AN10"/>
  </mergeCells>
  <conditionalFormatting sqref="B43:AN43">
    <cfRule type="cellIs" dxfId="3" priority="1" operator="lessThanOrEqual">
      <formula>0</formula>
    </cfRule>
  </conditionalFormatting>
  <hyperlinks>
    <hyperlink r:id="rId2" ref="A14"/>
  </hyperlinks>
  <printOptions/>
  <pageMargins bottom="0.75" footer="0.0" header="0.0" left="0.7" right="0.7" top="0.75"/>
  <pageSetup orientation="portrait"/>
  <drawing r:id="rId3"/>
  <legacyDrawing r:id="rId4"/>
  <tableParts count="1">
    <tablePart r:id="rId6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2020-07-20T21:42:29Z</dcterms:created>
  <dc:creator>usuario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0x010100B0A0978C92AED346A5B2D7523A4F38C1</vt:lpwstr>
  </property>
</Properties>
</file>