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B34F75173040A3D7/Documentos/"/>
    </mc:Choice>
  </mc:AlternateContent>
  <xr:revisionPtr revIDLastSave="0" documentId="8_{D4F109DA-0AEF-4BBD-82BD-C9249CE1EFBD}" xr6:coauthVersionLast="47" xr6:coauthVersionMax="47" xr10:uidLastSave="{00000000-0000-0000-0000-000000000000}"/>
  <bookViews>
    <workbookView xWindow="-108" yWindow="-108" windowWidth="23256" windowHeight="12456" tabRatio="857" activeTab="5" xr2:uid="{00000000-000D-0000-FFFF-FFFF00000000}"/>
  </bookViews>
  <sheets>
    <sheet name="6.1 Detalle de inversión de equ" sheetId="1" r:id="rId1"/>
    <sheet name="6.2 Detalle de Financiación" sheetId="2" r:id="rId2"/>
    <sheet name="6.3 Curva de estacionalidad des" sheetId="4" r:id="rId3"/>
    <sheet name="6.4.1 Estimación de ventas (E" sheetId="5" r:id="rId4"/>
    <sheet name="6.5 Sueldos y cargas sociales" sheetId="7" r:id="rId5"/>
    <sheet name="6.6 Cashflow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maJaDKPnFokVeU4IHmgslXHOdx+yO7cEZ7D5mITl6Rk="/>
    </ext>
  </extLst>
</workbook>
</file>

<file path=xl/calcChain.xml><?xml version="1.0" encoding="utf-8"?>
<calcChain xmlns="http://schemas.openxmlformats.org/spreadsheetml/2006/main">
  <c r="AC21" i="8" l="1"/>
  <c r="AD21" i="8"/>
  <c r="AE21" i="8"/>
  <c r="AF21" i="8"/>
  <c r="AG21" i="8"/>
  <c r="AH21" i="8"/>
  <c r="AI21" i="8"/>
  <c r="AJ21" i="8"/>
  <c r="AK21" i="8"/>
  <c r="AL21" i="8"/>
  <c r="AM21" i="8"/>
  <c r="AB21" i="8"/>
  <c r="Q21" i="8"/>
  <c r="R21" i="8"/>
  <c r="S21" i="8"/>
  <c r="T21" i="8"/>
  <c r="U21" i="8"/>
  <c r="V21" i="8"/>
  <c r="W21" i="8"/>
  <c r="X21" i="8"/>
  <c r="Y21" i="8"/>
  <c r="Z21" i="8"/>
  <c r="P21" i="8"/>
  <c r="O21" i="8"/>
  <c r="M21" i="8"/>
  <c r="L21" i="8"/>
  <c r="K21" i="8"/>
  <c r="J21" i="8"/>
  <c r="I21" i="8"/>
  <c r="H21" i="8"/>
  <c r="G21" i="8"/>
  <c r="F21" i="8"/>
  <c r="E21" i="8"/>
  <c r="D21" i="8"/>
  <c r="C21" i="8"/>
  <c r="B21" i="8"/>
  <c r="F32" i="8"/>
  <c r="I32" i="8"/>
  <c r="H32" i="8"/>
  <c r="J32" i="8"/>
  <c r="D32" i="8"/>
  <c r="AM10" i="8"/>
  <c r="Z10" i="8"/>
  <c r="AC9" i="8"/>
  <c r="AD9" i="8"/>
  <c r="AE9" i="8"/>
  <c r="AF9" i="8"/>
  <c r="AG9" i="8"/>
  <c r="AH9" i="8"/>
  <c r="AI9" i="8"/>
  <c r="AJ9" i="8"/>
  <c r="AK9" i="8"/>
  <c r="AL9" i="8"/>
  <c r="AM9" i="8"/>
  <c r="AB9" i="8"/>
  <c r="P9" i="8"/>
  <c r="Q9" i="8"/>
  <c r="R9" i="8"/>
  <c r="S9" i="8"/>
  <c r="T9" i="8"/>
  <c r="U9" i="8"/>
  <c r="V9" i="8"/>
  <c r="W9" i="8"/>
  <c r="X9" i="8"/>
  <c r="Y9" i="8"/>
  <c r="Z9" i="8"/>
  <c r="O9" i="8"/>
  <c r="D9" i="8"/>
  <c r="E9" i="8"/>
  <c r="F9" i="8"/>
  <c r="G9" i="8"/>
  <c r="H9" i="8"/>
  <c r="I9" i="8"/>
  <c r="J9" i="8"/>
  <c r="K9" i="8"/>
  <c r="L9" i="8"/>
  <c r="M9" i="8"/>
  <c r="C9" i="8"/>
  <c r="B9" i="8"/>
  <c r="M10" i="8"/>
  <c r="AN9" i="8"/>
  <c r="AN10" i="8"/>
  <c r="AA9" i="8"/>
  <c r="AA10" i="8"/>
  <c r="N9" i="8"/>
  <c r="N10" i="8"/>
  <c r="E85" i="1"/>
  <c r="E84" i="1"/>
  <c r="C23" i="8"/>
  <c r="D23" i="8" s="1"/>
  <c r="E23" i="8" s="1"/>
  <c r="F23" i="8" s="1"/>
  <c r="G23" i="8" s="1"/>
  <c r="H23" i="8" s="1"/>
  <c r="I23" i="8" s="1"/>
  <c r="J23" i="8" s="1"/>
  <c r="K23" i="8" s="1"/>
  <c r="L23" i="8" s="1"/>
  <c r="M23" i="8" s="1"/>
  <c r="O23" i="8" s="1"/>
  <c r="P23" i="8" s="1"/>
  <c r="Q23" i="8" s="1"/>
  <c r="R23" i="8" s="1"/>
  <c r="S23" i="8" s="1"/>
  <c r="T23" i="8" s="1"/>
  <c r="U23" i="8" s="1"/>
  <c r="V23" i="8" s="1"/>
  <c r="W23" i="8" s="1"/>
  <c r="X23" i="8" s="1"/>
  <c r="Y23" i="8" s="1"/>
  <c r="Z23" i="8" s="1"/>
  <c r="AB23" i="8" s="1"/>
  <c r="AC23" i="8" s="1"/>
  <c r="AD23" i="8" s="1"/>
  <c r="AE23" i="8" s="1"/>
  <c r="AF23" i="8" s="1"/>
  <c r="AG23" i="8" s="1"/>
  <c r="AH23" i="8" s="1"/>
  <c r="AI23" i="8" s="1"/>
  <c r="AJ23" i="8" s="1"/>
  <c r="AK23" i="8" s="1"/>
  <c r="AL23" i="8" s="1"/>
  <c r="AM23" i="8" s="1"/>
  <c r="C22" i="8"/>
  <c r="D22" i="8" s="1"/>
  <c r="E22" i="8" s="1"/>
  <c r="F22" i="8" s="1"/>
  <c r="G22" i="8" s="1"/>
  <c r="H22" i="8" s="1"/>
  <c r="I22" i="8" s="1"/>
  <c r="J22" i="8" s="1"/>
  <c r="K22" i="8" s="1"/>
  <c r="L22" i="8" s="1"/>
  <c r="M22" i="8" s="1"/>
  <c r="O22" i="8" s="1"/>
  <c r="P22" i="8" s="1"/>
  <c r="Q22" i="8" s="1"/>
  <c r="R22" i="8" s="1"/>
  <c r="S22" i="8" s="1"/>
  <c r="T22" i="8" s="1"/>
  <c r="U22" i="8" s="1"/>
  <c r="V22" i="8" s="1"/>
  <c r="W22" i="8" s="1"/>
  <c r="X22" i="8" s="1"/>
  <c r="Y22" i="8" s="1"/>
  <c r="Z22" i="8" s="1"/>
  <c r="AB22" i="8" s="1"/>
  <c r="AC22" i="8" s="1"/>
  <c r="AD22" i="8" s="1"/>
  <c r="AE22" i="8" s="1"/>
  <c r="AF22" i="8" s="1"/>
  <c r="AG22" i="8" s="1"/>
  <c r="AH22" i="8" s="1"/>
  <c r="AI22" i="8" s="1"/>
  <c r="AJ22" i="8" s="1"/>
  <c r="AK22" i="8" s="1"/>
  <c r="AL22" i="8" s="1"/>
  <c r="AM22" i="8" s="1"/>
  <c r="P25" i="8"/>
  <c r="AC25" i="8" s="1"/>
  <c r="Q25" i="8"/>
  <c r="AD25" i="8" s="1"/>
  <c r="R25" i="8"/>
  <c r="AE25" i="8" s="1"/>
  <c r="S25" i="8"/>
  <c r="AF25" i="8" s="1"/>
  <c r="T25" i="8"/>
  <c r="AG25" i="8" s="1"/>
  <c r="U25" i="8"/>
  <c r="AH25" i="8" s="1"/>
  <c r="V25" i="8"/>
  <c r="AI25" i="8" s="1"/>
  <c r="W25" i="8"/>
  <c r="AJ25" i="8" s="1"/>
  <c r="X25" i="8"/>
  <c r="AK25" i="8" s="1"/>
  <c r="Y25" i="8"/>
  <c r="AL25" i="8" s="1"/>
  <c r="Z25" i="8"/>
  <c r="AM25" i="8" s="1"/>
  <c r="O25" i="8"/>
  <c r="AB25" i="8" s="1"/>
  <c r="AN25" i="8"/>
  <c r="AA25" i="8"/>
  <c r="N25" i="8"/>
  <c r="C24" i="8"/>
  <c r="D24" i="8" s="1"/>
  <c r="E24" i="8" s="1"/>
  <c r="F24" i="8" s="1"/>
  <c r="G24" i="8" s="1"/>
  <c r="H24" i="8" s="1"/>
  <c r="I24" i="8" s="1"/>
  <c r="J24" i="8" s="1"/>
  <c r="K24" i="8" s="1"/>
  <c r="L24" i="8" s="1"/>
  <c r="M24" i="8" s="1"/>
  <c r="O24" i="8" s="1"/>
  <c r="P24" i="8" s="1"/>
  <c r="Q24" i="8" s="1"/>
  <c r="R24" i="8" s="1"/>
  <c r="S24" i="8" s="1"/>
  <c r="T24" i="8" s="1"/>
  <c r="U24" i="8" s="1"/>
  <c r="V24" i="8" s="1"/>
  <c r="W24" i="8" s="1"/>
  <c r="X24" i="8" s="1"/>
  <c r="Y24" i="8" s="1"/>
  <c r="Z24" i="8" s="1"/>
  <c r="AB24" i="8" s="1"/>
  <c r="AC24" i="8" s="1"/>
  <c r="AD24" i="8" s="1"/>
  <c r="AE24" i="8" s="1"/>
  <c r="AF24" i="8" s="1"/>
  <c r="AG24" i="8" s="1"/>
  <c r="AH24" i="8" s="1"/>
  <c r="AI24" i="8" s="1"/>
  <c r="AJ24" i="8" s="1"/>
  <c r="AK24" i="8" s="1"/>
  <c r="AL24" i="8" s="1"/>
  <c r="AM24" i="8" s="1"/>
  <c r="B16" i="8"/>
  <c r="AA33" i="8"/>
  <c r="O29" i="8"/>
  <c r="AK19" i="8"/>
  <c r="AJ20" i="8"/>
  <c r="AJ19" i="8"/>
  <c r="AI19" i="8"/>
  <c r="AH19" i="8"/>
  <c r="AG19" i="8"/>
  <c r="AG20" i="8"/>
  <c r="AF19" i="8"/>
  <c r="AF18" i="8"/>
  <c r="AE20" i="8"/>
  <c r="AD20" i="8"/>
  <c r="AB20" i="8"/>
  <c r="AB18" i="8"/>
  <c r="X19" i="8"/>
  <c r="W20" i="8"/>
  <c r="W19" i="8"/>
  <c r="V19" i="8"/>
  <c r="U19" i="8"/>
  <c r="T19" i="8"/>
  <c r="T20" i="8"/>
  <c r="S19" i="8"/>
  <c r="S18" i="8"/>
  <c r="R20" i="8"/>
  <c r="Q20" i="8"/>
  <c r="K19" i="8"/>
  <c r="J20" i="8"/>
  <c r="J19" i="8"/>
  <c r="I19" i="8"/>
  <c r="H19" i="8"/>
  <c r="G19" i="8"/>
  <c r="G20" i="8"/>
  <c r="F18" i="8"/>
  <c r="F19" i="8"/>
  <c r="E20" i="8"/>
  <c r="N33" i="8"/>
  <c r="C31" i="8"/>
  <c r="P35" i="8"/>
  <c r="Q35" i="8"/>
  <c r="R35" i="8"/>
  <c r="S35" i="8"/>
  <c r="T35" i="8"/>
  <c r="U35" i="8"/>
  <c r="V35" i="8"/>
  <c r="W35" i="8"/>
  <c r="X35" i="8"/>
  <c r="Y35" i="8"/>
  <c r="Z35" i="8"/>
  <c r="O35" i="8"/>
  <c r="B28" i="8"/>
  <c r="C27" i="8"/>
  <c r="AL20" i="8"/>
  <c r="Y20" i="8"/>
  <c r="B20" i="8"/>
  <c r="O20" i="8"/>
  <c r="AD19" i="8"/>
  <c r="AC19" i="8"/>
  <c r="Q19" i="8"/>
  <c r="P19" i="8"/>
  <c r="AM18" i="8"/>
  <c r="AL18" i="8"/>
  <c r="AK18" i="8"/>
  <c r="AJ18" i="8"/>
  <c r="AE18" i="8"/>
  <c r="AD18" i="8"/>
  <c r="AC18" i="8"/>
  <c r="Z18" i="8"/>
  <c r="Y18" i="8"/>
  <c r="X18" i="8"/>
  <c r="W18" i="8"/>
  <c r="R18" i="8"/>
  <c r="Q18" i="8"/>
  <c r="P18" i="8"/>
  <c r="O18" i="8"/>
  <c r="D19" i="8"/>
  <c r="C19" i="8"/>
  <c r="N30" i="8"/>
  <c r="AN33" i="8"/>
  <c r="O30" i="8"/>
  <c r="L20" i="8"/>
  <c r="D20" i="8"/>
  <c r="AB34" i="8"/>
  <c r="O34" i="8"/>
  <c r="M18" i="8"/>
  <c r="L18" i="8"/>
  <c r="K18" i="8"/>
  <c r="J18" i="8"/>
  <c r="E18" i="8"/>
  <c r="D18" i="8"/>
  <c r="AC26" i="8"/>
  <c r="AD26" i="8"/>
  <c r="AE26" i="8"/>
  <c r="AF26" i="8"/>
  <c r="AG26" i="8"/>
  <c r="AH26" i="8"/>
  <c r="AI26" i="8"/>
  <c r="AJ26" i="8"/>
  <c r="AK26" i="8"/>
  <c r="AL26" i="8"/>
  <c r="AM26" i="8"/>
  <c r="C18" i="8"/>
  <c r="AB26" i="8"/>
  <c r="P26" i="8"/>
  <c r="Q26" i="8"/>
  <c r="R26" i="8"/>
  <c r="S26" i="8"/>
  <c r="T26" i="8"/>
  <c r="U26" i="8"/>
  <c r="V26" i="8"/>
  <c r="W26" i="8"/>
  <c r="X26" i="8"/>
  <c r="Y26" i="8"/>
  <c r="Z26" i="8"/>
  <c r="O26" i="8"/>
  <c r="B18" i="8"/>
  <c r="P16" i="8"/>
  <c r="M32" i="8"/>
  <c r="L32" i="8"/>
  <c r="K32" i="8"/>
  <c r="G32" i="8"/>
  <c r="E32" i="8"/>
  <c r="C32" i="8"/>
  <c r="B32" i="8"/>
  <c r="C34" i="8"/>
  <c r="C26" i="8"/>
  <c r="E57" i="5"/>
  <c r="E55" i="5"/>
  <c r="E53" i="5"/>
  <c r="E52" i="5"/>
  <c r="E51" i="5"/>
  <c r="E50" i="5"/>
  <c r="E49" i="5"/>
  <c r="E46" i="5"/>
  <c r="E42" i="5"/>
  <c r="E39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G12" i="5"/>
  <c r="G13" i="5"/>
  <c r="G14" i="5"/>
  <c r="G20" i="5"/>
  <c r="G5" i="5"/>
  <c r="E91" i="1"/>
  <c r="E92" i="1"/>
  <c r="E66" i="1"/>
  <c r="E58" i="1"/>
  <c r="E59" i="1"/>
  <c r="E60" i="1"/>
  <c r="E51" i="1"/>
  <c r="E52" i="1"/>
  <c r="E26" i="1"/>
  <c r="E27" i="1"/>
  <c r="E28" i="1"/>
  <c r="E29" i="1"/>
  <c r="E30" i="1"/>
  <c r="E31" i="1"/>
  <c r="E35" i="1"/>
  <c r="E36" i="1"/>
  <c r="E37" i="1"/>
  <c r="E38" i="1"/>
  <c r="E39" i="1"/>
  <c r="E40" i="1"/>
  <c r="E41" i="1"/>
  <c r="E42" i="1"/>
  <c r="E43" i="1"/>
  <c r="E44" i="1"/>
  <c r="E45" i="1"/>
  <c r="E46" i="1"/>
  <c r="E48" i="1"/>
  <c r="C8" i="2"/>
  <c r="C16" i="1"/>
  <c r="AN44" i="8"/>
  <c r="AA44" i="8"/>
  <c r="N35" i="8"/>
  <c r="N29" i="8"/>
  <c r="N24" i="8"/>
  <c r="C10" i="7"/>
  <c r="I6" i="2"/>
  <c r="E90" i="1"/>
  <c r="E93" i="1"/>
  <c r="E83" i="1"/>
  <c r="E82" i="1"/>
  <c r="E80" i="1"/>
  <c r="E79" i="1"/>
  <c r="E74" i="1"/>
  <c r="E73" i="1"/>
  <c r="E68" i="1"/>
  <c r="E67" i="1"/>
  <c r="E75" i="1"/>
  <c r="C17" i="1"/>
  <c r="AA29" i="8" l="1"/>
  <c r="AB29" i="8"/>
  <c r="N32" i="8"/>
  <c r="AN29" i="8"/>
  <c r="D31" i="8"/>
  <c r="AC35" i="8"/>
  <c r="AE35" i="8"/>
  <c r="AF35" i="8"/>
  <c r="AG35" i="8"/>
  <c r="AH35" i="8"/>
  <c r="AI35" i="8"/>
  <c r="AJ35" i="8"/>
  <c r="AK35" i="8"/>
  <c r="AL35" i="8"/>
  <c r="AM35" i="8"/>
  <c r="AB35" i="8"/>
  <c r="C28" i="8"/>
  <c r="D28" i="8" s="1"/>
  <c r="E28" i="8" s="1"/>
  <c r="F28" i="8" s="1"/>
  <c r="G28" i="8" s="1"/>
  <c r="H28" i="8" s="1"/>
  <c r="I28" i="8" s="1"/>
  <c r="J28" i="8" s="1"/>
  <c r="K28" i="8" s="1"/>
  <c r="L28" i="8" s="1"/>
  <c r="M28" i="8" s="1"/>
  <c r="O28" i="8" s="1"/>
  <c r="P28" i="8" s="1"/>
  <c r="Q28" i="8" s="1"/>
  <c r="R28" i="8" s="1"/>
  <c r="D27" i="8"/>
  <c r="AD35" i="8"/>
  <c r="AA35" i="8"/>
  <c r="N28" i="8"/>
  <c r="C15" i="1"/>
  <c r="U30" i="8"/>
  <c r="AB30" i="8" s="1"/>
  <c r="AA26" i="8"/>
  <c r="N21" i="8"/>
  <c r="N20" i="8"/>
  <c r="AC32" i="8"/>
  <c r="AD32" i="8"/>
  <c r="AE32" i="8"/>
  <c r="AF32" i="8"/>
  <c r="AG32" i="8"/>
  <c r="AH32" i="8"/>
  <c r="AI32" i="8"/>
  <c r="AJ32" i="8"/>
  <c r="AK32" i="8"/>
  <c r="AL32" i="8"/>
  <c r="AM32" i="8"/>
  <c r="AB32" i="8"/>
  <c r="P32" i="8"/>
  <c r="Q32" i="8"/>
  <c r="R32" i="8"/>
  <c r="S32" i="8"/>
  <c r="T32" i="8"/>
  <c r="U32" i="8"/>
  <c r="V32" i="8"/>
  <c r="W32" i="8"/>
  <c r="X32" i="8"/>
  <c r="P34" i="8"/>
  <c r="Q34" i="8" s="1"/>
  <c r="R34" i="8" s="1"/>
  <c r="S34" i="8" s="1"/>
  <c r="T34" i="8" s="1"/>
  <c r="U34" i="8" s="1"/>
  <c r="V34" i="8" s="1"/>
  <c r="W34" i="8" s="1"/>
  <c r="X34" i="8" s="1"/>
  <c r="Y34" i="8" s="1"/>
  <c r="Z34" i="8" s="1"/>
  <c r="Q16" i="8"/>
  <c r="Y32" i="8"/>
  <c r="Z32" i="8"/>
  <c r="O32" i="8"/>
  <c r="AA32" i="8" s="1"/>
  <c r="N19" i="8"/>
  <c r="E59" i="5"/>
  <c r="E54" i="5"/>
  <c r="E48" i="5"/>
  <c r="E45" i="5"/>
  <c r="E41" i="5"/>
  <c r="E38" i="5"/>
  <c r="B6" i="8"/>
  <c r="E91" i="5"/>
  <c r="E90" i="5"/>
  <c r="E88" i="5"/>
  <c r="E79" i="5"/>
  <c r="E76" i="5"/>
  <c r="E75" i="5"/>
  <c r="E72" i="5"/>
  <c r="E69" i="5"/>
  <c r="E61" i="5"/>
  <c r="E58" i="5"/>
  <c r="E47" i="5"/>
  <c r="E43" i="5"/>
  <c r="E60" i="5"/>
  <c r="E56" i="5"/>
  <c r="E44" i="5"/>
  <c r="E40" i="5"/>
  <c r="E37" i="5"/>
  <c r="AC34" i="8"/>
  <c r="AD34" i="8" s="1"/>
  <c r="AE34" i="8" s="1"/>
  <c r="AF34" i="8" s="1"/>
  <c r="AG34" i="8" s="1"/>
  <c r="AH34" i="8" s="1"/>
  <c r="AI34" i="8" s="1"/>
  <c r="AJ34" i="8" s="1"/>
  <c r="AK34" i="8" s="1"/>
  <c r="AL34" i="8" s="1"/>
  <c r="AM34" i="8" s="1"/>
  <c r="AN26" i="8"/>
  <c r="AN24" i="8"/>
  <c r="AA24" i="8"/>
  <c r="AN21" i="8"/>
  <c r="AA21" i="8"/>
  <c r="N18" i="8"/>
  <c r="F7" i="8"/>
  <c r="E8" i="8"/>
  <c r="E6" i="8"/>
  <c r="D34" i="8"/>
  <c r="D26" i="8"/>
  <c r="D17" i="8"/>
  <c r="C16" i="8"/>
  <c r="E32" i="1"/>
  <c r="E86" i="1"/>
  <c r="G39" i="5"/>
  <c r="P7" i="8" s="1"/>
  <c r="G8" i="5"/>
  <c r="C6" i="8" s="1"/>
  <c r="G28" i="5"/>
  <c r="L6" i="8" s="1"/>
  <c r="G29" i="5"/>
  <c r="M6" i="8" s="1"/>
  <c r="G59" i="5"/>
  <c r="Y8" i="8" s="1"/>
  <c r="G57" i="5"/>
  <c r="X7" i="8" s="1"/>
  <c r="G51" i="5"/>
  <c r="G50" i="5"/>
  <c r="U7" i="8" s="1"/>
  <c r="G49" i="5"/>
  <c r="T7" i="8" s="1"/>
  <c r="G48" i="5"/>
  <c r="T8" i="8" s="1"/>
  <c r="G45" i="5"/>
  <c r="R8" i="8" s="1"/>
  <c r="G42" i="5"/>
  <c r="Q7" i="8" s="1"/>
  <c r="G41" i="5"/>
  <c r="Q8" i="8" s="1"/>
  <c r="G55" i="5"/>
  <c r="W7" i="8" s="1"/>
  <c r="G54" i="5"/>
  <c r="W8" i="8" s="1"/>
  <c r="G53" i="5"/>
  <c r="G52" i="5"/>
  <c r="V7" i="8" s="1"/>
  <c r="G46" i="5"/>
  <c r="S7" i="8" s="1"/>
  <c r="G38" i="5"/>
  <c r="O8" i="8" s="1"/>
  <c r="G27" i="5"/>
  <c r="L8" i="8" s="1"/>
  <c r="G26" i="5"/>
  <c r="K6" i="8" s="1"/>
  <c r="G25" i="5"/>
  <c r="K7" i="8" s="1"/>
  <c r="G24" i="5"/>
  <c r="J6" i="8" s="1"/>
  <c r="G23" i="5"/>
  <c r="J7" i="8" s="1"/>
  <c r="G22" i="5"/>
  <c r="J8" i="8" s="1"/>
  <c r="G21" i="5"/>
  <c r="G19" i="5"/>
  <c r="G18" i="5"/>
  <c r="H7" i="8" s="1"/>
  <c r="G17" i="5"/>
  <c r="G7" i="8" s="1"/>
  <c r="G16" i="5"/>
  <c r="G8" i="8" s="1"/>
  <c r="G15" i="5"/>
  <c r="F6" i="8" s="1"/>
  <c r="G11" i="5"/>
  <c r="D6" i="8" s="1"/>
  <c r="G10" i="5"/>
  <c r="D7" i="8" s="1"/>
  <c r="G9" i="5"/>
  <c r="D8" i="8" s="1"/>
  <c r="G7" i="5"/>
  <c r="C7" i="8" s="1"/>
  <c r="G6" i="5"/>
  <c r="B8" i="8" s="1"/>
  <c r="B11" i="8" s="1"/>
  <c r="B13" i="8"/>
  <c r="C13" i="8" s="1"/>
  <c r="C11" i="7"/>
  <c r="B14" i="8" s="1"/>
  <c r="C14" i="8" s="1"/>
  <c r="E61" i="1"/>
  <c r="E62" i="1" s="1"/>
  <c r="E94" i="1"/>
  <c r="E69" i="1"/>
  <c r="C8" i="1"/>
  <c r="E49" i="1"/>
  <c r="E53" i="1"/>
  <c r="S28" i="8" l="1"/>
  <c r="E31" i="8"/>
  <c r="F31" i="8" s="1"/>
  <c r="E54" i="1"/>
  <c r="E27" i="8"/>
  <c r="F27" i="8" s="1"/>
  <c r="G27" i="8" s="1"/>
  <c r="H27" i="8" s="1"/>
  <c r="I27" i="8" s="1"/>
  <c r="J27" i="8" s="1"/>
  <c r="K27" i="8" s="1"/>
  <c r="L27" i="8" s="1"/>
  <c r="M27" i="8" s="1"/>
  <c r="O27" i="8" s="1"/>
  <c r="G31" i="8"/>
  <c r="H31" i="8" s="1"/>
  <c r="I31" i="8" s="1"/>
  <c r="J31" i="8" s="1"/>
  <c r="K31" i="8" s="1"/>
  <c r="L31" i="8" s="1"/>
  <c r="M31" i="8" s="1"/>
  <c r="O31" i="8" s="1"/>
  <c r="P31" i="8" s="1"/>
  <c r="Q31" i="8" s="1"/>
  <c r="R31" i="8" s="1"/>
  <c r="S31" i="8" s="1"/>
  <c r="T31" i="8" s="1"/>
  <c r="U31" i="8" s="1"/>
  <c r="V31" i="8" s="1"/>
  <c r="W31" i="8" s="1"/>
  <c r="X31" i="8" s="1"/>
  <c r="Y31" i="8" s="1"/>
  <c r="Z31" i="8" s="1"/>
  <c r="AB31" i="8" s="1"/>
  <c r="AN35" i="8"/>
  <c r="C18" i="1"/>
  <c r="N27" i="8"/>
  <c r="AN32" i="8"/>
  <c r="P27" i="8"/>
  <c r="Q27" i="8" s="1"/>
  <c r="R27" i="8" s="1"/>
  <c r="S27" i="8" s="1"/>
  <c r="T27" i="8" s="1"/>
  <c r="U27" i="8" s="1"/>
  <c r="V27" i="8" s="1"/>
  <c r="W27" i="8" s="1"/>
  <c r="X27" i="8" s="1"/>
  <c r="Y27" i="8" s="1"/>
  <c r="Z27" i="8" s="1"/>
  <c r="AB27" i="8" s="1"/>
  <c r="AA19" i="8"/>
  <c r="AN19" i="8"/>
  <c r="AH30" i="8"/>
  <c r="AN30" i="8"/>
  <c r="AA30" i="8"/>
  <c r="R16" i="8"/>
  <c r="D13" i="8"/>
  <c r="E13" i="8" s="1"/>
  <c r="F13" i="8" s="1"/>
  <c r="G13" i="8" s="1"/>
  <c r="H13" i="8" s="1"/>
  <c r="I13" i="8" s="1"/>
  <c r="J13" i="8" s="1"/>
  <c r="K13" i="8" s="1"/>
  <c r="L13" i="8" s="1"/>
  <c r="M13" i="8" s="1"/>
  <c r="O13" i="8" s="1"/>
  <c r="D14" i="8"/>
  <c r="E14" i="8" s="1"/>
  <c r="F14" i="8" s="1"/>
  <c r="G14" i="8" s="1"/>
  <c r="H14" i="8" s="1"/>
  <c r="I14" i="8" s="1"/>
  <c r="J14" i="8" s="1"/>
  <c r="K14" i="8" s="1"/>
  <c r="L14" i="8" s="1"/>
  <c r="M14" i="8" s="1"/>
  <c r="O14" i="8" s="1"/>
  <c r="E92" i="5"/>
  <c r="E93" i="5"/>
  <c r="AA8" i="8"/>
  <c r="E89" i="5"/>
  <c r="E87" i="5"/>
  <c r="E85" i="5"/>
  <c r="E84" i="5"/>
  <c r="E83" i="5"/>
  <c r="E82" i="5"/>
  <c r="E81" i="5"/>
  <c r="E78" i="5"/>
  <c r="E74" i="5"/>
  <c r="E71" i="5"/>
  <c r="I7" i="8"/>
  <c r="E86" i="5"/>
  <c r="E80" i="5"/>
  <c r="E77" i="5"/>
  <c r="E73" i="5"/>
  <c r="E70" i="5"/>
  <c r="G61" i="5"/>
  <c r="Z6" i="8" s="1"/>
  <c r="G56" i="5"/>
  <c r="W6" i="8" s="1"/>
  <c r="G47" i="5"/>
  <c r="S6" i="8" s="1"/>
  <c r="G43" i="5"/>
  <c r="Q6" i="8" s="1"/>
  <c r="G44" i="5"/>
  <c r="R6" i="8" s="1"/>
  <c r="G58" i="5"/>
  <c r="X6" i="8" s="1"/>
  <c r="G76" i="5"/>
  <c r="AE6" i="8" s="1"/>
  <c r="G75" i="5"/>
  <c r="AD6" i="8" s="1"/>
  <c r="G90" i="5"/>
  <c r="AK6" i="8" s="1"/>
  <c r="G85" i="5"/>
  <c r="G81" i="5"/>
  <c r="AG7" i="8" s="1"/>
  <c r="G79" i="5"/>
  <c r="AF6" i="8" s="1"/>
  <c r="G69" i="5"/>
  <c r="AB6" i="8" s="1"/>
  <c r="G82" i="5"/>
  <c r="G74" i="5"/>
  <c r="AD7" i="8" s="1"/>
  <c r="G72" i="5"/>
  <c r="AC6" i="8" s="1"/>
  <c r="G88" i="5"/>
  <c r="AJ6" i="8" s="1"/>
  <c r="G83" i="5"/>
  <c r="G91" i="5"/>
  <c r="AL8" i="8" s="1"/>
  <c r="G84" i="5"/>
  <c r="AI7" i="8" s="1"/>
  <c r="G92" i="5"/>
  <c r="AL6" i="8" s="1"/>
  <c r="G89" i="5"/>
  <c r="AK7" i="8" s="1"/>
  <c r="G37" i="5"/>
  <c r="O6" i="8" s="1"/>
  <c r="G60" i="5"/>
  <c r="Y6" i="8" s="1"/>
  <c r="G40" i="5"/>
  <c r="P6" i="8" s="1"/>
  <c r="AA34" i="8"/>
  <c r="AN34" i="8" s="1"/>
  <c r="S16" i="8"/>
  <c r="T16" i="8" s="1"/>
  <c r="U16" i="8" s="1"/>
  <c r="V16" i="8" s="1"/>
  <c r="W16" i="8" s="1"/>
  <c r="X16" i="8" s="1"/>
  <c r="Y16" i="8" s="1"/>
  <c r="Z16" i="8" s="1"/>
  <c r="AA20" i="8"/>
  <c r="AN20" i="8"/>
  <c r="AA18" i="8"/>
  <c r="AN18" i="8"/>
  <c r="AA7" i="8"/>
  <c r="N8" i="8"/>
  <c r="N6" i="8"/>
  <c r="E34" i="8"/>
  <c r="F34" i="8" s="1"/>
  <c r="G34" i="8" s="1"/>
  <c r="H34" i="8" s="1"/>
  <c r="I34" i="8" s="1"/>
  <c r="J34" i="8" s="1"/>
  <c r="K34" i="8" s="1"/>
  <c r="L34" i="8" s="1"/>
  <c r="M34" i="8" s="1"/>
  <c r="E26" i="8"/>
  <c r="F26" i="8" s="1"/>
  <c r="G26" i="8" s="1"/>
  <c r="H26" i="8" s="1"/>
  <c r="I26" i="8" s="1"/>
  <c r="J26" i="8" s="1"/>
  <c r="K26" i="8" s="1"/>
  <c r="L26" i="8" s="1"/>
  <c r="M26" i="8" s="1"/>
  <c r="E17" i="8"/>
  <c r="F17" i="8" s="1"/>
  <c r="G17" i="8" s="1"/>
  <c r="H17" i="8" s="1"/>
  <c r="I17" i="8" s="1"/>
  <c r="J17" i="8" s="1"/>
  <c r="K17" i="8" s="1"/>
  <c r="L17" i="8" s="1"/>
  <c r="M17" i="8" s="1"/>
  <c r="O17" i="8" s="1"/>
  <c r="D16" i="8"/>
  <c r="E16" i="8" s="1"/>
  <c r="F16" i="8" s="1"/>
  <c r="G16" i="8" s="1"/>
  <c r="H16" i="8" s="1"/>
  <c r="I16" i="8" s="1"/>
  <c r="J16" i="8" s="1"/>
  <c r="K16" i="8" s="1"/>
  <c r="L16" i="8" s="1"/>
  <c r="M16" i="8" s="1"/>
  <c r="C9" i="1"/>
  <c r="C12" i="7"/>
  <c r="C18" i="7"/>
  <c r="C17" i="7"/>
  <c r="C21" i="7"/>
  <c r="C10" i="1"/>
  <c r="C6" i="1"/>
  <c r="C7" i="1"/>
  <c r="AA11" i="8" l="1"/>
  <c r="T28" i="8"/>
  <c r="U28" i="8" s="1"/>
  <c r="V28" i="8" s="1"/>
  <c r="W28" i="8" s="1"/>
  <c r="X28" i="8" s="1"/>
  <c r="Y28" i="8" s="1"/>
  <c r="Z28" i="8" s="1"/>
  <c r="AB28" i="8" s="1"/>
  <c r="AC28" i="8" s="1"/>
  <c r="AD28" i="8" s="1"/>
  <c r="AE28" i="8" s="1"/>
  <c r="AF28" i="8" s="1"/>
  <c r="AG28" i="8" s="1"/>
  <c r="AH28" i="8" s="1"/>
  <c r="AI28" i="8" s="1"/>
  <c r="AJ28" i="8" s="1"/>
  <c r="AK28" i="8" s="1"/>
  <c r="AL28" i="8" s="1"/>
  <c r="AM28" i="8" s="1"/>
  <c r="C5" i="1"/>
  <c r="AC31" i="8"/>
  <c r="AD31" i="8" s="1"/>
  <c r="AE31" i="8" s="1"/>
  <c r="AF31" i="8" s="1"/>
  <c r="AG31" i="8" s="1"/>
  <c r="AH31" i="8" s="1"/>
  <c r="AI31" i="8" s="1"/>
  <c r="AJ31" i="8" s="1"/>
  <c r="AK31" i="8" s="1"/>
  <c r="AL31" i="8" s="1"/>
  <c r="AM31" i="8" s="1"/>
  <c r="AN31" i="8"/>
  <c r="N31" i="8"/>
  <c r="AA31" i="8"/>
  <c r="AC27" i="8"/>
  <c r="AD27" i="8" s="1"/>
  <c r="AE27" i="8" s="1"/>
  <c r="AF27" i="8" s="1"/>
  <c r="AG27" i="8" s="1"/>
  <c r="AH27" i="8" s="1"/>
  <c r="AI27" i="8" s="1"/>
  <c r="AJ27" i="8" s="1"/>
  <c r="AK27" i="8" s="1"/>
  <c r="AL27" i="8" s="1"/>
  <c r="AM27" i="8" s="1"/>
  <c r="AA27" i="8"/>
  <c r="N16" i="8"/>
  <c r="C20" i="7"/>
  <c r="P13" i="8"/>
  <c r="Q13" i="8" s="1"/>
  <c r="R13" i="8" s="1"/>
  <c r="S13" i="8" s="1"/>
  <c r="T13" i="8" s="1"/>
  <c r="U13" i="8" s="1"/>
  <c r="V13" i="8" s="1"/>
  <c r="W13" i="8" s="1"/>
  <c r="X13" i="8" s="1"/>
  <c r="Y13" i="8" s="1"/>
  <c r="Z13" i="8" s="1"/>
  <c r="AB13" i="8" s="1"/>
  <c r="P14" i="8"/>
  <c r="Q14" i="8" s="1"/>
  <c r="R14" i="8" s="1"/>
  <c r="S14" i="8" s="1"/>
  <c r="T14" i="8" s="1"/>
  <c r="U14" i="8" s="1"/>
  <c r="V14" i="8" s="1"/>
  <c r="W14" i="8" s="1"/>
  <c r="X14" i="8" s="1"/>
  <c r="Y14" i="8" s="1"/>
  <c r="Z14" i="8" s="1"/>
  <c r="AB14" i="8" s="1"/>
  <c r="N13" i="8"/>
  <c r="N14" i="8"/>
  <c r="G93" i="5"/>
  <c r="AM6" i="8" s="1"/>
  <c r="G87" i="5"/>
  <c r="AJ7" i="8" s="1"/>
  <c r="G78" i="5"/>
  <c r="AF7" i="8" s="1"/>
  <c r="G71" i="5"/>
  <c r="AC7" i="8" s="1"/>
  <c r="N7" i="8"/>
  <c r="N11" i="8" s="1"/>
  <c r="G86" i="5"/>
  <c r="AJ8" i="8" s="1"/>
  <c r="G80" i="5"/>
  <c r="AG8" i="8" s="1"/>
  <c r="G70" i="5"/>
  <c r="AB8" i="8" s="1"/>
  <c r="G77" i="5"/>
  <c r="AE8" i="8" s="1"/>
  <c r="G73" i="5"/>
  <c r="AD8" i="8" s="1"/>
  <c r="AA6" i="8"/>
  <c r="AH7" i="8"/>
  <c r="AA16" i="8"/>
  <c r="AB16" i="8" s="1"/>
  <c r="P17" i="8"/>
  <c r="Q17" i="8" s="1"/>
  <c r="R17" i="8" s="1"/>
  <c r="S17" i="8" s="1"/>
  <c r="T17" i="8" s="1"/>
  <c r="U17" i="8" s="1"/>
  <c r="V17" i="8" s="1"/>
  <c r="W17" i="8" s="1"/>
  <c r="X17" i="8" s="1"/>
  <c r="Y17" i="8" s="1"/>
  <c r="Z17" i="8" s="1"/>
  <c r="AB17" i="8" s="1"/>
  <c r="B37" i="8"/>
  <c r="B39" i="8"/>
  <c r="B36" i="8"/>
  <c r="N34" i="8"/>
  <c r="N23" i="8"/>
  <c r="N17" i="8"/>
  <c r="N26" i="8"/>
  <c r="C22" i="7"/>
  <c r="C19" i="7"/>
  <c r="B38" i="8" l="1"/>
  <c r="B40" i="8"/>
  <c r="AN28" i="8"/>
  <c r="AA28" i="8"/>
  <c r="AN27" i="8"/>
  <c r="AN8" i="8"/>
  <c r="AN6" i="8"/>
  <c r="AA23" i="8"/>
  <c r="N22" i="8"/>
  <c r="AA17" i="8"/>
  <c r="C23" i="7"/>
  <c r="B15" i="8" s="1"/>
  <c r="C15" i="8" s="1"/>
  <c r="D15" i="8" s="1"/>
  <c r="E15" i="8" s="1"/>
  <c r="F15" i="8" s="1"/>
  <c r="G15" i="8" s="1"/>
  <c r="H15" i="8" s="1"/>
  <c r="I15" i="8" s="1"/>
  <c r="J15" i="8" s="1"/>
  <c r="K15" i="8" s="1"/>
  <c r="L15" i="8" s="1"/>
  <c r="M15" i="8" s="1"/>
  <c r="O15" i="8" s="1"/>
  <c r="P15" i="8" s="1"/>
  <c r="Q15" i="8" s="1"/>
  <c r="R15" i="8" s="1"/>
  <c r="S15" i="8" s="1"/>
  <c r="T15" i="8" s="1"/>
  <c r="U15" i="8" s="1"/>
  <c r="V15" i="8" s="1"/>
  <c r="W15" i="8" s="1"/>
  <c r="X15" i="8" s="1"/>
  <c r="Y15" i="8" s="1"/>
  <c r="Z15" i="8" s="1"/>
  <c r="AB15" i="8" s="1"/>
  <c r="AA13" i="8"/>
  <c r="AC13" i="8"/>
  <c r="AD13" i="8" s="1"/>
  <c r="AE13" i="8" s="1"/>
  <c r="AF13" i="8" s="1"/>
  <c r="AG13" i="8" s="1"/>
  <c r="AH13" i="8" s="1"/>
  <c r="AI13" i="8" s="1"/>
  <c r="AJ13" i="8" s="1"/>
  <c r="AK13" i="8" s="1"/>
  <c r="AL13" i="8" s="1"/>
  <c r="AM13" i="8" s="1"/>
  <c r="AC14" i="8"/>
  <c r="AD14" i="8" s="1"/>
  <c r="AE14" i="8" s="1"/>
  <c r="AF14" i="8" s="1"/>
  <c r="AG14" i="8" s="1"/>
  <c r="AH14" i="8" s="1"/>
  <c r="AI14" i="8" s="1"/>
  <c r="AJ14" i="8" s="1"/>
  <c r="AK14" i="8" s="1"/>
  <c r="AL14" i="8" s="1"/>
  <c r="AM14" i="8" s="1"/>
  <c r="AA14" i="8"/>
  <c r="AC16" i="8"/>
  <c r="AD16" i="8" s="1"/>
  <c r="AE16" i="8" s="1"/>
  <c r="AF16" i="8" s="1"/>
  <c r="AG16" i="8" s="1"/>
  <c r="AH16" i="8" s="1"/>
  <c r="AI16" i="8" s="1"/>
  <c r="AJ16" i="8" s="1"/>
  <c r="AK16" i="8" s="1"/>
  <c r="AL16" i="8" s="1"/>
  <c r="AM16" i="8" s="1"/>
  <c r="AN7" i="8"/>
  <c r="AC17" i="8"/>
  <c r="AD17" i="8" s="1"/>
  <c r="AE17" i="8" s="1"/>
  <c r="AF17" i="8" s="1"/>
  <c r="AG17" i="8" s="1"/>
  <c r="AH17" i="8" s="1"/>
  <c r="AI17" i="8" s="1"/>
  <c r="AJ17" i="8" s="1"/>
  <c r="AK17" i="8" s="1"/>
  <c r="AL17" i="8" s="1"/>
  <c r="AM17" i="8" s="1"/>
  <c r="AN11" i="8" l="1"/>
  <c r="AN23" i="8"/>
  <c r="AA22" i="8"/>
  <c r="AN17" i="8"/>
  <c r="AC15" i="8"/>
  <c r="AD15" i="8" s="1"/>
  <c r="AE15" i="8" s="1"/>
  <c r="AF15" i="8" s="1"/>
  <c r="AG15" i="8" s="1"/>
  <c r="AH15" i="8" s="1"/>
  <c r="AI15" i="8" s="1"/>
  <c r="AJ15" i="8" s="1"/>
  <c r="AK15" i="8" s="1"/>
  <c r="AL15" i="8" s="1"/>
  <c r="AM15" i="8" s="1"/>
  <c r="AA15" i="8"/>
  <c r="N15" i="8"/>
  <c r="AN13" i="8"/>
  <c r="AN14" i="8"/>
  <c r="AN16" i="8"/>
  <c r="AN22" i="8" l="1"/>
  <c r="AN15" i="8"/>
  <c r="B41" i="8" l="1"/>
  <c r="B42" i="8" l="1"/>
  <c r="B43" i="8" l="1"/>
  <c r="B45" i="8" l="1"/>
  <c r="B46" i="8" l="1"/>
  <c r="C4" i="8" s="1"/>
  <c r="C11" i="8" s="1"/>
  <c r="C37" i="8" l="1"/>
  <c r="C36" i="8"/>
  <c r="C39" i="8"/>
  <c r="C38" i="8" l="1"/>
  <c r="C40" i="8" l="1"/>
  <c r="C41" i="8" l="1"/>
  <c r="C42" i="8" l="1"/>
  <c r="C43" i="8" l="1"/>
  <c r="C45" i="8" s="1"/>
  <c r="C46" i="8" s="1"/>
  <c r="D4" i="8" l="1"/>
  <c r="D11" i="8" s="1"/>
  <c r="D36" i="8"/>
  <c r="D37" i="8"/>
  <c r="D39" i="8"/>
  <c r="D38" i="8" l="1"/>
  <c r="D40" i="8" l="1"/>
  <c r="D41" i="8" l="1"/>
  <c r="D42" i="8" l="1"/>
  <c r="D43" i="8" l="1"/>
  <c r="D45" i="8" l="1"/>
  <c r="D46" i="8" s="1"/>
  <c r="E4" i="8" l="1"/>
  <c r="E11" i="8" s="1"/>
  <c r="E36" i="8"/>
  <c r="E39" i="8"/>
  <c r="E37" i="8"/>
  <c r="E38" i="8" l="1"/>
  <c r="E40" i="8" l="1"/>
  <c r="E41" i="8" l="1"/>
  <c r="E42" i="8" l="1"/>
  <c r="E43" i="8" l="1"/>
  <c r="E45" i="8" l="1"/>
  <c r="E46" i="8" s="1"/>
  <c r="F4" i="8" s="1"/>
  <c r="F11" i="8" l="1"/>
  <c r="F39" i="8"/>
  <c r="F36" i="8"/>
  <c r="F37" i="8"/>
  <c r="F38" i="8" l="1"/>
  <c r="F40" i="8" l="1"/>
  <c r="F41" i="8" l="1"/>
  <c r="F42" i="8" l="1"/>
  <c r="F43" i="8" l="1"/>
  <c r="F45" i="8" l="1"/>
  <c r="F46" i="8" s="1"/>
  <c r="G4" i="8" s="1"/>
  <c r="G11" i="8" l="1"/>
  <c r="G39" i="8"/>
  <c r="G37" i="8"/>
  <c r="G36" i="8"/>
  <c r="G38" i="8" l="1"/>
  <c r="G40" i="8" l="1"/>
  <c r="G41" i="8" l="1"/>
  <c r="G42" i="8" l="1"/>
  <c r="G43" i="8" l="1"/>
  <c r="G45" i="8" l="1"/>
  <c r="G46" i="8" s="1"/>
  <c r="H4" i="8" s="1"/>
  <c r="H11" i="8" l="1"/>
  <c r="H36" i="8"/>
  <c r="H37" i="8"/>
  <c r="H39" i="8"/>
  <c r="H38" i="8" l="1"/>
  <c r="H40" i="8" l="1"/>
  <c r="H41" i="8" l="1"/>
  <c r="H42" i="8" l="1"/>
  <c r="H43" i="8" l="1"/>
  <c r="H45" i="8" l="1"/>
  <c r="H46" i="8" s="1"/>
  <c r="I4" i="8" s="1"/>
  <c r="I11" i="8" l="1"/>
  <c r="I36" i="8"/>
  <c r="I37" i="8"/>
  <c r="I39" i="8"/>
  <c r="I38" i="8" l="1"/>
  <c r="I40" i="8" l="1"/>
  <c r="I41" i="8" s="1"/>
  <c r="I42" i="8" l="1"/>
  <c r="I43" i="8" l="1"/>
  <c r="I45" i="8" l="1"/>
  <c r="I46" i="8" s="1"/>
  <c r="J4" i="8" s="1"/>
  <c r="J11" i="8" l="1"/>
  <c r="J37" i="8"/>
  <c r="J36" i="8"/>
  <c r="J39" i="8"/>
  <c r="J38" i="8" l="1"/>
  <c r="J40" i="8" l="1"/>
  <c r="J41" i="8" l="1"/>
  <c r="J42" i="8" l="1"/>
  <c r="J43" i="8" l="1"/>
  <c r="J45" i="8" l="1"/>
  <c r="J46" i="8" l="1"/>
  <c r="K4" i="8" s="1"/>
  <c r="N44" i="8"/>
  <c r="K11" i="8" l="1"/>
  <c r="K37" i="8"/>
  <c r="K39" i="8"/>
  <c r="K36" i="8"/>
  <c r="K38" i="8" l="1"/>
  <c r="K40" i="8" l="1"/>
  <c r="K41" i="8" s="1"/>
  <c r="K42" i="8" l="1"/>
  <c r="K43" i="8" l="1"/>
  <c r="K45" i="8" l="1"/>
  <c r="K46" i="8" s="1"/>
  <c r="L4" i="8" s="1"/>
  <c r="L11" i="8" l="1"/>
  <c r="L36" i="8"/>
  <c r="L39" i="8"/>
  <c r="L37" i="8"/>
  <c r="L38" i="8" l="1"/>
  <c r="L40" i="8" l="1"/>
  <c r="L41" i="8" l="1"/>
  <c r="L42" i="8" l="1"/>
  <c r="L43" i="8" l="1"/>
  <c r="L45" i="8" l="1"/>
  <c r="L46" i="8" s="1"/>
  <c r="M4" i="8" s="1"/>
  <c r="M11" i="8" l="1"/>
  <c r="M36" i="8"/>
  <c r="M37" i="8"/>
  <c r="N37" i="8" s="1"/>
  <c r="M39" i="8"/>
  <c r="N39" i="8" s="1"/>
  <c r="M38" i="8" l="1"/>
  <c r="N38" i="8" s="1"/>
  <c r="N36" i="8"/>
  <c r="M40" i="8" l="1"/>
  <c r="M41" i="8" l="1"/>
  <c r="N40" i="8"/>
  <c r="N41" i="8" l="1"/>
  <c r="M42" i="8"/>
  <c r="N42" i="8" s="1"/>
  <c r="M43" i="8" l="1"/>
  <c r="M45" i="8" l="1"/>
  <c r="M46" i="8" s="1"/>
  <c r="N43" i="8"/>
  <c r="O4" i="8" l="1"/>
  <c r="O11" i="8" s="1"/>
  <c r="N45" i="8"/>
  <c r="O36" i="8" l="1"/>
  <c r="O39" i="8"/>
  <c r="O37" i="8"/>
  <c r="O38" i="8" l="1"/>
  <c r="O40" i="8" l="1"/>
  <c r="O41" i="8" l="1"/>
  <c r="O42" i="8" l="1"/>
  <c r="O43" i="8" l="1"/>
  <c r="O45" i="8" l="1"/>
  <c r="O46" i="8" s="1"/>
  <c r="P4" i="8" l="1"/>
  <c r="P11" i="8" s="1"/>
  <c r="P39" i="8"/>
  <c r="P37" i="8"/>
  <c r="P36" i="8"/>
  <c r="P38" i="8" l="1"/>
  <c r="P40" i="8" l="1"/>
  <c r="P41" i="8" l="1"/>
  <c r="P42" i="8" l="1"/>
  <c r="P43" i="8" l="1"/>
  <c r="P45" i="8" s="1"/>
  <c r="P46" i="8" s="1"/>
  <c r="Q4" i="8" l="1"/>
  <c r="Q11" i="8" s="1"/>
  <c r="Q37" i="8"/>
  <c r="Q39" i="8"/>
  <c r="Q36" i="8"/>
  <c r="Q38" i="8" l="1"/>
  <c r="Q40" i="8" l="1"/>
  <c r="Q41" i="8" l="1"/>
  <c r="Q42" i="8" l="1"/>
  <c r="Q43" i="8" l="1"/>
  <c r="Q45" i="8" l="1"/>
  <c r="Q46" i="8" s="1"/>
  <c r="R4" i="8" l="1"/>
  <c r="R11" i="8" s="1"/>
  <c r="R36" i="8"/>
  <c r="R37" i="8"/>
  <c r="R39" i="8"/>
  <c r="R38" i="8" l="1"/>
  <c r="R40" i="8" l="1"/>
  <c r="R41" i="8" l="1"/>
  <c r="R42" i="8" l="1"/>
  <c r="R43" i="8" l="1"/>
  <c r="R45" i="8" l="1"/>
  <c r="R46" i="8" s="1"/>
  <c r="S4" i="8" l="1"/>
  <c r="S11" i="8" s="1"/>
  <c r="S37" i="8"/>
  <c r="S36" i="8"/>
  <c r="S39" i="8"/>
  <c r="S38" i="8" l="1"/>
  <c r="S40" i="8" l="1"/>
  <c r="S41" i="8" l="1"/>
  <c r="S42" i="8" l="1"/>
  <c r="S43" i="8" l="1"/>
  <c r="S45" i="8" l="1"/>
  <c r="S46" i="8" s="1"/>
  <c r="T4" i="8" l="1"/>
  <c r="T11" i="8" s="1"/>
  <c r="T39" i="8"/>
  <c r="T36" i="8"/>
  <c r="T37" i="8"/>
  <c r="T38" i="8" l="1"/>
  <c r="T40" i="8" l="1"/>
  <c r="T41" i="8" l="1"/>
  <c r="T42" i="8" l="1"/>
  <c r="T43" i="8" l="1"/>
  <c r="T45" i="8" l="1"/>
  <c r="T46" i="8" s="1"/>
  <c r="U4" i="8" l="1"/>
  <c r="U11" i="8" s="1"/>
  <c r="U39" i="8"/>
  <c r="U37" i="8"/>
  <c r="U36" i="8"/>
  <c r="U38" i="8" l="1"/>
  <c r="U40" i="8" l="1"/>
  <c r="U41" i="8" l="1"/>
  <c r="U42" i="8" l="1"/>
  <c r="U43" i="8" l="1"/>
  <c r="U45" i="8" l="1"/>
  <c r="U46" i="8" s="1"/>
  <c r="V4" i="8" l="1"/>
  <c r="V11" i="8" s="1"/>
  <c r="V36" i="8"/>
  <c r="V39" i="8"/>
  <c r="V37" i="8"/>
  <c r="V38" i="8" l="1"/>
  <c r="V40" i="8" l="1"/>
  <c r="V41" i="8" l="1"/>
  <c r="V42" i="8" l="1"/>
  <c r="V43" i="8" l="1"/>
  <c r="V45" i="8" l="1"/>
  <c r="V46" i="8" s="1"/>
  <c r="W4" i="8" l="1"/>
  <c r="W11" i="8" s="1"/>
  <c r="W36" i="8"/>
  <c r="W37" i="8"/>
  <c r="W39" i="8"/>
  <c r="W38" i="8" l="1"/>
  <c r="W40" i="8" l="1"/>
  <c r="W41" i="8" l="1"/>
  <c r="W42" i="8" l="1"/>
  <c r="W43" i="8" l="1"/>
  <c r="W45" i="8" l="1"/>
  <c r="W46" i="8" s="1"/>
  <c r="X4" i="8" l="1"/>
  <c r="X11" i="8" s="1"/>
  <c r="X36" i="8"/>
  <c r="X39" i="8"/>
  <c r="X37" i="8"/>
  <c r="X38" i="8" l="1"/>
  <c r="X40" i="8" l="1"/>
  <c r="X41" i="8" l="1"/>
  <c r="X42" i="8" l="1"/>
  <c r="X43" i="8" l="1"/>
  <c r="X45" i="8" l="1"/>
  <c r="X46" i="8" s="1"/>
  <c r="Y4" i="8" l="1"/>
  <c r="Y11" i="8" s="1"/>
  <c r="Y37" i="8"/>
  <c r="Y36" i="8"/>
  <c r="Y39" i="8"/>
  <c r="Y38" i="8" l="1"/>
  <c r="Y40" i="8" l="1"/>
  <c r="Y41" i="8" l="1"/>
  <c r="Y42" i="8" l="1"/>
  <c r="Y43" i="8" l="1"/>
  <c r="Y45" i="8" l="1"/>
  <c r="Y46" i="8" s="1"/>
  <c r="Z4" i="8" s="1"/>
  <c r="Z11" i="8" s="1"/>
  <c r="Z39" i="8" l="1"/>
  <c r="AA39" i="8" s="1"/>
  <c r="Z37" i="8"/>
  <c r="AA37" i="8" s="1"/>
  <c r="Z36" i="8"/>
  <c r="Z38" i="8" l="1"/>
  <c r="AA38" i="8" s="1"/>
  <c r="AA36" i="8"/>
  <c r="Z40" i="8" l="1"/>
  <c r="AA40" i="8" l="1"/>
  <c r="Z41" i="8"/>
  <c r="AA41" i="8" l="1"/>
  <c r="Z42" i="8"/>
  <c r="AA42" i="8" s="1"/>
  <c r="Z43" i="8" l="1"/>
  <c r="Z45" i="8" s="1"/>
  <c r="AA45" i="8" s="1"/>
  <c r="AA43" i="8" l="1"/>
  <c r="Z46" i="8"/>
  <c r="AB4" i="8" l="1"/>
  <c r="AB11" i="8" s="1"/>
  <c r="AB36" i="8" l="1"/>
  <c r="AB37" i="8"/>
  <c r="AB38" i="8" l="1"/>
  <c r="AB39" i="8" l="1"/>
  <c r="AB40" i="8" l="1"/>
  <c r="AB41" i="8" s="1"/>
  <c r="AB42" i="8" l="1"/>
  <c r="AB43" i="8" l="1"/>
  <c r="AB45" i="8" s="1"/>
  <c r="AB46" i="8" s="1"/>
  <c r="AD4" i="8" l="1"/>
  <c r="AD11" i="8" s="1"/>
  <c r="AC4" i="8"/>
  <c r="AC11" i="8" s="1"/>
  <c r="AC37" i="8" l="1"/>
  <c r="AC36" i="8"/>
  <c r="AC38" i="8" l="1"/>
  <c r="AC39" i="8" l="1"/>
  <c r="AC40" i="8" l="1"/>
  <c r="AC41" i="8" l="1"/>
  <c r="AC42" i="8" l="1"/>
  <c r="AC43" i="8" l="1"/>
  <c r="AC45" i="8" l="1"/>
  <c r="AC46" i="8" l="1"/>
  <c r="AE4" i="8" s="1"/>
  <c r="AE11" i="8" s="1"/>
  <c r="AD36" i="8" l="1"/>
  <c r="AD37" i="8"/>
  <c r="AD38" i="8" l="1"/>
  <c r="AD39" i="8" l="1"/>
  <c r="AD40" i="8" l="1"/>
  <c r="AD41" i="8" l="1"/>
  <c r="AD42" i="8" l="1"/>
  <c r="AD43" i="8" l="1"/>
  <c r="AD45" i="8" l="1"/>
  <c r="AD46" i="8" l="1"/>
  <c r="AF4" i="8" s="1"/>
  <c r="AF11" i="8" s="1"/>
  <c r="AE37" i="8" l="1"/>
  <c r="AE36" i="8"/>
  <c r="AE38" i="8" l="1"/>
  <c r="AE39" i="8" l="1"/>
  <c r="AE40" i="8" l="1"/>
  <c r="AE41" i="8" s="1"/>
  <c r="AE42" i="8" l="1"/>
  <c r="AE43" i="8" l="1"/>
  <c r="AE45" i="8" l="1"/>
  <c r="AE46" i="8" l="1"/>
  <c r="AG4" i="8" s="1"/>
  <c r="AG11" i="8" s="1"/>
  <c r="AF37" i="8" l="1"/>
  <c r="AF36" i="8"/>
  <c r="AF38" i="8" l="1"/>
  <c r="AF39" i="8" l="1"/>
  <c r="AF40" i="8" l="1"/>
  <c r="AF41" i="8" l="1"/>
  <c r="AF42" i="8" l="1"/>
  <c r="AF43" i="8" l="1"/>
  <c r="AF45" i="8" l="1"/>
  <c r="AF46" i="8" l="1"/>
  <c r="AH4" i="8" s="1"/>
  <c r="AH11" i="8" s="1"/>
  <c r="AG36" i="8" l="1"/>
  <c r="AG37" i="8"/>
  <c r="AG38" i="8" l="1"/>
  <c r="AG39" i="8" l="1"/>
  <c r="AG40" i="8" l="1"/>
  <c r="AG41" i="8" l="1"/>
  <c r="AG42" i="8" l="1"/>
  <c r="AG43" i="8" l="1"/>
  <c r="AG45" i="8" l="1"/>
  <c r="AG46" i="8" l="1"/>
  <c r="AI4" i="8" s="1"/>
  <c r="AI11" i="8" s="1"/>
  <c r="AH36" i="8" l="1"/>
  <c r="AH37" i="8"/>
  <c r="AH38" i="8" l="1"/>
  <c r="AH39" i="8" l="1"/>
  <c r="AH40" i="8" l="1"/>
  <c r="AH41" i="8" l="1"/>
  <c r="AH42" i="8" l="1"/>
  <c r="AH43" i="8" l="1"/>
  <c r="AH45" i="8" l="1"/>
  <c r="AH46" i="8" l="1"/>
  <c r="AJ4" i="8" s="1"/>
  <c r="AJ11" i="8" s="1"/>
  <c r="AI36" i="8" l="1"/>
  <c r="AI37" i="8"/>
  <c r="AI38" i="8" l="1"/>
  <c r="AI39" i="8" l="1"/>
  <c r="AI40" i="8" l="1"/>
  <c r="AI41" i="8" l="1"/>
  <c r="AI42" i="8" l="1"/>
  <c r="AI43" i="8" l="1"/>
  <c r="AI45" i="8" s="1"/>
  <c r="AI46" i="8" l="1"/>
  <c r="AK4" i="8" s="1"/>
  <c r="AK11" i="8" s="1"/>
  <c r="AJ37" i="8" l="1"/>
  <c r="AJ36" i="8"/>
  <c r="AJ38" i="8" l="1"/>
  <c r="AJ39" i="8" l="1"/>
  <c r="AJ40" i="8" l="1"/>
  <c r="AJ41" i="8" l="1"/>
  <c r="AJ42" i="8" l="1"/>
  <c r="AJ43" i="8" l="1"/>
  <c r="AJ45" i="8" l="1"/>
  <c r="AJ46" i="8" l="1"/>
  <c r="AL4" i="8" s="1"/>
  <c r="AL11" i="8" s="1"/>
  <c r="AK36" i="8" l="1"/>
  <c r="AK37" i="8"/>
  <c r="AK38" i="8" l="1"/>
  <c r="AK39" i="8" l="1"/>
  <c r="AK40" i="8" l="1"/>
  <c r="AK41" i="8" l="1"/>
  <c r="AK42" i="8" l="1"/>
  <c r="AK43" i="8" l="1"/>
  <c r="AK45" i="8" l="1"/>
  <c r="AK46" i="8" l="1"/>
  <c r="AM4" i="8" s="1"/>
  <c r="AM11" i="8" s="1"/>
  <c r="AL37" i="8" l="1"/>
  <c r="AL36" i="8"/>
  <c r="AL38" i="8" l="1"/>
  <c r="AL39" i="8" l="1"/>
  <c r="AL40" i="8" l="1"/>
  <c r="AL41" i="8" l="1"/>
  <c r="AL42" i="8" l="1"/>
  <c r="AL43" i="8" l="1"/>
  <c r="AL45" i="8" l="1"/>
  <c r="AL46" i="8" l="1"/>
  <c r="AM36" i="8" l="1"/>
  <c r="AM37" i="8"/>
  <c r="AN37" i="8" s="1"/>
  <c r="AM38" i="8" l="1"/>
  <c r="AN38" i="8" s="1"/>
  <c r="AN36" i="8"/>
  <c r="AM39" i="8" l="1"/>
  <c r="AN39" i="8" s="1"/>
  <c r="AM40" i="8" l="1"/>
  <c r="AM41" i="8" l="1"/>
  <c r="AN40" i="8"/>
  <c r="AN41" i="8" l="1"/>
  <c r="AM42" i="8"/>
  <c r="AN42" i="8" s="1"/>
  <c r="AM43" i="8" l="1"/>
  <c r="AN43" i="8" l="1"/>
  <c r="AM45" i="8"/>
  <c r="AN45" i="8" s="1"/>
  <c r="AM46" i="8" l="1"/>
  <c r="B48" i="8" s="1"/>
  <c r="C11" i="1" l="1"/>
  <c r="C12" i="1" s="1"/>
  <c r="C20" i="1" s="1"/>
  <c r="E97" i="1"/>
  <c r="E9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1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ID#AAAAawjIl9w
Fabrizio Scalfino    (2022-06-07 23:46:09)
Este número se obtiene del Cash Flow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fXqjgNDzct1jpG29cCmPcxqeZ0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5" authorId="0" shapeId="0" xr:uid="{00000000-0006-0000-0100-000001000000}">
      <text>
        <r>
          <rPr>
            <sz val="10"/>
            <color rgb="FF000000"/>
            <rFont val="Arial"/>
            <scheme val="minor"/>
          </rPr>
          <t>======
ID#AAABerpAkOA
Fabrizio Scalfino    (2025-02-25 01:42:57)
Detallar la forma en la cual los socios harán la devolución del monto aportado por parte del inversionista, considerando su ganancia.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qO0zuPE6mFtLxmFC1g3u4r3yTIA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4" authorId="0" shapeId="0" xr:uid="{00000000-0006-0000-0400-000001000000}">
      <text>
        <r>
          <rPr>
            <sz val="10"/>
            <color rgb="FF000000"/>
            <rFont val="Arial"/>
            <scheme val="minor"/>
          </rPr>
          <t>======
ID#AAABBNqbo0o
Fabrizio Scalfino    (2023-11-25 15:42:03)
Relacionarlo con Curva de Estacionalidad (no es necesario que sea idéntico el %, pero sí debe tener co-relación) Aplicarlo a año 2 y 3, aumentando progresivamente el F.O. a medida que pasan los años</t>
        </r>
      </text>
    </comment>
    <comment ref="F36" authorId="0" shapeId="0" xr:uid="{802F2D25-8503-468D-8785-F9368CD46A50}">
      <text>
        <r>
          <rPr>
            <sz val="10"/>
            <color rgb="FF000000"/>
            <rFont val="Arial"/>
            <scheme val="minor"/>
          </rPr>
          <t>======
ID#AAABBNqbo0o
Fabrizio Scalfino    (2023-11-25 15:42:03)
Relacionarlo con Curva de Estacionalidad (no es necesario que sea idéntico el %, pero sí debe tener co-relación) Aplicarlo a año 2 y 3, aumentando progresivamente el F.O. a medida que pasan los años</t>
        </r>
      </text>
    </comment>
    <comment ref="F68" authorId="0" shapeId="0" xr:uid="{7D1A6107-B208-42F7-9428-833EF88A3A93}">
      <text>
        <r>
          <rPr>
            <sz val="10"/>
            <color rgb="FF000000"/>
            <rFont val="Arial"/>
            <scheme val="minor"/>
          </rPr>
          <t>======
ID#AAABBNqbo0o
Fabrizio Scalfino    (2023-11-25 15:42:03)
Relacionarlo con Curva de Estacionalidad (no es necesario que sea idéntico el %, pero sí debe tener co-relación) Aplicarlo a año 2 y 3, aumentando progresivamente el F.O. a medida que pasan los años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+7Lztl5WHzAk5p8ODGbAIbl5HCw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3" authorId="0" shapeId="0" xr:uid="{00000000-0006-0000-0700-000001000000}">
      <text>
        <r>
          <rPr>
            <sz val="10"/>
            <color rgb="FF000000"/>
            <rFont val="Arial"/>
            <scheme val="minor"/>
          </rPr>
          <t>======
ID#AAABBNqbo0k
Obtener de "6.5 Sueldos y cargas sociales"</t>
        </r>
      </text>
    </comment>
    <comment ref="A37" authorId="0" shapeId="0" xr:uid="{00000000-0006-0000-0700-000007000000}">
      <text>
        <r>
          <rPr>
            <sz val="10"/>
            <color rgb="FF000000"/>
            <rFont val="Arial"/>
            <scheme val="minor"/>
          </rPr>
          <t>======
ID#AAAAIiVKIzk
   (2021-05-18 18:03:32)
NO MODIFICAR FÓRMULA. Se aplica sobre la facturación del mes</t>
        </r>
      </text>
    </comment>
    <comment ref="A42" authorId="0" shapeId="0" xr:uid="{00000000-0006-0000-0700-000006000000}">
      <text>
        <r>
          <rPr>
            <sz val="10"/>
            <color rgb="FF000000"/>
            <rFont val="Arial"/>
            <scheme val="minor"/>
          </rPr>
          <t>======
ID#AAAAdPNOPNw
  (2022-07-26 16:02:21)
Se abona en aquellos meses en que se presenten ganancias (ESQUEMA SIMPLIFICADO)</t>
        </r>
      </text>
    </comment>
    <comment ref="M44" authorId="0" shapeId="0" xr:uid="{00000000-0006-0000-0700-000005000000}">
      <text>
        <r>
          <rPr>
            <sz val="10"/>
            <color rgb="FF000000"/>
            <rFont val="Arial"/>
            <scheme val="minor"/>
          </rPr>
          <t>======
ID#AAAAnqUZKcs
Fabrizio Scalfino    (2023-03-30 13:37:33)
Retiro de socios (último mes del ejercicio)</t>
        </r>
      </text>
    </comment>
    <comment ref="Z44" authorId="0" shapeId="0" xr:uid="{00000000-0006-0000-0700-000004000000}">
      <text>
        <r>
          <rPr>
            <sz val="10"/>
            <color rgb="FF000000"/>
            <rFont val="Arial"/>
            <scheme val="minor"/>
          </rPr>
          <t>======
ID#AAAAnqUZKcw
Fabrizio Scalfino    (2023-03-30 13:37:58)
Retiro de socios (último mes del ejercicio)</t>
        </r>
      </text>
    </comment>
    <comment ref="AM44" authorId="0" shapeId="0" xr:uid="{00000000-0006-0000-0700-000003000000}">
      <text>
        <r>
          <rPr>
            <sz val="10"/>
            <color rgb="FF000000"/>
            <rFont val="Arial"/>
            <scheme val="minor"/>
          </rPr>
          <t>======
ID#AAAAnqUZKc0
Fabrizio Scalfino    (2023-03-30 13:42:35)
Retiro de socios (Último mes del ejercicio)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W2K5sPYlmm6dYmyAxrDU74ekeHQ=="/>
    </ext>
  </extLst>
</comments>
</file>

<file path=xl/sharedStrings.xml><?xml version="1.0" encoding="utf-8"?>
<sst xmlns="http://schemas.openxmlformats.org/spreadsheetml/2006/main" count="412" uniqueCount="279">
  <si>
    <t xml:space="preserve">Tipo de cambio utilizado para inversiones en USD: </t>
  </si>
  <si>
    <t xml:space="preserve">Fecha del tipo de cambio: </t>
  </si>
  <si>
    <t>INVERSIONES REQUERIDAS</t>
  </si>
  <si>
    <t xml:space="preserve">AMUEBLADO DEL ÓMNIBUS </t>
  </si>
  <si>
    <t>No modificar fórmulas</t>
  </si>
  <si>
    <t>ESPACIOS DE TRABAJO</t>
  </si>
  <si>
    <t>CAPACITACIONES</t>
  </si>
  <si>
    <t>ÓMNIBUS Y SU MODIFICACIÓN</t>
  </si>
  <si>
    <t>HABILITACIONES</t>
  </si>
  <si>
    <t>COMUNICACIÓN / COMERCIALIZACION</t>
  </si>
  <si>
    <t>PRE - INGRESO AL NEGOCIO</t>
  </si>
  <si>
    <t>INVERSION TOTAL REQUERIDA</t>
  </si>
  <si>
    <t>FINANCIACIÓN</t>
  </si>
  <si>
    <t>FINANCIACIÓN PROPIA (A)</t>
  </si>
  <si>
    <t>FINANCIACIÓN EXTERNA (B)</t>
  </si>
  <si>
    <t>FINANCIACIÓN DE INVERSIONISTAS (C)</t>
  </si>
  <si>
    <t>FINANCIACIÓN TOTAL OBTENIDA (A+B+C)</t>
  </si>
  <si>
    <t>Liquidez inicial (Financiación total – inversión total)</t>
  </si>
  <si>
    <t xml:space="preserve">Es necesario, a la hora de calcular la inversión necesaria, analizar todos los aspectos a incluir en el cálculo. 
Para ello, se sugiere un modelo como el presentado a continuación (es un ejemplo, no todos los conceptos le aplicarán a su proyecto, y quizá algunos de los que sí apliquen deberán agregarlos). </t>
  </si>
  <si>
    <t>HABITACIONES</t>
  </si>
  <si>
    <t>Precio unitario</t>
  </si>
  <si>
    <t>Unidades</t>
  </si>
  <si>
    <t>Subtotal</t>
  </si>
  <si>
    <t>Link de referencia del producto/servicio</t>
  </si>
  <si>
    <t>Colchón 1 plaza</t>
  </si>
  <si>
    <t>https://www.mercadolibre.com.ar/combo-10-colchones-1-plaza-por-mayor-economico-190x80-13cm/up/MLAU128937870#polycard_client=search-desktop&amp;be_origin=backend&amp;search_layout=grid&amp;position=7&amp;type=product&amp;float_highlight=last_units&amp;tracking_id=f52f9e4c-9cf8-47b8-b8fa-b23938a6c833&amp;wid=MLA1503052082&amp;sid=search</t>
  </si>
  <si>
    <t>Juego de Toalla y Toallón</t>
  </si>
  <si>
    <t>https://www.mercadolibre.com.ar/juego-de-toalla-y-toallon-hotelero-algodon-100-400g-leviblanc/p/MLA63785725?pdp_filters=item_id%3AMLA2744183104&amp;from=gshop&amp;matt_tool=80172593&amp;matt_word=&amp;matt_source=google&amp;matt_campaign_id=23390548790&amp;matt_ad_group_id=189479898143&amp;matt_match_type=&amp;matt_network=g&amp;matt_device=c&amp;matt_creative=789984782293&amp;matt_keyword=&amp;matt_ad_position=&amp;matt_ad_type=pla&amp;matt_merchant_id=735078350&amp;matt_product_id=MLA63785725-product&amp;matt_product_partition_id=2392713116061&amp;matt_target_id=aud-1965625651133:pla-2392713116061&amp;cq_src=google_ads&amp;cq_cmp=23390548790&amp;cq_net=g&amp;cq_plt=gp&amp;cq_med=pla&amp;gad_source=1&amp;gad_campaignid=23390548790&amp;gbraid=0AAAAAD01zQZO_5k0k-_Qy1sBQ-6VYgHEA&amp;gclid=Cj0KCQjwlqTRBhCBARIsANrkrxjWc9End1aUK7zgl69x48OfnaZ5M3ZdGUzCaKq9iafhfbR2tI-eH28aAnX8EALw_wcB</t>
  </si>
  <si>
    <t>Pie de baño</t>
  </si>
  <si>
    <t>https://metroblanc.com.ar/producto/alfombra-salida-de-bano-seclar-750-grs/?utm_term=&amp;utm_campaign=Compras+-+Shopping+Sales+Performance+28/6/23&amp;utm_source=adwords&amp;utm_medium=ppc&amp;hsa_acc=6513142586&amp;hsa_cam=20320539008&amp;hsa_grp=&amp;hsa_ad=&amp;hsa_src=x&amp;hsa_tgt=&amp;hsa_kw=&amp;hsa_mt=&amp;hsa_net=adwords&amp;hsa_ver=3&amp;gad_source=1&amp;gad_campaignid=20320543412&amp;gbraid=0AAAAAD6dP7Fd5xH7xb5Ql7kgV0ANAVnGE&amp;gclid=Cj0KCQjwlqTRBhCBARIsANrkrxi1KlWpCWZcNpl0WYvwYe9s6ovY7IGzFTiRj1174_V_z9GRJ6CYy4saAgOSEALw_wcB</t>
  </si>
  <si>
    <t>Sabanas 1 Plaza</t>
  </si>
  <si>
    <t>https://www.tutextil.com.ar/productos/pack-x-10-sabana-plana-144-hilos-1-plaza-c5ewh/?variant=1364518549&amp;pf=mc&amp;gad_source=1&amp;gad_campaignid=23174853313&amp;gbraid=0AAAAADIkhLE5WGX9FFZiWO-aM_ljU0Ka3&amp;gclid=Cj0KCQjwlqTRBhCBARIsANrkrxg9B8S5sb6Hw-j01XChl8hsQnVP3KRJXtlbabF1nMvf5xlinsId1uoaAsk7EALw_wcB</t>
  </si>
  <si>
    <t>Acolchados simples</t>
  </si>
  <si>
    <t>https://www.distritoblancomayorista.com.ar/productos/acolchado-liso-reversible-blanco-blanco?variant=379438046&amp;pf=mc&amp;gad_source=1&amp;gad_campaignid=23749744311&amp;gbraid=0AAAAAo4aIORQIhYjfAiIS7Y42QR01Xhrk&amp;gclid=Cj0KCQjwlqTRBhCBARIsANrkrxizIWyto7AczGgV48AD-O1oYvL_sfxari86ci1thOKQF4A6nqHENi0aAoJHEALw_wcB</t>
  </si>
  <si>
    <t>Almohadas</t>
  </si>
  <si>
    <t>https://www.mercadolibre.com.ar/almohada-hotelera-economica-somos-fabricantes-macro-blanco/up/MLAU127529514?pdp_filters=item_id%3AMLA1394360203&amp;from=gshop&amp;matt_tool=97413954&amp;matt_word=&amp;matt_source=google&amp;matt_campaign_id=23390548787&amp;matt_ad_group_id=189479898903&amp;matt_match_type=&amp;matt_network=g&amp;matt_device=c&amp;matt_creative=789984782113&amp;matt_keyword=&amp;matt_ad_position=&amp;matt_ad_type=pla&amp;matt_merchant_id=5704694254&amp;matt_product_id=MLAU127529514&amp;matt_product_partition_id=2389561735130&amp;matt_target_id=aud-1965625651133:pla-2389561735130&amp;cq_src=google_ads&amp;cq_cmp=23390548787&amp;cq_net=g&amp;cq_plt=gp&amp;cq_med=pla&amp;gad_source=1&amp;gad_campaignid=23390548787&amp;gbraid=0AAAAAD01zQbbBW6lH8Ih9Dpa9MBZjAGBR&amp;gclid=Cj0KCQjwlqTRBhCBARIsANrkrxh2nWtetz5tuLEV5RdPuqtS2e1F_RJFCW9I_9wQNDMsTTO-eCq049caAubLEALw_wcB</t>
  </si>
  <si>
    <t>TOTAL AMUEBLADO DEL BUS</t>
  </si>
  <si>
    <t>COCINA</t>
  </si>
  <si>
    <t>Horno, Anafe y Campana</t>
  </si>
  <si>
    <t>https://www.mercadolibre.com.ar/candy-combo-horno-electr-fidcx602-anafe-electrico-ch64ccb-color-plateado-y-negro/p/MLA25820268#polycard_client=search-desktop&amp;be_origin=backend&amp;search_layout=grid&amp;position=24&amp;type=product&amp;tracking_id=82b131a1-e520-47a5-904a-4de5da585c9b&amp;wid=MLA1790200991&amp;sid=search</t>
  </si>
  <si>
    <t>Kit de vajilla</t>
  </si>
  <si>
    <t>https://www.mercadolibre.com.ar/set-x6-platos-hondos-postre-y-playos-porcelana-verbano-recta/up/MLAU300750121#polycard_client=recommendations_vip-pads-right&amp;wid=MLA886467843&amp;sid=recos&amp;reco_backend=pads_ranker_entity_v2_retrieval_system_vip_pads_up&amp;reco_model=fallback_productos-promocionados&amp;reco_client=vip-pads-right&amp;reco_item_pos=3&amp;reco_backend_type=low_level&amp;reco_id=3e20b8f6-a7a3-4a10-817b-5b4be27ff325&amp;is_advertising=true&amp;ad_domain=VIPCORE_RIGHT&amp;ad_position=4&amp;ad_click_id=ZjU0MmIzNzYtNzA0MC00YmFiLThkNmQtZTJmNGU0NDc2NmMx</t>
  </si>
  <si>
    <t>Kit de cuberteria x 48</t>
  </si>
  <si>
    <t>https://www.mercadolibre.com.ar/set-48-juego-de-cubiertos-acero-inox-gastronomicos-universo/up/MLAU2338392809?matt_tool=38087446&amp;utm_source=google_shopping&amp;utm_medium=organic&amp;pdp_filters=item_id%3AMLA1936548308&amp;from=gshop</t>
  </si>
  <si>
    <t>Copas x12</t>
  </si>
  <si>
    <t>https://www.mercadolibre.com.ar/copa-brunello-nadir-vino-390ml-set-x12-unidades-color-transparente/p/MLA23207179#polycard_client=search-desktop&amp;be_origin=backend&amp;search_layout=grid&amp;position=7&amp;type=product&amp;tracking_id=22589747-d047-40c3-8da2-4aff66ab612f&amp;wid=MLA2138599298&amp;sid=search</t>
  </si>
  <si>
    <t>Copas para champagne x12</t>
  </si>
  <si>
    <t>https://www.mercadolibre.com.ar/pack-12-copas-champagne-vidrio-178-ml-aragon-cristar/p/MLA40005998#polycard_client=search-desktop&amp;be_origin=backend&amp;search_layout=grid&amp;position=1&amp;type=product&amp;tracking_id=7a2e62fc-2376-45cc-bc9b-2a6b15cc67c2&amp;wid=MLA1899463810&amp;sid=search</t>
  </si>
  <si>
    <t>Batería de cocina</t>
  </si>
  <si>
    <t>https://www.mercadolibre.com.ar/bateria-de-cocina-de-26-piezas-super-cook-lichen-tefal-verde-grisaceo/p/MLA43417520#polycard_client=search-desktop&amp;be_origin=backend&amp;search_layout=grid&amp;position=10&amp;type=product&amp;tracking_id=1db32b55-8952-417e-9115-4923e5f6b128&amp;wid=MLA1742453401&amp;sid=search</t>
  </si>
  <si>
    <t>Olla industrial 36L</t>
  </si>
  <si>
    <t>https://www.mercadolibre.com.ar/olla-gastronomica-aluminio-n-36-36-l-almandoz-mayorista-color-plateado/p/MLA23688059#polycard_client=search-desktop&amp;be_origin=backend&amp;search_layout=grid&amp;position=3&amp;type=product&amp;tracking_id=6b0dc0a9-88fc-4876-8287-48b0a2d72a30&amp;wid=MLA1518314428&amp;sid=search</t>
  </si>
  <si>
    <t>Repasadores x12</t>
  </si>
  <si>
    <t>https://www.mercadolibre.com.ar/repasador-x-mayor-top-gourmet-puro-algodon-toalla-pack-x-12u/up/MLAU3630592257#polycard_client=search-desktop&amp;be_origin=backend&amp;search_layout=grid&amp;position=23&amp;type=product&amp;tracking_id=dde609c8-3126-48f7-a2b2-19db49f24602&amp;wid=MLA2607232676&amp;sid=search</t>
  </si>
  <si>
    <t>Licuadora</t>
  </si>
  <si>
    <t>https://www.mercadolibre.com.ar/licuadora-de-vaso-ninja-professional-plus-bn701cl-negro/p/MLA65326782#polycard_client=search-desktop&amp;be_origin=backend&amp;search_layout=grid&amp;position=25&amp;type=product&amp;tracking_id=c0ede74d-943b-4739-9587-ad5570fe00d5&amp;wid=MLA3262295200&amp;sid=search</t>
  </si>
  <si>
    <t>Mixeadora</t>
  </si>
  <si>
    <t>https://www.mercadolibre.com.ar/mixer-midea-hb-1100x2ar1-negro-y-acero-inoxidable-50-hz-850w/p/MLA25116448#polycard_client=search-desktop&amp;be_origin=backend&amp;search_layout=grid&amp;position=12&amp;type=product&amp;tracking_id=8447bd62-b9e9-4134-8c33-9ec6ea494580&amp;wid=MLA1663082494&amp;sid=search</t>
  </si>
  <si>
    <t>Pava Electrica</t>
  </si>
  <si>
    <t>https://www.mercadolibre.com.ar/pava-electrica-unnic-pantalla-digital-color-tactil-acero-inoxidable-17-l-temperatura-prestablecidas-ideal-para-mate-cafe-te-color-negro/p/MLA47631092#polycard_client=search-desktop&amp;be_origin=backend&amp;search_layout=grid&amp;position=2&amp;type=product&amp;tracking_id=8a577e7f-d452-4550-8466-718f3d61ec95&amp;wid=MLA2055538384&amp;sid=search</t>
  </si>
  <si>
    <t>Tostadora</t>
  </si>
  <si>
    <t>https://www.mercadolibre.com.ar/tostadora-electrica-winco-w835n-negra-negro/p/MLA51241228#polycard_client=search-desktop&amp;be_origin=backend&amp;search_layout=grid&amp;position=4&amp;type=product&amp;tracking_id=052e8e94-2f1c-4199-81cd-40792cc29307&amp;wid=MLA2413609698&amp;sid=search</t>
  </si>
  <si>
    <t>Heladera Exhibidora</t>
  </si>
  <si>
    <t>https://www.mercadolibre.com.ar/heladera-inverter-midea-blanca-top-mount-340l-color-blanco/p/MLA46213326?pdp_filters=item_id:MLA2037745586#polycard_client=recommendations_pdp-pads-right&amp;wid=MLA2037745586&amp;sid=recos&amp;reco_backend=pdp_pads_right_rars_v2_with_default&amp;reco_model=fallback_productos-promocionados&amp;reco_client=pdp-pads-right&amp;reco_item_pos=1&amp;reco_backend_type=low_level&amp;reco_id=149e6154-56c9-4de5-9395-05c3064c54b8&amp;is_advertising=true&amp;ad_domain=PDPDESKTOP_RIGHT&amp;ad_position=2&amp;ad_click_id=OGU3Y2M1NzItM2Y4ZS00ZTMzLWIyOTctOTZkMTVlNDNjODgx</t>
  </si>
  <si>
    <t>Manta ignifuga</t>
  </si>
  <si>
    <t>https://www.mercadolibre.com.ar/manta-ignifuga-sepac-1x1m-descartable-con-estuche-para-apagar-fuegos-cocina/p/MLA50965719?matt_tool=38087446&amp;utm_source=google_shopping&amp;utm_medium=organic&amp;pdp_filters=item_id:MLA1504411843</t>
  </si>
  <si>
    <t>Matafuegos</t>
  </si>
  <si>
    <t>https://www.mercadolibre.com.ar/matafuego-yukon-5kg-nuevo-abc-iram-tarjeta--soporte--chapa/up/MLAU2666723134#polycard_client=search-desktop&amp;be_origin=backend&amp;search_layout=grid&amp;position=5&amp;type=product&amp;tracking_id=ea5f361d-9600-4549-80e9-c03e0d72a04e&amp;wid=MLA1948910574&amp;sid=search</t>
  </si>
  <si>
    <t>TOTAL COCINA</t>
  </si>
  <si>
    <t>ESPACIOS COMUNES</t>
  </si>
  <si>
    <t>Smart TV</t>
  </si>
  <si>
    <t>https://www.mercadolibre.com.ar/tv-de-24-kanji-kj-24tm005-con-pantalla-led-hd/p/MLA18614516#polycard_client=search-desktop&amp;be_origin=backend&amp;search_layout=grid&amp;position=2&amp;type=product&amp;tracking_id=b6c94fea-09a0-4f3b-980c-b3a7ffb052a7&amp;wid=MLA1550546511&amp;sid=search</t>
  </si>
  <si>
    <t>Convertidor a Smart TV</t>
  </si>
  <si>
    <t>https://www.mercadolibre.com.ar/tv-stick-wi-fi-smart-tv-android-hdmi-tv-box-fire-convertidor-color-negro-tipo-de-control-remoto-estandar/p/MLA41918674#polycard_client=search-desktop&amp;be_origin=backend&amp;search_layout=grid&amp;position=7&amp;type=product&amp;tracking_id=29dd30cb-4f3d-4de7-a3dd-ea9f39effc16&amp;wid=MLA3126871582&amp;sid=search</t>
  </si>
  <si>
    <t>TOTAL ESPACIOS COMUNES</t>
  </si>
  <si>
    <t>TOTAL NUCLEO ÓMNIBUS</t>
  </si>
  <si>
    <t>Dispositivo Starlink</t>
  </si>
  <si>
    <t xml:space="preserve">https://starlink.com/order?processorToken=83ffd75a-c3bb-4abd-8847-05d2253fdcb2&amp;step=0 </t>
  </si>
  <si>
    <t>Kit de limpieza</t>
  </si>
  <si>
    <t>https://www.mercadolibre.com.ar/combo-limpieza-hogar-romyl-kit-5-productos/up/MLAU234435111?pdp_filters=item_id%3AMLA1381115500&amp;from=gshop&amp;matt_tool=25256910&amp;matt_word=&amp;matt_source=google&amp;matt_campaign_id=23390548553&amp;matt_ad_group_id=189479849943&amp;matt_match_type=&amp;matt_network=g&amp;matt_device=c&amp;matt_creative=789984777790&amp;matt_keyword=&amp;matt_ad_position=&amp;matt_ad_type=pla&amp;matt_merchant_id=307128460&amp;matt_product_id=MLAU234435111&amp;matt_product_partition_id=2392714357621&amp;matt_target_id=aud-1965625651133:pla-2392714357621&amp;cq_src=google_ads&amp;cq_cmp=23390548553&amp;cq_net=g&amp;cq_plt=gp&amp;cq_med=pla&amp;gad_source=1&amp;gad_campaignid=23390548553&amp;gbraid=0AAAAAD01zQYxFeqY4ikhVctWEyShC9xYq&amp;gclid=Cj0KCQjwo_PRBhDNARIsAEcVALXTMKmkTnO2uAECRoXlFfIPIehhG9ZX5C02_J0d58MZmhSuDim4A3QaAnzaEALw_wcB</t>
  </si>
  <si>
    <t>Combo Limpieza Cif Antigrasa + Bolsas de Residuos</t>
  </si>
  <si>
    <t>https://encombo.com.ar/combo-limpieza-cif-antigrasa-bolsas-de-residuos-l.html?gad_source=1&amp;gad_campaignid=23433252946&amp;gbraid=0AAAAAqFTTPX186Ot6T1YTXOVA-oQnxRW1&amp;gclid=Cj0KCQjwo_PRBhDNARIsAEcVALXtvNCNqjE9ESEZ4AZuMMnas7TTYRkw4tX1My0atah9oRZaJIO5ReMaArfrEALw_wcB</t>
  </si>
  <si>
    <t>TOTAL</t>
  </si>
  <si>
    <t>TOTAL ESPACIOS DE TRABAJO</t>
  </si>
  <si>
    <t>Curso de Manipulación de alimentos</t>
  </si>
  <si>
    <t xml:space="preserve">https://ciudaddemendoza.gob.ar/tramites/inscripcion-para-curso-de-manipulacion-de-alimentos/ </t>
  </si>
  <si>
    <t>Wilderness First Responder</t>
  </si>
  <si>
    <t xml:space="preserve">https://expertiacapacita.com/event/wfr-mayo-2025-potrerillos-mendoza-argentina/ </t>
  </si>
  <si>
    <t>Curso de Cocinero</t>
  </si>
  <si>
    <t xml:space="preserve">https://escuelasnewton.com.ar/gastronomia/cocinero/ </t>
  </si>
  <si>
    <t xml:space="preserve">Modificación del ómnibus </t>
  </si>
  <si>
    <t xml:space="preserve">https://drive.google.com/file/d/1eB5W4ZCaka0rsxBerN1e1hYqmGKmtgYz/view?usp=sharing </t>
  </si>
  <si>
    <t>Compra del ómnibus</t>
  </si>
  <si>
    <t xml:space="preserve">https://mercadobuses.com/mercadobuses/catalogo/335315b0-cecc-4abb-8291-d58336e8253a </t>
  </si>
  <si>
    <t>TOTAL ARQUITECTURA</t>
  </si>
  <si>
    <t>Revisión Técnica Obligatoria</t>
  </si>
  <si>
    <t>https://transporte.rionegro.gov.ar/rto-tarifas?n=Nzc4O3MyMDE</t>
  </si>
  <si>
    <t>Homologación del Motorhome</t>
  </si>
  <si>
    <t xml:space="preserve">https://www.todomotorhome.ar/l/69b9dcbe-bf4f-476d-83a4-e56b7144ca31 </t>
  </si>
  <si>
    <t>Kit seguridad vehicular</t>
  </si>
  <si>
    <t>https://www.mercadolibre.com.ar/kit-reglamentario-auto-vtv-7-parte-matafuego-para-camion-25/up/MLAU2992283778#polycard_client=search-desktop&amp;be_origin=backend&amp;search_layout=grid&amp;position=3&amp;type=product&amp;float_highlight=last_units&amp;tracking_id=6710e4a5-4d3b-4be5-b3b6-d211233c7629&amp;wid=MLA1474131627&amp;sid=search</t>
  </si>
  <si>
    <t>Registro de dominio Web</t>
  </si>
  <si>
    <t>https://nic.ar/es/node/55</t>
  </si>
  <si>
    <t>Registro de marca INPI</t>
  </si>
  <si>
    <t>https://portaltramites.inpi.gob.ar/InfoPortal/Aranceles</t>
  </si>
  <si>
    <t>Certificado de Seguridad Vehicular</t>
  </si>
  <si>
    <t>Verificación Policial del Automotor</t>
  </si>
  <si>
    <t>TOTAL HABILITACIONES</t>
  </si>
  <si>
    <t>COMUNICACIÓN / COMERCIALIZACIÓN</t>
  </si>
  <si>
    <t>COMERCIALIZACIÓN</t>
  </si>
  <si>
    <t>Desarollo de página Web</t>
  </si>
  <si>
    <t xml:space="preserve">https://disenowebcordoba.com.ar/blog/precio-de-paginas-web-en-2026-en-argentina/ </t>
  </si>
  <si>
    <t>Publicidad en Facebook</t>
  </si>
  <si>
    <t>Publicidad en Instagram</t>
  </si>
  <si>
    <t>Publicidad en TikTok</t>
  </si>
  <si>
    <t>TOTAL COMERCIALIZACIÓN</t>
  </si>
  <si>
    <t>No modificar fórmula (linkea con Cash Flow)</t>
  </si>
  <si>
    <t>Monto total pre-ingreso al negocio (según Cash Flow)</t>
  </si>
  <si>
    <t>TOTAL PRE - INGRESO AL NEGOCIO</t>
  </si>
  <si>
    <t>DETALLE DE FUENTES DE FINANCIAMIENTO PROPIA (A)</t>
  </si>
  <si>
    <t>DETALLE DE FUENTES DE FINANCIACION EXTERNA (B)</t>
  </si>
  <si>
    <t>DETALLE DE FUENTES DE FINANCIACION DE INVERSIONISTAS (C)</t>
  </si>
  <si>
    <t>Aporte en efectivo por el socio N° 1</t>
  </si>
  <si>
    <t>Línea elegida</t>
  </si>
  <si>
    <t>Aporte del Inversionista N°1</t>
  </si>
  <si>
    <t>Aporte en efectivo por el socio N° 2</t>
  </si>
  <si>
    <t>Banco/Organismo otorgante</t>
  </si>
  <si>
    <t>Aporte del Inversionista N°2</t>
  </si>
  <si>
    <t>Aporte en efectivo por el dueño/socio/accionista Nº 3</t>
  </si>
  <si>
    <t>Link de referencia de la línea</t>
  </si>
  <si>
    <t>Forma de devolución del capital invertido</t>
  </si>
  <si>
    <t>Aporte en efectivo por el dueño/socio/accionista Nº 4</t>
  </si>
  <si>
    <t>Monto total préstamo solicitado (capital)</t>
  </si>
  <si>
    <t>Monto total aportado por inversionistas</t>
  </si>
  <si>
    <t>Otros (especifique)</t>
  </si>
  <si>
    <t>En caso de tener una fuente de financiamiento externa, debe desarrollar la solapa 6.2.1 (Detalle devolución préstamo)</t>
  </si>
  <si>
    <t>Total de las Fuentes de Financiamiento Propia</t>
  </si>
  <si>
    <t>El aporte realizado por el socio N° 1 proviene de la venta de dos propiedades</t>
  </si>
  <si>
    <t>https://drive.google.com/file/d/1QCHiXjq6qoHyvZkpmJN9C5EQW9AOToOz/view?usp=drive_link
https://drive.google.com/file/d/1ANoIaST3Ae2sEZff9nV5_IuEBKyzseec/view?usp=drive_link</t>
  </si>
  <si>
    <r>
      <rPr>
        <b/>
        <sz val="12"/>
        <color rgb="FF000000"/>
        <rFont val="Raleway"/>
      </rPr>
      <t xml:space="preserve">Exprese en una tabla, planilla o gráfico la estacionalidad analizada del destino en relación a su negocio. En caso que opere más de un destino, determine los más relevantes para poder analizar las diferentes curvas de estacionalidad y analizar las temporadas baja/media/alta correspondientes. 
</t>
    </r>
    <r>
      <rPr>
        <b/>
        <sz val="12"/>
        <color rgb="FFFF0000"/>
        <rFont val="Raleway"/>
      </rPr>
      <t>EJEMPLO</t>
    </r>
  </si>
  <si>
    <t>Zona Norte</t>
  </si>
  <si>
    <t>Zona Cuyo</t>
  </si>
  <si>
    <t>Zona Patagonia</t>
  </si>
  <si>
    <t>Estacionalidad Propia</t>
  </si>
  <si>
    <t>Fuente(s) de las cuales determinó la(s) curva(s) de destino(s):</t>
  </si>
  <si>
    <t>Informes tecnicos de ocupacion hotelera de los años 2024 y 2025 elaborados por el INDEC</t>
  </si>
  <si>
    <t>Link(s):</t>
  </si>
  <si>
    <t>https://www.indec.gob.ar/ftp/cuadros/economia/EOH_cuadros_dic24.zip</t>
  </si>
  <si>
    <t>https://www.indec.gob.ar/ftp/cuadros/economia/EOH_cuadros_dic25.zip</t>
  </si>
  <si>
    <r>
      <rPr>
        <sz val="11"/>
        <color rgb="FF000000"/>
        <rFont val="Raleway"/>
      </rPr>
      <t xml:space="preserve">ESTA PLANILLA ES UN MODELO - UTILIZAR LA QUE MEJOR SE ADAPTE A SU EMPRENDIMIENTO.
Importante: </t>
    </r>
    <r>
      <rPr>
        <b/>
        <sz val="11"/>
        <color rgb="FFFF0000"/>
        <rFont val="Raleway"/>
      </rPr>
      <t>relacionar la estimación de ventas por mes con el destino analizado y ver en qué momento de la estacionalidad se encuentra ese destino.</t>
    </r>
  </si>
  <si>
    <t>AÑO 1</t>
  </si>
  <si>
    <t>Viaje N°</t>
  </si>
  <si>
    <t>Total de pax</t>
  </si>
  <si>
    <t>Cantidad de salidas</t>
  </si>
  <si>
    <t xml:space="preserve">Tarifa (según región) </t>
  </si>
  <si>
    <t>Factor de ocupación (F.O.)</t>
  </si>
  <si>
    <t>Total por viaje</t>
  </si>
  <si>
    <t>Viaje N° 1 Patagonia Enero</t>
  </si>
  <si>
    <t>Viaje N° 2 Cuyo Enero</t>
  </si>
  <si>
    <t>Viaje N° 3 Norte Febrero</t>
  </si>
  <si>
    <t>Viaje N° 4 Patagonia Febrero</t>
  </si>
  <si>
    <t>Viaje N° 5 Cuyo Marzo</t>
  </si>
  <si>
    <t>Viaje N° 6 Norte Marzo</t>
  </si>
  <si>
    <t>Viaje N° 7 Patagonia Marzo</t>
  </si>
  <si>
    <t>Viaje N° 8 Patagonia Abril</t>
  </si>
  <si>
    <t>Viaje N° 9 Cuyo Abril</t>
  </si>
  <si>
    <t>Viaje N° 10 Norte Mayo</t>
  </si>
  <si>
    <t>Viaje N° 11 Patagonia Mayo</t>
  </si>
  <si>
    <t>Viaje N° 12 Cuyo Junio</t>
  </si>
  <si>
    <t>Viaje N° 13 Norte Junio</t>
  </si>
  <si>
    <t>Viaje N° 14 Norte Julio</t>
  </si>
  <si>
    <t>Viaje N° 15 Norte Julio</t>
  </si>
  <si>
    <t>Viaje N° 16 Norte Agosto</t>
  </si>
  <si>
    <t>Viaje N° 17 Norte Agosto</t>
  </si>
  <si>
    <t>Viaje N° 18 Cuyo Septiembre</t>
  </si>
  <si>
    <t>Viaje N° 19 Norte Septiembre</t>
  </si>
  <si>
    <t>Viaje N° 20 Patagonia Septiembre</t>
  </si>
  <si>
    <t>Viaje N° 21 Norte Octubre</t>
  </si>
  <si>
    <t>Viaje N° 22 Patagonia Octubre</t>
  </si>
  <si>
    <t>Viaje N° 23 Cuyo Noviembre</t>
  </si>
  <si>
    <t>Viaje N° 24 Patagonia Noviembre</t>
  </si>
  <si>
    <t>Viaje N° 25 Patagonia Diciembre</t>
  </si>
  <si>
    <t>TARIFAS</t>
  </si>
  <si>
    <t>Año 1</t>
  </si>
  <si>
    <t>Norte</t>
  </si>
  <si>
    <t>Cuyo</t>
  </si>
  <si>
    <t>Patagonia</t>
  </si>
  <si>
    <t>Viaje</t>
  </si>
  <si>
    <t>AÑO 2</t>
  </si>
  <si>
    <t>Año 2</t>
  </si>
  <si>
    <t>Aplicar inflación para el cálculo de tarifa</t>
  </si>
  <si>
    <t>AÑO 3</t>
  </si>
  <si>
    <t>Año 3</t>
  </si>
  <si>
    <t>Sindicato/Organización de la cual se obtuvieron los valores de sueldos según Convenio Colectivo de Trabajo (CCT):</t>
  </si>
  <si>
    <t>Federación Argentina de Empleados de Comercio y Servicios</t>
  </si>
  <si>
    <t>Link:</t>
  </si>
  <si>
    <t>https://www.faecys.org.ar/faecys-acuerdo-y-escalas-salariales-rama-turismo-sec-de-as-laborales/</t>
  </si>
  <si>
    <t>SUELDOS Y CARGAS SOCIALES
INDICAR EN EL CASH FLOW (ACTUALIZAR SEGÚN INFLACIÓN)</t>
  </si>
  <si>
    <t>Aplicar inflación para el cálculo de Sueldos y Cargas Sociales (mes a mes)</t>
  </si>
  <si>
    <t>Posición</t>
  </si>
  <si>
    <t>Salario Mensual ($ BRUTOS)
Año 1</t>
  </si>
  <si>
    <t>Conductor 1</t>
  </si>
  <si>
    <t>SÓLO MODIFICAR ESTOS VALORES</t>
  </si>
  <si>
    <t>Conductor 2</t>
  </si>
  <si>
    <t>Coordinador</t>
  </si>
  <si>
    <t>Gerente administrativo</t>
  </si>
  <si>
    <t>Gerente operativo</t>
  </si>
  <si>
    <t>Sub Total BRUTO (por mes)</t>
  </si>
  <si>
    <t>NO MODIFICAR FÓRMULAS</t>
  </si>
  <si>
    <t>Proporcional SAC BRUTO (mensual)</t>
  </si>
  <si>
    <t>Total mensual BRUTO (Sueldos + Proporcional SAC)</t>
  </si>
  <si>
    <t>APORTES PATRONALES EMPLEADOR (sobre sueldo BRUTO)</t>
  </si>
  <si>
    <t>Año 1 (por mes)</t>
  </si>
  <si>
    <t>Jubilacion (16%)</t>
  </si>
  <si>
    <t>PAMI (2%)</t>
  </si>
  <si>
    <t>Obra social (6%)</t>
  </si>
  <si>
    <t>Fondo Nacional de Empleo (1,5%)</t>
  </si>
  <si>
    <t>Seguro de Vida Obligatorio (0,03%)</t>
  </si>
  <si>
    <t>ART (3%)</t>
  </si>
  <si>
    <t>Sub Total (Mensual) Aportes Patronales</t>
  </si>
  <si>
    <t>Información Salario</t>
  </si>
  <si>
    <t>INFLACIÓN ESTIMADA MENSUAL AÑO 1 
(calcular la inflación mes a mes)</t>
  </si>
  <si>
    <t>INFLACIÓN ESTIMADA MENSUAL AÑO 2
(calcular la inflación mes a mes)</t>
  </si>
  <si>
    <t>INFLACIÓN ESTIMADA MENSUAL AÑO 3
(calcular la inflación mes a mes)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</si>
  <si>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</si>
  <si>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</si>
  <si>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</si>
  <si>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</si>
  <si>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</si>
  <si>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</si>
  <si>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</si>
  <si>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</si>
  <si>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</si>
  <si>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</si>
  <si>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</si>
  <si>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</si>
  <si>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Saldo inicial de caja</t>
  </si>
  <si>
    <t>INGRESOS</t>
  </si>
  <si>
    <t>Ingresos Concepto "Viaje Patagonia"</t>
  </si>
  <si>
    <t>Ingresos Concepto "Viaje Norte"</t>
  </si>
  <si>
    <t>Ingresos Concepto "Viaje Cuyo"</t>
  </si>
  <si>
    <t>Intereses Ganados del Fondo Común de Inversión</t>
  </si>
  <si>
    <t>Obligaciones Negociables</t>
  </si>
  <si>
    <t>Total ingresos</t>
  </si>
  <si>
    <t>EGRESOS</t>
  </si>
  <si>
    <t>Sueldos Brutos</t>
  </si>
  <si>
    <t>Proporcional SAC (Aguinaldo)</t>
  </si>
  <si>
    <t>Aportes Patronales Empleador (Sueldos Brutos + Proporcional SAC)</t>
  </si>
  <si>
    <t>Seguros responsabilidad civil</t>
  </si>
  <si>
    <t>Publicidad en redes sociales</t>
  </si>
  <si>
    <t>Pago a proveedores Alimentos y Bebidas (Insumos en Patagonia)</t>
  </si>
  <si>
    <t>Pago a proveedores Alimentos y Bebidas (Insumos en Norte)</t>
  </si>
  <si>
    <t>Pago a proveedores Alimentos y Bebidas (Insumos en Cuyo)</t>
  </si>
  <si>
    <t>Servicio de limpieza del ómnibus</t>
  </si>
  <si>
    <t>Baulera para almacenado</t>
  </si>
  <si>
    <t>Agencia de Marketing Digital</t>
  </si>
  <si>
    <t>Cocheras</t>
  </si>
  <si>
    <t>Servicio de lavanderia</t>
  </si>
  <si>
    <t>Abono Servicio Starlink</t>
  </si>
  <si>
    <t>Asesoramiento Legal y Contable</t>
  </si>
  <si>
    <t>Asesoramiento / Mantenimiento Sistemas Web</t>
  </si>
  <si>
    <t>Pago de dominio web</t>
  </si>
  <si>
    <t>Mantenimiento del Ómnibus</t>
  </si>
  <si>
    <t>Diesel</t>
  </si>
  <si>
    <t>Devolución de capital a inversionistas</t>
  </si>
  <si>
    <t>Mantenimiento de cuenta corriente Banco Nación</t>
  </si>
  <si>
    <t>Tasa Nacional de Fiscalización de Transporte</t>
  </si>
  <si>
    <t>Mantenimiento edilicio (2%)</t>
  </si>
  <si>
    <t>Impuesto a los Ingresos Brutos - IIBB (3%)</t>
  </si>
  <si>
    <t>Impuesto a los débitos (0.6%)</t>
  </si>
  <si>
    <t>Impuesto a los créditos (0.6%)</t>
  </si>
  <si>
    <t>Sub Total Egresos Operativos</t>
  </si>
  <si>
    <t>Resultado Bruto</t>
  </si>
  <si>
    <t>Impuesto a las ganancias - IIGG (35%)</t>
  </si>
  <si>
    <t>Resultado neto: (Resultado Bruto - IIGG)</t>
  </si>
  <si>
    <t>Retiro de socios</t>
  </si>
  <si>
    <t>Saldo de cierre de caja mensual</t>
  </si>
  <si>
    <t>Saldo final de caja acumulado</t>
  </si>
  <si>
    <r>
      <rPr>
        <b/>
        <sz val="11"/>
        <color rgb="FFFF0000"/>
        <rFont val="Raleway"/>
      </rPr>
      <t>NO MODIFICAR FÓRMULAS</t>
    </r>
    <r>
      <rPr>
        <b/>
        <sz val="11"/>
        <color theme="1"/>
        <rFont val="Raleway"/>
      </rPr>
      <t xml:space="preserve">
Pre ingreso al negocio 
("Saldo final de caja acumulado" más alto en el Cash Flow)
Se indica en positivo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</si>
</sst>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 $]#,##0.00"/>
    <numFmt numFmtId="165" formatCode="&quot;$&quot;#,##0.00"/>
  </numFmts>
  <fonts count="22">
    <font>
      <sz val="10"/>
      <color rgb="FF000000"/>
      <name val="Arial"/>
      <scheme val="minor"/>
    </font>
    <font>
      <sz val="11"/>
      <color theme="1"/>
      <name val="Raleway"/>
    </font>
    <font>
      <b/>
      <sz val="11"/>
      <color rgb="FF000000"/>
      <name val="Raleway"/>
    </font>
    <font>
      <b/>
      <sz val="11"/>
      <color theme="1"/>
      <name val="Raleway"/>
    </font>
    <font>
      <sz val="11"/>
      <color rgb="FF000000"/>
      <name val="Raleway"/>
    </font>
    <font>
      <b/>
      <sz val="14"/>
      <color rgb="FFFFFFFF"/>
      <name val="Raleway"/>
    </font>
    <font>
      <sz val="10"/>
      <name val="Arial"/>
    </font>
    <font>
      <b/>
      <sz val="11"/>
      <color rgb="FFFFFFFF"/>
      <name val="Raleway"/>
    </font>
    <font>
      <sz val="11"/>
      <color rgb="FFFFFFFF"/>
      <name val="Raleway"/>
    </font>
    <font>
      <b/>
      <sz val="14"/>
      <color theme="1"/>
      <name val="Raleway"/>
    </font>
    <font>
      <sz val="10"/>
      <color theme="1"/>
      <name val="Raleway"/>
    </font>
    <font>
      <b/>
      <sz val="14"/>
      <color rgb="FF000000"/>
      <name val="Raleway"/>
    </font>
    <font>
      <b/>
      <sz val="10"/>
      <color theme="1"/>
      <name val="Raleway"/>
    </font>
    <font>
      <b/>
      <sz val="12"/>
      <color rgb="FF000000"/>
      <name val="Raleway"/>
    </font>
    <font>
      <i/>
      <sz val="11"/>
      <color rgb="FF666666"/>
      <name val="Raleway"/>
    </font>
    <font>
      <sz val="11"/>
      <color rgb="FF666666"/>
      <name val="Raleway"/>
    </font>
    <font>
      <b/>
      <sz val="12"/>
      <color rgb="FFFF0000"/>
      <name val="Raleway"/>
    </font>
    <font>
      <u/>
      <sz val="11"/>
      <color rgb="FF1155CC"/>
      <name val="Raleway"/>
    </font>
    <font>
      <b/>
      <sz val="11"/>
      <color rgb="FFFF0000"/>
      <name val="Raleway"/>
    </font>
    <font>
      <u/>
      <sz val="10"/>
      <color theme="10"/>
      <name val="Arial"/>
      <scheme val="minor"/>
    </font>
    <font>
      <sz val="8"/>
      <name val="Arial"/>
      <scheme val="minor"/>
    </font>
    <font>
      <sz val="14"/>
      <color rgb="FF000000"/>
      <name val="Raleway"/>
    </font>
  </fonts>
  <fills count="31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B4A7D6"/>
        <bgColor rgb="FFB4A7D6"/>
      </patternFill>
    </fill>
    <fill>
      <patternFill patternType="solid">
        <fgColor rgb="FFFFFF00"/>
        <bgColor rgb="FFFFFF00"/>
      </patternFill>
    </fill>
    <fill>
      <patternFill patternType="solid">
        <fgColor rgb="FFD0E0E3"/>
        <bgColor rgb="FFD0E0E3"/>
      </patternFill>
    </fill>
    <fill>
      <patternFill patternType="solid">
        <fgColor rgb="FF6D9EEB"/>
        <bgColor rgb="FF6D9EEB"/>
      </patternFill>
    </fill>
    <fill>
      <patternFill patternType="solid">
        <fgColor rgb="FF00FF00"/>
        <bgColor rgb="FF00FF00"/>
      </patternFill>
    </fill>
    <fill>
      <patternFill patternType="solid">
        <fgColor theme="8"/>
        <bgColor theme="8"/>
      </patternFill>
    </fill>
    <fill>
      <patternFill patternType="solid">
        <fgColor rgb="FFFF0000"/>
        <bgColor rgb="FFFF0000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9BD3B8"/>
        <bgColor rgb="FF9BD3B8"/>
      </patternFill>
    </fill>
    <fill>
      <patternFill patternType="solid">
        <fgColor theme="4"/>
        <bgColor theme="4"/>
      </patternFill>
    </fill>
    <fill>
      <patternFill patternType="solid">
        <fgColor rgb="FFFFDF8B"/>
        <bgColor rgb="FFFFDF8B"/>
      </patternFill>
    </fill>
    <fill>
      <patternFill patternType="solid">
        <fgColor rgb="FFF9CB9C"/>
        <bgColor rgb="FFF9CB9C"/>
      </patternFill>
    </fill>
    <fill>
      <patternFill patternType="solid">
        <fgColor rgb="FFEAD1DC"/>
        <bgColor rgb="FFEAD1DC"/>
      </patternFill>
    </fill>
    <fill>
      <patternFill patternType="solid">
        <fgColor rgb="FF4A86E8"/>
        <bgColor rgb="FF4A86E8"/>
      </patternFill>
    </fill>
    <fill>
      <patternFill patternType="solid">
        <fgColor rgb="FFD9EAD3"/>
        <bgColor rgb="FFD9EAD3"/>
      </patternFill>
    </fill>
    <fill>
      <patternFill patternType="solid">
        <fgColor rgb="FFBFDFDA"/>
        <bgColor rgb="FFBFDFDA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F9900"/>
        <bgColor rgb="FFFF9900"/>
      </patternFill>
    </fill>
    <fill>
      <patternFill patternType="solid">
        <fgColor rgb="FFD9D2E9"/>
        <bgColor rgb="FFD0E0E3"/>
      </patternFill>
    </fill>
    <fill>
      <patternFill patternType="solid">
        <fgColor rgb="FFD9D2E9"/>
        <bgColor rgb="FF6D9EEB"/>
      </patternFill>
    </fill>
    <fill>
      <patternFill patternType="solid">
        <fgColor rgb="FFD9D2E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92">
    <xf numFmtId="0" fontId="0" fillId="0" borderId="0" xfId="0"/>
    <xf numFmtId="0" fontId="11" fillId="1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0" fillId="0" borderId="0" xfId="0" applyFont="1"/>
    <xf numFmtId="164" fontId="3" fillId="1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64" fontId="9" fillId="10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 wrapText="1"/>
    </xf>
    <xf numFmtId="164" fontId="9" fillId="8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center" vertical="center" wrapText="1"/>
    </xf>
    <xf numFmtId="164" fontId="9" fillId="9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13" borderId="1" xfId="0" applyFont="1" applyFill="1" applyBorder="1" applyAlignment="1">
      <alignment horizontal="center" vertical="center" wrapText="1"/>
    </xf>
    <xf numFmtId="164" fontId="4" fillId="13" borderId="1" xfId="0" applyNumberFormat="1" applyFont="1" applyFill="1" applyBorder="1" applyAlignment="1">
      <alignment horizontal="center" vertical="center" wrapText="1"/>
    </xf>
    <xf numFmtId="9" fontId="1" fillId="13" borderId="1" xfId="0" applyNumberFormat="1" applyFont="1" applyFill="1" applyBorder="1" applyAlignment="1">
      <alignment horizontal="center" vertical="center" wrapText="1"/>
    </xf>
    <xf numFmtId="165" fontId="4" fillId="13" borderId="1" xfId="0" applyNumberFormat="1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165" fontId="1" fillId="1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164" fontId="2" fillId="18" borderId="1" xfId="0" applyNumberFormat="1" applyFont="1" applyFill="1" applyBorder="1" applyAlignment="1">
      <alignment horizontal="center" vertical="center" wrapText="1"/>
    </xf>
    <xf numFmtId="164" fontId="4" fillId="18" borderId="1" xfId="0" applyNumberFormat="1" applyFont="1" applyFill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4" fontId="4" fillId="15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9" fontId="3" fillId="19" borderId="0" xfId="0" applyNumberFormat="1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2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23" borderId="1" xfId="0" applyNumberFormat="1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165" fontId="8" fillId="15" borderId="1" xfId="0" applyNumberFormat="1" applyFont="1" applyFill="1" applyBorder="1" applyAlignment="1">
      <alignment horizontal="center" vertical="center"/>
    </xf>
    <xf numFmtId="165" fontId="8" fillId="2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3" borderId="1" xfId="0" applyNumberFormat="1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 wrapText="1"/>
    </xf>
    <xf numFmtId="164" fontId="1" fillId="25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165" fontId="3" fillId="26" borderId="1" xfId="0" applyNumberFormat="1" applyFont="1" applyFill="1" applyBorder="1" applyAlignment="1">
      <alignment horizontal="center" vertical="center" wrapText="1"/>
    </xf>
    <xf numFmtId="164" fontId="1" fillId="27" borderId="1" xfId="0" applyNumberFormat="1" applyFont="1" applyFill="1" applyBorder="1" applyAlignment="1">
      <alignment horizontal="center" vertical="center" wrapText="1"/>
    </xf>
    <xf numFmtId="165" fontId="3" fillId="27" borderId="1" xfId="0" applyNumberFormat="1" applyFont="1" applyFill="1" applyBorder="1" applyAlignment="1">
      <alignment horizontal="center" vertical="center" wrapText="1"/>
    </xf>
    <xf numFmtId="164" fontId="4" fillId="28" borderId="1" xfId="0" applyNumberFormat="1" applyFont="1" applyFill="1" applyBorder="1" applyAlignment="1">
      <alignment horizontal="center" vertical="center" wrapText="1"/>
    </xf>
    <xf numFmtId="164" fontId="1" fillId="28" borderId="1" xfId="0" applyNumberFormat="1" applyFont="1" applyFill="1" applyBorder="1" applyAlignment="1">
      <alignment horizontal="center" vertical="center" wrapText="1"/>
    </xf>
    <xf numFmtId="164" fontId="3" fillId="28" borderId="1" xfId="0" applyNumberFormat="1" applyFont="1" applyFill="1" applyBorder="1" applyAlignment="1">
      <alignment horizontal="center" vertical="center" wrapText="1"/>
    </xf>
    <xf numFmtId="0" fontId="19" fillId="27" borderId="1" xfId="1" applyFill="1" applyBorder="1" applyAlignment="1">
      <alignment horizontal="center" vertical="center" wrapText="1"/>
    </xf>
    <xf numFmtId="164" fontId="19" fillId="4" borderId="1" xfId="1" applyNumberFormat="1" applyFill="1" applyBorder="1" applyAlignment="1">
      <alignment horizontal="center" vertical="center" wrapText="1"/>
    </xf>
    <xf numFmtId="164" fontId="19" fillId="28" borderId="1" xfId="1" applyNumberFormat="1" applyFill="1" applyBorder="1" applyAlignment="1">
      <alignment horizontal="center" vertical="center" wrapText="1"/>
    </xf>
    <xf numFmtId="164" fontId="19" fillId="6" borderId="1" xfId="1" applyNumberFormat="1" applyFill="1" applyBorder="1" applyAlignment="1">
      <alignment horizontal="center" vertical="center" wrapText="1"/>
    </xf>
    <xf numFmtId="0" fontId="19" fillId="7" borderId="1" xfId="1" applyFill="1" applyBorder="1" applyAlignment="1">
      <alignment horizontal="center" vertical="center" wrapText="1"/>
    </xf>
    <xf numFmtId="0" fontId="19" fillId="10" borderId="1" xfId="1" applyFill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vertical="center"/>
    </xf>
    <xf numFmtId="0" fontId="19" fillId="5" borderId="1" xfId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1" fillId="14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/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64" fontId="19" fillId="8" borderId="1" xfId="1" applyNumberForma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164" fontId="2" fillId="28" borderId="2" xfId="0" applyNumberFormat="1" applyFont="1" applyFill="1" applyBorder="1" applyAlignment="1">
      <alignment horizontal="center" vertical="center" wrapText="1"/>
    </xf>
    <xf numFmtId="0" fontId="6" fillId="29" borderId="8" xfId="0" applyFont="1" applyFill="1" applyBorder="1" applyAlignment="1"/>
    <xf numFmtId="0" fontId="6" fillId="29" borderId="3" xfId="0" applyFont="1" applyFill="1" applyBorder="1" applyAlignment="1"/>
    <xf numFmtId="0" fontId="5" fillId="2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/>
    <xf numFmtId="0" fontId="6" fillId="0" borderId="3" xfId="0" applyFont="1" applyBorder="1" applyAlignment="1"/>
    <xf numFmtId="164" fontId="3" fillId="5" borderId="2" xfId="0" applyNumberFormat="1" applyFont="1" applyFill="1" applyBorder="1" applyAlignment="1">
      <alignment horizontal="center" vertical="center" wrapText="1"/>
    </xf>
    <xf numFmtId="164" fontId="11" fillId="5" borderId="2" xfId="0" applyNumberFormat="1" applyFont="1" applyFill="1" applyBorder="1" applyAlignment="1">
      <alignment horizontal="center" vertical="center" wrapText="1"/>
    </xf>
    <xf numFmtId="164" fontId="11" fillId="6" borderId="2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164" fontId="11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164" fontId="11" fillId="4" borderId="2" xfId="0" applyNumberFormat="1" applyFont="1" applyFill="1" applyBorder="1" applyAlignment="1">
      <alignment horizontal="center" vertical="center" wrapText="1"/>
    </xf>
    <xf numFmtId="164" fontId="9" fillId="8" borderId="2" xfId="0" applyNumberFormat="1" applyFont="1" applyFill="1" applyBorder="1" applyAlignment="1">
      <alignment horizontal="center" vertical="center" wrapText="1"/>
    </xf>
    <xf numFmtId="164" fontId="11" fillId="8" borderId="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/>
    <xf numFmtId="0" fontId="6" fillId="0" borderId="6" xfId="0" applyFont="1" applyBorder="1" applyAlignment="1"/>
    <xf numFmtId="0" fontId="9" fillId="12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0" fillId="0" borderId="0" xfId="0" applyAlignment="1"/>
    <xf numFmtId="0" fontId="4" fillId="13" borderId="9" xfId="0" applyFont="1" applyFill="1" applyBorder="1" applyAlignment="1">
      <alignment horizontal="center" vertical="center" wrapText="1"/>
    </xf>
    <xf numFmtId="0" fontId="19" fillId="30" borderId="9" xfId="1" applyFill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19" fillId="0" borderId="2" xfId="1" applyBorder="1" applyAlignment="1"/>
    <xf numFmtId="0" fontId="19" fillId="0" borderId="8" xfId="1" applyBorder="1" applyAlignment="1"/>
    <xf numFmtId="0" fontId="19" fillId="0" borderId="3" xfId="1" applyBorder="1" applyAlignment="1"/>
    <xf numFmtId="0" fontId="1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/>
    <xf numFmtId="0" fontId="10" fillId="0" borderId="8" xfId="0" applyFont="1" applyBorder="1" applyAlignment="1"/>
    <xf numFmtId="0" fontId="10" fillId="0" borderId="3" xfId="0" applyFont="1" applyBorder="1" applyAlignment="1"/>
    <xf numFmtId="0" fontId="3" fillId="16" borderId="4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164" fontId="2" fillId="18" borderId="4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9" fillId="0" borderId="2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20" borderId="2" xfId="0" applyFont="1" applyFill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/>
    </xf>
    <xf numFmtId="0" fontId="8" fillId="24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2">
    <dxf>
      <font>
        <color rgb="FFFF7474"/>
      </font>
      <fill>
        <patternFill patternType="solid">
          <fgColor rgb="FF808080"/>
          <bgColor rgb="FF808080"/>
        </patternFill>
      </fill>
    </dxf>
    <dxf>
      <font>
        <color rgb="FFFF7474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23" Type="http://schemas.openxmlformats.org/officeDocument/2006/relationships/customXml" Target="../customXml/item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22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lang="en-US" b="0" i="0">
                <a:solidFill>
                  <a:srgbClr val="757575"/>
                </a:solidFill>
                <a:latin typeface="+mn-lt"/>
              </a:rPr>
              <a:t>Curva de destinos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'6.3 Curva de estacionalidad des'!$B$5</c:f>
              <c:strCache>
                <c:ptCount val="1"/>
                <c:pt idx="0">
                  <c:v>Zona Norte</c:v>
                </c:pt>
              </c:strCache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numRef>
              <c:f>'6.3 Curva de estacionalidad des'!$C$4:$N$4</c:f>
              <c:numCache>
                <c:formatCode>mmm\-yy</c:formatCode>
                <c:ptCount val="12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</c:numCache>
            </c:numRef>
          </c:cat>
          <c:val>
            <c:numRef>
              <c:f>'6.3 Curva de estacionalidad des'!$C$5:$N$5</c:f>
              <c:numCache>
                <c:formatCode>General</c:formatCode>
                <c:ptCount val="12"/>
                <c:pt idx="0">
                  <c:v>17.5</c:v>
                </c:pt>
                <c:pt idx="1">
                  <c:v>23.3</c:v>
                </c:pt>
                <c:pt idx="2">
                  <c:v>27</c:v>
                </c:pt>
                <c:pt idx="3">
                  <c:v>23.2</c:v>
                </c:pt>
                <c:pt idx="4">
                  <c:v>23.2</c:v>
                </c:pt>
                <c:pt idx="5">
                  <c:v>22.1</c:v>
                </c:pt>
                <c:pt idx="6">
                  <c:v>21.2</c:v>
                </c:pt>
                <c:pt idx="7">
                  <c:v>37.299999999999997</c:v>
                </c:pt>
                <c:pt idx="8">
                  <c:v>24</c:v>
                </c:pt>
                <c:pt idx="9">
                  <c:v>24.8</c:v>
                </c:pt>
                <c:pt idx="10">
                  <c:v>26.2</c:v>
                </c:pt>
                <c:pt idx="11">
                  <c:v>25.8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A-425D-952C-E1DD0EB06099}"/>
            </c:ext>
          </c:extLst>
        </c:ser>
        <c:ser>
          <c:idx val="1"/>
          <c:order val="1"/>
          <c:tx>
            <c:strRef>
              <c:f>'6.3 Curva de estacionalidad des'!$B$6</c:f>
              <c:strCache>
                <c:ptCount val="1"/>
                <c:pt idx="0">
                  <c:v>Zona Cuyo</c:v>
                </c:pt>
              </c:strCache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none"/>
          </c:marker>
          <c:cat>
            <c:numRef>
              <c:f>'6.3 Curva de estacionalidad des'!$C$4:$N$4</c:f>
              <c:numCache>
                <c:formatCode>mmm\-yy</c:formatCode>
                <c:ptCount val="12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</c:numCache>
            </c:numRef>
          </c:cat>
          <c:val>
            <c:numRef>
              <c:f>'6.3 Curva de estacionalidad des'!$C$6:$N$6</c:f>
              <c:numCache>
                <c:formatCode>General</c:formatCode>
                <c:ptCount val="12"/>
                <c:pt idx="0">
                  <c:v>19.899999999999999</c:v>
                </c:pt>
                <c:pt idx="1">
                  <c:v>35.700000000000003</c:v>
                </c:pt>
                <c:pt idx="2">
                  <c:v>29.2</c:v>
                </c:pt>
                <c:pt idx="3">
                  <c:v>25.2</c:v>
                </c:pt>
                <c:pt idx="4">
                  <c:v>23.3</c:v>
                </c:pt>
                <c:pt idx="5">
                  <c:v>20.6</c:v>
                </c:pt>
                <c:pt idx="6">
                  <c:v>20</c:v>
                </c:pt>
                <c:pt idx="7">
                  <c:v>34.5</c:v>
                </c:pt>
                <c:pt idx="8">
                  <c:v>24.5</c:v>
                </c:pt>
                <c:pt idx="9">
                  <c:v>25.2</c:v>
                </c:pt>
                <c:pt idx="10">
                  <c:v>25.7</c:v>
                </c:pt>
                <c:pt idx="11">
                  <c:v>29.3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3A-425D-952C-E1DD0EB06099}"/>
            </c:ext>
          </c:extLst>
        </c:ser>
        <c:ser>
          <c:idx val="2"/>
          <c:order val="2"/>
          <c:tx>
            <c:strRef>
              <c:f>'6.3 Curva de estacionalidad des'!$B$7</c:f>
              <c:strCache>
                <c:ptCount val="1"/>
                <c:pt idx="0">
                  <c:v>Zona Patagonia</c:v>
                </c:pt>
              </c:strCache>
            </c:strRef>
          </c:tx>
          <c:marker>
            <c:symbol val="none"/>
          </c:marker>
          <c:cat>
            <c:numRef>
              <c:f>'6.3 Curva de estacionalidad des'!$C$4:$N$4</c:f>
              <c:numCache>
                <c:formatCode>mmm\-yy</c:formatCode>
                <c:ptCount val="12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</c:numCache>
            </c:numRef>
          </c:cat>
          <c:val>
            <c:numRef>
              <c:f>'6.3 Curva de estacionalidad des'!$C$7:$N$7</c:f>
              <c:numCache>
                <c:formatCode>General</c:formatCode>
                <c:ptCount val="12"/>
                <c:pt idx="0">
                  <c:v>40.200000000000003</c:v>
                </c:pt>
                <c:pt idx="1">
                  <c:v>52.7</c:v>
                </c:pt>
                <c:pt idx="2">
                  <c:v>45.4</c:v>
                </c:pt>
                <c:pt idx="3">
                  <c:v>37.9</c:v>
                </c:pt>
                <c:pt idx="4">
                  <c:v>33.4</c:v>
                </c:pt>
                <c:pt idx="5">
                  <c:v>26.5</c:v>
                </c:pt>
                <c:pt idx="6">
                  <c:v>28.5</c:v>
                </c:pt>
                <c:pt idx="7">
                  <c:v>47.7</c:v>
                </c:pt>
                <c:pt idx="8">
                  <c:v>46.5</c:v>
                </c:pt>
                <c:pt idx="9">
                  <c:v>44.9</c:v>
                </c:pt>
                <c:pt idx="10">
                  <c:v>39.299999999999997</c:v>
                </c:pt>
                <c:pt idx="11">
                  <c:v>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A-E549-9B4D-375C16C4B02F}"/>
            </c:ext>
          </c:extLst>
        </c:ser>
        <c:ser>
          <c:idx val="3"/>
          <c:order val="3"/>
          <c:tx>
            <c:strRef>
              <c:f>'6.3 Curva de estacionalidad des'!$B$8</c:f>
              <c:strCache>
                <c:ptCount val="1"/>
                <c:pt idx="0">
                  <c:v>Estacionalidad Propia</c:v>
                </c:pt>
              </c:strCache>
            </c:strRef>
          </c:tx>
          <c:marker>
            <c:symbol val="none"/>
          </c:marker>
          <c:cat>
            <c:numRef>
              <c:f>'6.3 Curva de estacionalidad des'!$C$4:$N$4</c:f>
              <c:numCache>
                <c:formatCode>mmm\-yy</c:formatCode>
                <c:ptCount val="12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</c:numCache>
            </c:numRef>
          </c:cat>
          <c:val>
            <c:numRef>
              <c:f>'6.3 Curva de estacionalidad des'!$C$8:$N$8</c:f>
              <c:numCache>
                <c:formatCode>General</c:formatCode>
                <c:ptCount val="12"/>
                <c:pt idx="0">
                  <c:v>70</c:v>
                </c:pt>
                <c:pt idx="1">
                  <c:v>70</c:v>
                </c:pt>
                <c:pt idx="2">
                  <c:v>60</c:v>
                </c:pt>
                <c:pt idx="3">
                  <c:v>55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55</c:v>
                </c:pt>
                <c:pt idx="8">
                  <c:v>50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B-4FF7-B312-CB8B0AD74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7036699"/>
        <c:axId val="231773824"/>
      </c:lineChart>
      <c:dateAx>
        <c:axId val="20870366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mmm\-yy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31773824"/>
        <c:crosses val="autoZero"/>
        <c:auto val="1"/>
        <c:lblOffset val="100"/>
        <c:baseTimeUnit val="months"/>
      </c:dateAx>
      <c:valAx>
        <c:axId val="2317738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87036699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381000</xdr:colOff>
      <xdr:row>9</xdr:row>
      <xdr:rowOff>152400</xdr:rowOff>
    </xdr:from>
    <xdr:ext cx="5715000" cy="3533775"/>
    <xdr:graphicFrame macro="">
      <xdr:nvGraphicFramePr>
        <xdr:cNvPr id="1853269588" name="Chart 1" title="Gráfico">
          <a:extLst>
            <a:ext uri="{FF2B5EF4-FFF2-40B4-BE49-F238E27FC236}">
              <a16:creationId xmlns:a16="http://schemas.microsoft.com/office/drawing/2014/main" id="{00000000-0008-0000-0300-000054A676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657225</xdr:colOff>
      <xdr:row>25</xdr:row>
      <xdr:rowOff>76200</xdr:rowOff>
    </xdr:from>
    <xdr:ext cx="5448300" cy="24193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ercadolibre.com.ar/bateria-de-cocina-de-26-piezas-super-cook-lichen-tefal-verde-grisaceo/p/MLA43417520" TargetMode="External"/><Relationship Id="rId18" Type="http://schemas.openxmlformats.org/officeDocument/2006/relationships/hyperlink" Target="https://www.mercadolibre.com.ar/candy-combo-horno-electr-fidcx602-anafe-electrico-ch64ccb-color-plateado-y-negro/p/MLA25820268" TargetMode="External"/><Relationship Id="rId26" Type="http://schemas.openxmlformats.org/officeDocument/2006/relationships/hyperlink" Target="https://drive.google.com/file/d/1eB5W4ZCaka0rsxBerN1e1hYqmGKmtgYz/view?usp=sharing" TargetMode="External"/><Relationship Id="rId21" Type="http://schemas.openxmlformats.org/officeDocument/2006/relationships/hyperlink" Target="https://www.mercadolibre.com.ar/kit-reglamentario-auto-vtv-7-parte-matafuego-para-camion-25/up/MLAU2992283778" TargetMode="External"/><Relationship Id="rId34" Type="http://schemas.openxmlformats.org/officeDocument/2006/relationships/hyperlink" Target="https://encombo.com.ar/combo-limpieza-cif-antigrasa-bolsas-de-residuos-l.html?gad_source=1&amp;gad_campaignid=23433252946&amp;gbraid=0AAAAAqFTTPX186Ot6T1YTXOVA-oQnxRW1&amp;gclid=Cj0KCQjwo_PRBhDNARIsAEcVALXtvNCNqjE9ESEZ4AZuMMnas7TTYRkw4tX1My0atah9oRZaJIO5ReMaArfrEALw_wcB" TargetMode="External"/><Relationship Id="rId7" Type="http://schemas.openxmlformats.org/officeDocument/2006/relationships/hyperlink" Target="https://www.mercadolibre.com.ar/heladera-inverter-midea-blanca-top-mount-340l-color-blanco/p/MLA46213326?pdp_filters=item_id:MLA2037745586" TargetMode="External"/><Relationship Id="rId12" Type="http://schemas.openxmlformats.org/officeDocument/2006/relationships/hyperlink" Target="https://www.mercadolibre.com.ar/olla-gastronomica-aluminio-n-36-36-l-almandoz-mayorista-color-plateado/p/MLA23688059" TargetMode="External"/><Relationship Id="rId17" Type="http://schemas.openxmlformats.org/officeDocument/2006/relationships/hyperlink" Target="https://www.mercadolibre.com.ar/pava-electrica-unnic-pantalla-digital-color-tactil-acero-inoxidable-17-l-temperatura-prestablecidas-ideal-para-mate-cafe-te-color-negro/p/MLA47631092" TargetMode="External"/><Relationship Id="rId25" Type="http://schemas.openxmlformats.org/officeDocument/2006/relationships/hyperlink" Target="https://mercadobuses.com/mercadobuses/catalogo/335315b0-cecc-4abb-8291-d58336e8253a" TargetMode="External"/><Relationship Id="rId33" Type="http://schemas.openxmlformats.org/officeDocument/2006/relationships/hyperlink" Target="https://www.mercadolibre.com.ar/combo-limpieza-hogar-romyl-kit-5-productos/up/MLAU234435111?pdp_filters=item_id%3AMLA1381115500&amp;from=gshop&amp;matt_tool=25256910&amp;matt_word=&amp;matt_source=google&amp;matt_campaign_id=23390548553&amp;matt_ad_group_id=189479849943&amp;matt_match_type=&amp;matt_network=g&amp;matt_device=c&amp;matt_creative=789984777790&amp;matt_keyword=&amp;matt_ad_position=&amp;matt_ad_type=pla&amp;matt_merchant_id=307128460&amp;matt_product_id=MLAU234435111&amp;matt_product_partition_id=2392714357621&amp;matt_target_id=aud-1965625651133:pla-2392714357621&amp;cq_src=google_ads&amp;cq_cmp=23390548553&amp;cq_net=g&amp;cq_plt=gp&amp;cq_med=pla&amp;gad_source=1&amp;gad_campaignid=23390548553&amp;gbraid=0AAAAAD01zQYxFeqY4ikhVctWEyShC9xYq&amp;gclid=Cj0KCQjwo_PRBhDNARIsAEcVALXTMKmkTnO2uAECRoXlFfIPIehhG9ZX5C02_J0d58MZmhSuDim4A3QaAnzaEALw_wcB" TargetMode="External"/><Relationship Id="rId2" Type="http://schemas.openxmlformats.org/officeDocument/2006/relationships/hyperlink" Target="https://www.mercadolibre.com.ar/juego-de-toalla-y-toallon-hotelero-algodon-100-400g-leviblanc/p/MLA63785725?pdp_filters=item_id%3AMLA2744183104&amp;from=gshop&amp;matt_tool=80172593&amp;matt_word=&amp;matt_source=google&amp;matt_campaign_id=23390548790&amp;matt_ad_group_id=189479898143&amp;matt_match_type=&amp;matt_network=g&amp;matt_device=c&amp;matt_creative=789984782293&amp;matt_keyword=&amp;matt_ad_position=&amp;matt_ad_type=pla&amp;matt_merchant_id=735078350&amp;matt_product_id=MLA63785725-product&amp;matt_product_partition_id=2392713116061&amp;matt_target_id=aud-1965625651133:pla-2392713116061&amp;cq_src=google_ads&amp;cq_cmp=23390548790&amp;cq_net=g&amp;cq_plt=gp&amp;cq_med=pla&amp;gad_source=1&amp;gad_campaignid=23390548790&amp;gbraid=0AAAAAD01zQZO_5k0k-_Qy1sBQ-6VYgHEA&amp;gclid=Cj0KCQjwlqTRBhCBARIsANrkrxjWc9End1aUK7zgl69x48OfnaZ5M3ZdGUzCaKq9iafhfbR2tI-eH28aAnX8EALw_wcB" TargetMode="External"/><Relationship Id="rId16" Type="http://schemas.openxmlformats.org/officeDocument/2006/relationships/hyperlink" Target="https://www.mercadolibre.com.ar/mixer-midea-hb-1100x2ar1-negro-y-acero-inoxidable-50-hz-850w/p/MLA25116448" TargetMode="External"/><Relationship Id="rId20" Type="http://schemas.openxmlformats.org/officeDocument/2006/relationships/hyperlink" Target="https://www.mercadolibre.com.ar/matafuego-yukon-5kg-nuevo-abc-iram-tarjeta--soporte--chapa/up/MLAU2666723134" TargetMode="External"/><Relationship Id="rId29" Type="http://schemas.openxmlformats.org/officeDocument/2006/relationships/hyperlink" Target="https://escuelasnewton.com.ar/gastronomia/cocinero/" TargetMode="External"/><Relationship Id="rId1" Type="http://schemas.openxmlformats.org/officeDocument/2006/relationships/hyperlink" Target="https://www.mercadolibre.com.ar/combo-10-colchones-1-plaza-por-mayor-economico-190x80-13cm/up/MLAU128937870" TargetMode="External"/><Relationship Id="rId6" Type="http://schemas.openxmlformats.org/officeDocument/2006/relationships/hyperlink" Target="https://www.mercadolibre.com.ar/almohada-hotelera-economica-somos-fabricantes-macro-blanco/up/MLAU127529514?pdp_filters=item_id%3AMLA1394360203&amp;from=gshop&amp;matt_tool=97413954&amp;matt_word=&amp;matt_source=google&amp;matt_campaign_id=23390548787&amp;matt_ad_group_id=189479898903&amp;matt_match_type=&amp;matt_network=g&amp;matt_device=c&amp;matt_creative=789984782113&amp;matt_keyword=&amp;matt_ad_position=&amp;matt_ad_type=pla&amp;matt_merchant_id=5704694254&amp;matt_product_id=MLAU127529514&amp;matt_product_partition_id=2389561735130&amp;matt_target_id=aud-1965625651133:pla-2389561735130&amp;cq_src=google_ads&amp;cq_cmp=23390548787&amp;cq_net=g&amp;cq_plt=gp&amp;cq_med=pla&amp;gad_source=1&amp;gad_campaignid=23390548787&amp;gbraid=0AAAAAD01zQbbBW6lH8Ih9Dpa9MBZjAGBR&amp;gclid=Cj0KCQjwlqTRBhCBARIsANrkrxh2nWtetz5tuLEV5RdPuqtS2e1F_RJFCW9I_9wQNDMsTTO-eCq049caAubLEALw_wcB" TargetMode="External"/><Relationship Id="rId11" Type="http://schemas.openxmlformats.org/officeDocument/2006/relationships/hyperlink" Target="https://www.mercadolibre.com.ar/pack-12-copas-champagne-vidrio-178-ml-aragon-cristar/p/MLA40005998" TargetMode="External"/><Relationship Id="rId24" Type="http://schemas.openxmlformats.org/officeDocument/2006/relationships/hyperlink" Target="https://www.mercadolibre.com.ar/tostadora-electrica-winco-w835n-negra-negro/p/MLA51241228" TargetMode="External"/><Relationship Id="rId32" Type="http://schemas.openxmlformats.org/officeDocument/2006/relationships/hyperlink" Target="https://www.todomotorhome.ar/l/69b9dcbe-bf4f-476d-83a4-e56b7144ca31" TargetMode="External"/><Relationship Id="rId37" Type="http://schemas.openxmlformats.org/officeDocument/2006/relationships/comments" Target="../comments1.xml"/><Relationship Id="rId5" Type="http://schemas.openxmlformats.org/officeDocument/2006/relationships/hyperlink" Target="https://www.distritoblancomayorista.com.ar/productos/acolchado-liso-reversible-blanco-blanco?variant=379438046&amp;pf=mc&amp;gad_source=1&amp;gad_campaignid=23749744311&amp;gbraid=0AAAAAo4aIORQIhYjfAiIS7Y42QR01Xhrk&amp;gclid=Cj0KCQjwlqTRBhCBARIsANrkrxizIWyto7AczGgV48AD-O1oYvL_sfxari86ci1thOKQF4A6nqHENi0aAoJHEALw_wcB" TargetMode="External"/><Relationship Id="rId15" Type="http://schemas.openxmlformats.org/officeDocument/2006/relationships/hyperlink" Target="https://www.mercadolibre.com.ar/repasador-x-mayor-top-gourmet-puro-algodon-toalla-pack-x-12u/up/MLAU3630592257" TargetMode="External"/><Relationship Id="rId23" Type="http://schemas.openxmlformats.org/officeDocument/2006/relationships/hyperlink" Target="https://www.mercadolibre.com.ar/tv-stick-wi-fi-smart-tv-android-hdmi-tv-box-fire-convertidor-color-negro-tipo-de-control-remoto-estandar/p/MLA41918674" TargetMode="External"/><Relationship Id="rId28" Type="http://schemas.openxmlformats.org/officeDocument/2006/relationships/hyperlink" Target="https://ciudaddemendoza.gob.ar/tramites/inscripcion-para-curso-de-manipulacion-de-alimentos/" TargetMode="External"/><Relationship Id="rId36" Type="http://schemas.openxmlformats.org/officeDocument/2006/relationships/vmlDrawing" Target="../drawings/vmlDrawing1.vml"/><Relationship Id="rId10" Type="http://schemas.openxmlformats.org/officeDocument/2006/relationships/hyperlink" Target="https://www.mercadolibre.com.ar/copa-brunello-nadir-vino-390ml-set-x12-unidades-color-transparente/p/MLA23207179" TargetMode="External"/><Relationship Id="rId19" Type="http://schemas.openxmlformats.org/officeDocument/2006/relationships/hyperlink" Target="https://www.mercadolibre.com.ar/manta-ignifuga-sepac-1x1m-descartable-con-estuche-para-apagar-fuegos-cocina/p/MLA50965719?matt_tool=38087446&amp;utm_source=google_shopping&amp;utm_medium=organic&amp;pdp_filters=item_id:MLA1504411843" TargetMode="External"/><Relationship Id="rId31" Type="http://schemas.openxmlformats.org/officeDocument/2006/relationships/hyperlink" Target="https://nic.ar/es/node/55" TargetMode="External"/><Relationship Id="rId4" Type="http://schemas.openxmlformats.org/officeDocument/2006/relationships/hyperlink" Target="https://www.tutextil.com.ar/productos/pack-x-10-sabana-plana-144-hilos-1-plaza-c5ewh/?variant=1364518549&amp;pf=mc&amp;gad_source=1&amp;gad_campaignid=23174853313&amp;gbraid=0AAAAADIkhLE5WGX9FFZiWO-aM_ljU0Ka3&amp;gclid=Cj0KCQjwlqTRBhCBARIsANrkrxg9B8S5sb6Hw-j01XChl8hsQnVP3KRJXtlbabF1nMvf5xlinsId1uoaAsk7EALw_wcB" TargetMode="External"/><Relationship Id="rId9" Type="http://schemas.openxmlformats.org/officeDocument/2006/relationships/hyperlink" Target="https://www.mercadolibre.com.ar/set-48-juego-de-cubiertos-acero-inox-gastronomicos-universo/up/MLAU2338392809?matt_tool=38087446&amp;utm_source=google_shopping&amp;utm_medium=organic&amp;pdp_filters=item_id%3AMLA1936548308&amp;from=gshop" TargetMode="External"/><Relationship Id="rId14" Type="http://schemas.openxmlformats.org/officeDocument/2006/relationships/hyperlink" Target="https://www.mercadolibre.com.ar/licuadora-de-vaso-ninja-professional-plus-bn701cl-negro/p/MLA65326782" TargetMode="External"/><Relationship Id="rId22" Type="http://schemas.openxmlformats.org/officeDocument/2006/relationships/hyperlink" Target="https://www.mercadolibre.com.ar/tv-de-24-kanji-kj-24tm005-con-pantalla-led-hd/p/MLA18614516" TargetMode="External"/><Relationship Id="rId27" Type="http://schemas.openxmlformats.org/officeDocument/2006/relationships/hyperlink" Target="https://starlink.com/order?processorToken=83ffd75a-c3bb-4abd-8847-05d2253fdcb2&amp;step=0" TargetMode="External"/><Relationship Id="rId30" Type="http://schemas.openxmlformats.org/officeDocument/2006/relationships/hyperlink" Target="https://expertiacapacita.com/event/wfr-mayo-2025-potrerillos-mendoza-argentina/" TargetMode="External"/><Relationship Id="rId35" Type="http://schemas.openxmlformats.org/officeDocument/2006/relationships/hyperlink" Target="https://disenowebcordoba.com.ar/blog/precio-de-paginas-web-en-2026-en-argentina/" TargetMode="External"/><Relationship Id="rId8" Type="http://schemas.openxmlformats.org/officeDocument/2006/relationships/hyperlink" Target="https://www.mercadolibre.com.ar/set-x6-platos-hondos-postre-y-playos-porcelana-verbano-recta/up/MLAU300750121" TargetMode="External"/><Relationship Id="rId3" Type="http://schemas.openxmlformats.org/officeDocument/2006/relationships/hyperlink" Target="https://metroblanc.com.ar/producto/alfombra-salida-de-bano-seclar-750-grs/?utm_term=&amp;utm_campaign=Compras+-+Shopping+Sales+Performance+28/6/23&amp;utm_source=adwords&amp;utm_medium=ppc&amp;hsa_acc=6513142586&amp;hsa_cam=20320539008&amp;hsa_grp=&amp;hsa_ad=&amp;hsa_src=x&amp;hsa_tgt=&amp;hsa_kw=&amp;hsa_mt=&amp;hsa_net=adwords&amp;hsa_ver=3&amp;gad_source=1&amp;gad_campaignid=20320543412&amp;gbraid=0AAAAAD6dP7Fd5xH7xb5Ql7kgV0ANAVnGE&amp;gclid=Cj0KCQjwlqTRBhCBARIsANrkrxi1KlWpCWZcNpl0WYvwYe9s6ovY7IGzFTiRj1174_V_z9GRJ6CYy4saAgOSEALw_wcB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hyperlink" Target="https://drive.google.com/file/d/1QCHiXjq6qoHyvZkpmJN9C5EQW9AOToOz/view?usp=drive_link" TargetMode="External"/><Relationship Id="rId1" Type="http://schemas.openxmlformats.org/officeDocument/2006/relationships/hyperlink" Target="https://drive.google.com/file/d/1QCHiXjq6qoHyvZkpmJN9C5EQW9AOToOz/view?usp=drive_link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indec.gob.ar/ftp/cuadros/economia/EOH_cuadros_dic24.zip" TargetMode="External"/><Relationship Id="rId1" Type="http://schemas.openxmlformats.org/officeDocument/2006/relationships/hyperlink" Target="https://www.indec.gob.ar/ftp/cuadros/economia/EOH_cuadros_dic25.zi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faecys.org.ar/faecys-acuerdo-y-escalas-salariales-rama-turismo-sec-de-as-laborales/" TargetMode="External"/><Relationship Id="rId1" Type="http://schemas.openxmlformats.org/officeDocument/2006/relationships/hyperlink" Target="https://www.argentina.gob.ar/trabajo/buscastrabajo/conocetusderechos/salario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  <outlinePr summaryBelow="0" summaryRight="0"/>
  </sheetPr>
  <dimension ref="A1:AB983"/>
  <sheetViews>
    <sheetView topLeftCell="A17" zoomScale="70" workbookViewId="0">
      <selection activeCell="B33" sqref="B33"/>
    </sheetView>
  </sheetViews>
  <sheetFormatPr defaultColWidth="12.7109375" defaultRowHeight="15" customHeight="1"/>
  <cols>
    <col min="1" max="1" width="6.28515625" customWidth="1"/>
    <col min="2" max="2" width="49.7109375" bestFit="1" customWidth="1"/>
    <col min="3" max="3" width="30.5703125" customWidth="1"/>
    <col min="4" max="4" width="14.7109375" customWidth="1"/>
    <col min="5" max="5" width="30.28515625" customWidth="1"/>
    <col min="6" max="6" width="27.85546875" customWidth="1"/>
    <col min="7" max="7" width="19.85546875" customWidth="1"/>
    <col min="8" max="8" width="30.42578125" customWidth="1"/>
    <col min="9" max="9" width="19.85546875" customWidth="1"/>
    <col min="10" max="10" width="23.7109375" customWidth="1"/>
  </cols>
  <sheetData>
    <row r="1" spans="1:28" ht="27" customHeight="1">
      <c r="A1" s="2"/>
      <c r="B1" s="3"/>
      <c r="C1" s="3"/>
      <c r="D1" s="3"/>
      <c r="E1" s="3"/>
      <c r="F1" s="3"/>
      <c r="G1" s="2"/>
      <c r="H1" s="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121"/>
      <c r="AB1" s="121"/>
    </row>
    <row r="2" spans="1:28" ht="27" customHeight="1">
      <c r="A2" s="2"/>
      <c r="B2" s="5" t="s">
        <v>0</v>
      </c>
      <c r="C2" s="6">
        <v>1450</v>
      </c>
      <c r="D2" s="2"/>
      <c r="E2" s="3"/>
      <c r="F2" s="3"/>
      <c r="G2" s="2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21"/>
      <c r="AB2" s="121"/>
    </row>
    <row r="3" spans="1:28" ht="27" customHeight="1">
      <c r="A3" s="2"/>
      <c r="B3" s="5" t="s">
        <v>1</v>
      </c>
      <c r="C3" s="6"/>
      <c r="D3" s="2"/>
      <c r="E3" s="3"/>
      <c r="F3" s="3"/>
      <c r="G3" s="2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21"/>
      <c r="AB3" s="121"/>
    </row>
    <row r="4" spans="1:28" ht="27" customHeight="1">
      <c r="A4" s="2"/>
      <c r="B4" s="143" t="s">
        <v>2</v>
      </c>
      <c r="C4" s="143"/>
      <c r="D4" s="2"/>
      <c r="E4" s="3"/>
      <c r="F4" s="3"/>
      <c r="G4" s="2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21"/>
      <c r="AB4" s="121"/>
    </row>
    <row r="5" spans="1:28" ht="27" customHeight="1">
      <c r="A5" s="2"/>
      <c r="B5" s="7" t="s">
        <v>3</v>
      </c>
      <c r="C5" s="8">
        <f>E54</f>
        <v>8991224.3499999996</v>
      </c>
      <c r="D5" s="144" t="s">
        <v>4</v>
      </c>
      <c r="E5" s="3"/>
      <c r="F5" s="3"/>
      <c r="G5" s="2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21"/>
      <c r="AB5" s="121"/>
    </row>
    <row r="6" spans="1:28" ht="27" customHeight="1">
      <c r="A6" s="2"/>
      <c r="B6" s="9" t="s">
        <v>5</v>
      </c>
      <c r="C6" s="10">
        <f>E62</f>
        <v>362948</v>
      </c>
      <c r="D6" s="144"/>
      <c r="E6" s="3"/>
      <c r="F6" s="3"/>
      <c r="G6" s="2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21"/>
      <c r="AB6" s="121"/>
    </row>
    <row r="7" spans="1:28" ht="27" customHeight="1">
      <c r="A7" s="2"/>
      <c r="B7" s="11" t="s">
        <v>6</v>
      </c>
      <c r="C7" s="12">
        <f>E69</f>
        <v>1885250</v>
      </c>
      <c r="D7" s="144"/>
      <c r="E7" s="3"/>
      <c r="F7" s="3"/>
      <c r="G7" s="2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21"/>
      <c r="AB7" s="121"/>
    </row>
    <row r="8" spans="1:28" ht="27" customHeight="1">
      <c r="A8" s="2"/>
      <c r="B8" s="13" t="s">
        <v>7</v>
      </c>
      <c r="C8" s="14">
        <f>E75</f>
        <v>516200000</v>
      </c>
      <c r="D8" s="144"/>
      <c r="E8" s="3"/>
      <c r="F8" s="3"/>
      <c r="G8" s="2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21"/>
      <c r="AB8" s="121"/>
    </row>
    <row r="9" spans="1:28" ht="27" customHeight="1">
      <c r="A9" s="2"/>
      <c r="B9" s="15" t="s">
        <v>8</v>
      </c>
      <c r="C9" s="16">
        <f>E86</f>
        <v>1053292</v>
      </c>
      <c r="D9" s="144"/>
      <c r="E9" s="3"/>
      <c r="F9" s="3"/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21"/>
      <c r="AB9" s="121"/>
    </row>
    <row r="10" spans="1:28" ht="27" customHeight="1">
      <c r="A10" s="2"/>
      <c r="B10" s="17" t="s">
        <v>9</v>
      </c>
      <c r="C10" s="18">
        <f>E94</f>
        <v>5170000</v>
      </c>
      <c r="D10" s="144"/>
      <c r="E10" s="3"/>
      <c r="F10" s="3"/>
      <c r="G10" s="2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21"/>
      <c r="AB10" s="121"/>
    </row>
    <row r="11" spans="1:28" ht="27" customHeight="1">
      <c r="A11" s="2"/>
      <c r="B11" s="19" t="s">
        <v>10</v>
      </c>
      <c r="C11" s="20">
        <f>'6.6 Cashflow'!B48</f>
        <v>0</v>
      </c>
      <c r="D11" s="144"/>
      <c r="E11" s="3"/>
      <c r="F11" s="3"/>
      <c r="G11" s="2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121"/>
      <c r="AB11" s="121"/>
    </row>
    <row r="12" spans="1:28" ht="27" customHeight="1">
      <c r="A12" s="2"/>
      <c r="B12" s="21" t="s">
        <v>11</v>
      </c>
      <c r="C12" s="21">
        <f>SUM(C5:C11)</f>
        <v>533662714.35000002</v>
      </c>
      <c r="D12" s="144"/>
      <c r="E12" s="3"/>
      <c r="F12" s="3"/>
      <c r="G12" s="2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21"/>
      <c r="AB12" s="121"/>
    </row>
    <row r="13" spans="1:28" ht="27" customHeight="1">
      <c r="A13" s="2"/>
      <c r="B13" s="2"/>
      <c r="C13" s="2"/>
      <c r="D13" s="2"/>
      <c r="E13" s="3"/>
      <c r="F13" s="3"/>
      <c r="G13" s="2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121"/>
      <c r="AB13" s="121"/>
    </row>
    <row r="14" spans="1:28" ht="27" customHeight="1">
      <c r="A14" s="2"/>
      <c r="B14" s="143" t="s">
        <v>12</v>
      </c>
      <c r="C14" s="143"/>
      <c r="D14" s="144" t="s">
        <v>4</v>
      </c>
      <c r="E14" s="3"/>
      <c r="F14" s="3"/>
      <c r="G14" s="2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121"/>
      <c r="AB14" s="121"/>
    </row>
    <row r="15" spans="1:28" ht="27" customHeight="1">
      <c r="A15" s="2"/>
      <c r="B15" s="22" t="s">
        <v>13</v>
      </c>
      <c r="C15" s="22">
        <f>'6.2 Detalle de Financiación'!C8</f>
        <v>565500000</v>
      </c>
      <c r="D15" s="144"/>
      <c r="E15" s="3"/>
      <c r="F15" s="3"/>
      <c r="G15" s="2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121"/>
      <c r="AB15" s="121"/>
    </row>
    <row r="16" spans="1:28" ht="27" customHeight="1">
      <c r="A16" s="2"/>
      <c r="B16" s="22" t="s">
        <v>14</v>
      </c>
      <c r="C16" s="22">
        <f>'6.2 Detalle de Financiación'!F6</f>
        <v>0</v>
      </c>
      <c r="D16" s="144"/>
      <c r="E16" s="3"/>
      <c r="F16" s="3"/>
      <c r="G16" s="2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121"/>
      <c r="AB16" s="121"/>
    </row>
    <row r="17" spans="1:28" ht="27" customHeight="1">
      <c r="A17" s="2"/>
      <c r="B17" s="22" t="s">
        <v>15</v>
      </c>
      <c r="C17" s="22">
        <f>'6.2 Detalle de Financiación'!I6</f>
        <v>0</v>
      </c>
      <c r="D17" s="144"/>
      <c r="E17" s="3"/>
      <c r="F17" s="3"/>
      <c r="G17" s="2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121"/>
      <c r="AB17" s="121"/>
    </row>
    <row r="18" spans="1:28" ht="27" customHeight="1">
      <c r="A18" s="2"/>
      <c r="B18" s="21" t="s">
        <v>16</v>
      </c>
      <c r="C18" s="21">
        <f>SUM(C15:C16)</f>
        <v>565500000</v>
      </c>
      <c r="D18" s="144"/>
      <c r="E18" s="3"/>
      <c r="F18" s="3"/>
      <c r="G18" s="2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121"/>
      <c r="AB18" s="121"/>
    </row>
    <row r="19" spans="1:28" ht="27" customHeight="1">
      <c r="A19" s="2"/>
      <c r="B19" s="145"/>
      <c r="C19" s="145"/>
      <c r="D19" s="144"/>
      <c r="E19" s="3"/>
      <c r="F19" s="3"/>
      <c r="G19" s="2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121"/>
      <c r="AB19" s="121"/>
    </row>
    <row r="20" spans="1:28" ht="44.45">
      <c r="A20" s="2"/>
      <c r="B20" s="23" t="s">
        <v>17</v>
      </c>
      <c r="C20" s="23">
        <f>C18-C12</f>
        <v>31837285.649999976</v>
      </c>
      <c r="D20" s="144"/>
      <c r="E20" s="3"/>
      <c r="F20" s="3"/>
      <c r="G20" s="2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21"/>
      <c r="AB20" s="121"/>
    </row>
    <row r="21" spans="1:28" ht="27" customHeight="1">
      <c r="A21" s="2"/>
      <c r="B21" s="3"/>
      <c r="C21" s="3"/>
      <c r="D21" s="3"/>
      <c r="E21" s="3"/>
      <c r="F21" s="3"/>
      <c r="G21" s="2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21"/>
      <c r="AB21" s="121"/>
    </row>
    <row r="22" spans="1:28" ht="27" customHeight="1">
      <c r="A22" s="2"/>
      <c r="B22" s="146" t="s">
        <v>18</v>
      </c>
      <c r="C22" s="146"/>
      <c r="D22" s="146"/>
      <c r="E22" s="146"/>
      <c r="F22" s="146"/>
      <c r="G22" s="2"/>
      <c r="H22" s="122"/>
      <c r="I22" s="122"/>
      <c r="J22" s="12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121"/>
      <c r="AB22" s="121"/>
    </row>
    <row r="23" spans="1:28" ht="27" customHeight="1">
      <c r="A23" s="2"/>
      <c r="B23" s="146"/>
      <c r="C23" s="146"/>
      <c r="D23" s="146"/>
      <c r="E23" s="146"/>
      <c r="F23" s="146"/>
      <c r="G23" s="2"/>
      <c r="H23" s="122"/>
      <c r="I23" s="122"/>
      <c r="J23" s="1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121"/>
      <c r="AB23" s="121"/>
    </row>
    <row r="24" spans="1:28" ht="23.25" customHeight="1">
      <c r="A24" s="2"/>
      <c r="B24" s="147" t="s">
        <v>3</v>
      </c>
      <c r="C24" s="147"/>
      <c r="D24" s="147"/>
      <c r="E24" s="147"/>
      <c r="F24" s="147"/>
      <c r="G24" s="2"/>
      <c r="H24" s="122"/>
      <c r="I24" s="122"/>
      <c r="J24" s="12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121"/>
      <c r="AB24" s="121"/>
    </row>
    <row r="25" spans="1:28" ht="31.5" customHeight="1">
      <c r="A25" s="2"/>
      <c r="B25" s="24" t="s">
        <v>19</v>
      </c>
      <c r="C25" s="24" t="s">
        <v>20</v>
      </c>
      <c r="D25" s="24" t="s">
        <v>21</v>
      </c>
      <c r="E25" s="24" t="s">
        <v>22</v>
      </c>
      <c r="F25" s="24" t="s">
        <v>23</v>
      </c>
      <c r="G25" s="2"/>
      <c r="H25" s="122"/>
      <c r="I25" s="122"/>
      <c r="J25" s="12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121"/>
      <c r="AB25" s="121"/>
    </row>
    <row r="26" spans="1:28" ht="23.25" customHeight="1">
      <c r="A26" s="2"/>
      <c r="B26" s="25" t="s">
        <v>24</v>
      </c>
      <c r="C26" s="26">
        <v>66233.899999999994</v>
      </c>
      <c r="D26" s="25">
        <v>20</v>
      </c>
      <c r="E26" s="26">
        <f t="shared" ref="E26:E31" si="0">C26*D26</f>
        <v>1324678</v>
      </c>
      <c r="F26" s="112" t="s">
        <v>25</v>
      </c>
      <c r="G26" s="2"/>
      <c r="H26" s="122"/>
      <c r="I26" s="122"/>
      <c r="J26" s="12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121"/>
      <c r="AB26" s="121"/>
    </row>
    <row r="27" spans="1:28" ht="23.25" customHeight="1">
      <c r="A27" s="2"/>
      <c r="B27" s="25" t="s">
        <v>26</v>
      </c>
      <c r="C27" s="26">
        <v>9500</v>
      </c>
      <c r="D27" s="25">
        <v>35</v>
      </c>
      <c r="E27" s="26">
        <f t="shared" si="0"/>
        <v>332500</v>
      </c>
      <c r="F27" s="112" t="s">
        <v>27</v>
      </c>
      <c r="G27" s="2"/>
      <c r="H27" s="122"/>
      <c r="I27" s="122"/>
      <c r="J27" s="12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3.25" customHeight="1">
      <c r="A28" s="2"/>
      <c r="B28" s="25" t="s">
        <v>28</v>
      </c>
      <c r="C28" s="26">
        <v>5785.44</v>
      </c>
      <c r="D28" s="25">
        <v>35</v>
      </c>
      <c r="E28" s="26">
        <f t="shared" si="0"/>
        <v>202490.4</v>
      </c>
      <c r="F28" s="112" t="s">
        <v>29</v>
      </c>
      <c r="G28" s="2"/>
      <c r="H28" s="122"/>
      <c r="I28" s="122"/>
      <c r="J28" s="122"/>
      <c r="K28" s="2"/>
      <c r="L28" s="2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3.25" customHeight="1">
      <c r="A29" s="2"/>
      <c r="B29" s="25" t="s">
        <v>30</v>
      </c>
      <c r="C29" s="26">
        <v>9000</v>
      </c>
      <c r="D29" s="25">
        <v>60</v>
      </c>
      <c r="E29" s="26">
        <f t="shared" si="0"/>
        <v>540000</v>
      </c>
      <c r="F29" s="112" t="s">
        <v>31</v>
      </c>
      <c r="G29" s="2"/>
      <c r="H29" s="122"/>
      <c r="I29" s="122"/>
      <c r="J29" s="122"/>
      <c r="K29" s="2"/>
      <c r="L29" s="2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8" customHeight="1">
      <c r="A30" s="2"/>
      <c r="B30" s="25" t="s">
        <v>32</v>
      </c>
      <c r="C30" s="26">
        <v>13885</v>
      </c>
      <c r="D30" s="25">
        <v>30</v>
      </c>
      <c r="E30" s="26">
        <f t="shared" si="0"/>
        <v>416550</v>
      </c>
      <c r="F30" s="112" t="s">
        <v>33</v>
      </c>
      <c r="G30" s="2"/>
      <c r="H30" s="122"/>
      <c r="I30" s="122"/>
      <c r="J30" s="12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23.25" customHeight="1">
      <c r="A31" s="2"/>
      <c r="B31" s="25" t="s">
        <v>34</v>
      </c>
      <c r="C31" s="26">
        <v>5990</v>
      </c>
      <c r="D31" s="25">
        <v>30</v>
      </c>
      <c r="E31" s="26">
        <f t="shared" si="0"/>
        <v>179700</v>
      </c>
      <c r="F31" s="112" t="s">
        <v>35</v>
      </c>
      <c r="G31" s="2"/>
      <c r="H31" s="28"/>
      <c r="I31" s="28"/>
      <c r="J31" s="2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8">
      <c r="A32" s="2"/>
      <c r="B32" s="148" t="s">
        <v>36</v>
      </c>
      <c r="C32" s="148"/>
      <c r="D32" s="148"/>
      <c r="E32" s="29">
        <f>SUM(E26:E31)</f>
        <v>2995918.4</v>
      </c>
      <c r="F32" s="30" t="s">
        <v>4</v>
      </c>
      <c r="G32" s="2"/>
      <c r="H32" s="28"/>
      <c r="I32" s="2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34.9">
      <c r="A33" s="2"/>
      <c r="B33" s="31" t="s">
        <v>37</v>
      </c>
      <c r="C33" s="24" t="s">
        <v>20</v>
      </c>
      <c r="D33" s="24" t="s">
        <v>21</v>
      </c>
      <c r="E33" s="24" t="s">
        <v>22</v>
      </c>
      <c r="F33" s="24" t="s">
        <v>23</v>
      </c>
      <c r="G33" s="2"/>
      <c r="H33" s="28"/>
      <c r="I33" s="2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23.25" customHeight="1">
      <c r="A34" s="2"/>
      <c r="B34" s="25" t="s">
        <v>38</v>
      </c>
      <c r="C34" s="102">
        <v>969999</v>
      </c>
      <c r="D34" s="25">
        <v>1</v>
      </c>
      <c r="E34" s="102">
        <v>969999</v>
      </c>
      <c r="F34" s="107" t="s">
        <v>39</v>
      </c>
      <c r="G34" s="2"/>
      <c r="H34" s="28"/>
      <c r="I34" s="2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23.25" customHeight="1">
      <c r="A35" s="2"/>
      <c r="B35" s="25" t="s">
        <v>40</v>
      </c>
      <c r="C35" s="26">
        <v>138252.24</v>
      </c>
      <c r="D35" s="25">
        <v>4</v>
      </c>
      <c r="E35" s="102">
        <f t="shared" ref="E35:E48" si="1">C35*D35</f>
        <v>553008.96</v>
      </c>
      <c r="F35" s="107" t="s">
        <v>41</v>
      </c>
      <c r="G35" s="2"/>
      <c r="H35" s="28"/>
      <c r="I35" s="2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3.25" customHeight="1">
      <c r="A36" s="2"/>
      <c r="B36" s="25" t="s">
        <v>42</v>
      </c>
      <c r="C36" s="26">
        <v>58293</v>
      </c>
      <c r="D36" s="25">
        <v>2</v>
      </c>
      <c r="E36" s="102">
        <f t="shared" si="1"/>
        <v>116586</v>
      </c>
      <c r="F36" s="107" t="s">
        <v>43</v>
      </c>
      <c r="G36" s="2"/>
      <c r="H36" s="28"/>
      <c r="I36" s="2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3.25" customHeight="1">
      <c r="A37" s="2"/>
      <c r="B37" s="25" t="s">
        <v>44</v>
      </c>
      <c r="C37" s="26">
        <v>27839.97</v>
      </c>
      <c r="D37" s="25">
        <v>2</v>
      </c>
      <c r="E37" s="102">
        <f t="shared" si="1"/>
        <v>55679.94</v>
      </c>
      <c r="F37" s="107" t="s">
        <v>45</v>
      </c>
      <c r="G37" s="2"/>
      <c r="H37" s="28"/>
      <c r="I37" s="2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23.25" customHeight="1">
      <c r="A38" s="2"/>
      <c r="B38" s="25" t="s">
        <v>46</v>
      </c>
      <c r="C38" s="26">
        <v>18417</v>
      </c>
      <c r="D38" s="25">
        <v>2</v>
      </c>
      <c r="E38" s="102">
        <f t="shared" si="1"/>
        <v>36834</v>
      </c>
      <c r="F38" s="107" t="s">
        <v>47</v>
      </c>
      <c r="G38" s="2"/>
      <c r="H38" s="28"/>
      <c r="I38" s="2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23.25" customHeight="1">
      <c r="A39" s="2"/>
      <c r="B39" s="25" t="s">
        <v>48</v>
      </c>
      <c r="C39" s="26">
        <v>103578.05</v>
      </c>
      <c r="D39" s="25">
        <v>1</v>
      </c>
      <c r="E39" s="102">
        <f t="shared" si="1"/>
        <v>103578.05</v>
      </c>
      <c r="F39" s="107" t="s">
        <v>49</v>
      </c>
      <c r="G39" s="2"/>
      <c r="H39" s="28"/>
      <c r="I39" s="2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23.25" customHeight="1">
      <c r="A40" s="2"/>
      <c r="B40" s="25" t="s">
        <v>50</v>
      </c>
      <c r="C40" s="26">
        <v>102792</v>
      </c>
      <c r="D40" s="25">
        <v>1</v>
      </c>
      <c r="E40" s="102">
        <f t="shared" si="1"/>
        <v>102792</v>
      </c>
      <c r="F40" s="107" t="s">
        <v>51</v>
      </c>
      <c r="G40" s="2"/>
      <c r="H40" s="28"/>
      <c r="I40" s="2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23.25" customHeight="1">
      <c r="A41" s="2"/>
      <c r="B41" s="25" t="s">
        <v>52</v>
      </c>
      <c r="C41" s="26">
        <v>32999</v>
      </c>
      <c r="D41" s="25">
        <v>1</v>
      </c>
      <c r="E41" s="102">
        <f t="shared" si="1"/>
        <v>32999</v>
      </c>
      <c r="F41" s="107" t="s">
        <v>53</v>
      </c>
      <c r="G41" s="2"/>
      <c r="H41" s="28"/>
      <c r="I41" s="2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23.25" customHeight="1">
      <c r="A42" s="2"/>
      <c r="B42" s="25" t="s">
        <v>54</v>
      </c>
      <c r="C42" s="26">
        <v>215699</v>
      </c>
      <c r="D42" s="25">
        <v>1</v>
      </c>
      <c r="E42" s="102">
        <f t="shared" si="1"/>
        <v>215699</v>
      </c>
      <c r="F42" s="107" t="s">
        <v>55</v>
      </c>
      <c r="G42" s="2"/>
      <c r="H42" s="28"/>
      <c r="I42" s="28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23.25" customHeight="1">
      <c r="A43" s="2"/>
      <c r="B43" s="25" t="s">
        <v>56</v>
      </c>
      <c r="C43" s="26">
        <v>81939</v>
      </c>
      <c r="D43" s="25">
        <v>1</v>
      </c>
      <c r="E43" s="102">
        <f t="shared" si="1"/>
        <v>81939</v>
      </c>
      <c r="F43" s="107" t="s">
        <v>57</v>
      </c>
      <c r="G43" s="2"/>
      <c r="H43" s="28"/>
      <c r="I43" s="28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23.25" customHeight="1">
      <c r="A44" s="2"/>
      <c r="B44" s="25" t="s">
        <v>58</v>
      </c>
      <c r="C44" s="26">
        <v>60499</v>
      </c>
      <c r="D44" s="25">
        <v>1</v>
      </c>
      <c r="E44" s="102">
        <f t="shared" si="1"/>
        <v>60499</v>
      </c>
      <c r="F44" s="107" t="s">
        <v>59</v>
      </c>
      <c r="G44" s="2"/>
      <c r="H44" s="28"/>
      <c r="I44" s="2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23.25" customHeight="1">
      <c r="A45" s="2"/>
      <c r="B45" s="25" t="s">
        <v>60</v>
      </c>
      <c r="C45" s="26">
        <v>27858</v>
      </c>
      <c r="D45" s="25">
        <v>1</v>
      </c>
      <c r="E45" s="102">
        <f t="shared" si="1"/>
        <v>27858</v>
      </c>
      <c r="F45" s="107" t="s">
        <v>61</v>
      </c>
      <c r="G45" s="2"/>
      <c r="H45" s="28"/>
      <c r="I45" s="2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23.25" customHeight="1">
      <c r="A46" s="2"/>
      <c r="B46" s="25" t="s">
        <v>62</v>
      </c>
      <c r="C46" s="26">
        <v>740999</v>
      </c>
      <c r="D46" s="25">
        <v>1</v>
      </c>
      <c r="E46" s="102">
        <f t="shared" si="1"/>
        <v>740999</v>
      </c>
      <c r="F46" s="107" t="s">
        <v>63</v>
      </c>
      <c r="G46" s="2"/>
      <c r="H46" s="28"/>
      <c r="I46" s="2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3.25" customHeight="1">
      <c r="A47" s="2"/>
      <c r="B47" s="25" t="s">
        <v>64</v>
      </c>
      <c r="C47" s="26">
        <v>140595</v>
      </c>
      <c r="D47" s="25">
        <v>1</v>
      </c>
      <c r="E47" s="102">
        <v>140595</v>
      </c>
      <c r="F47" s="107" t="s">
        <v>65</v>
      </c>
      <c r="G47" s="2"/>
      <c r="H47" s="28"/>
      <c r="I47" s="2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23.25" customHeight="1">
      <c r="A48" s="2"/>
      <c r="B48" s="25" t="s">
        <v>66</v>
      </c>
      <c r="C48" s="26">
        <v>84460</v>
      </c>
      <c r="D48" s="25">
        <v>2</v>
      </c>
      <c r="E48" s="102">
        <f t="shared" si="1"/>
        <v>168920</v>
      </c>
      <c r="F48" s="107" t="s">
        <v>67</v>
      </c>
      <c r="G48" s="2"/>
      <c r="H48" s="28"/>
      <c r="I48" s="2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23.25" customHeight="1">
      <c r="A49" s="2"/>
      <c r="B49" s="149" t="s">
        <v>68</v>
      </c>
      <c r="C49" s="149"/>
      <c r="D49" s="149"/>
      <c r="E49" s="103">
        <f>SUM(E34:E48)</f>
        <v>3407985.95</v>
      </c>
      <c r="F49" s="30" t="s">
        <v>4</v>
      </c>
      <c r="G49" s="2"/>
      <c r="H49" s="28"/>
      <c r="I49" s="2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34.9">
      <c r="A50" s="2"/>
      <c r="B50" s="31" t="s">
        <v>69</v>
      </c>
      <c r="C50" s="24" t="s">
        <v>20</v>
      </c>
      <c r="D50" s="24" t="s">
        <v>21</v>
      </c>
      <c r="E50" s="24" t="s">
        <v>22</v>
      </c>
      <c r="F50" s="24" t="s">
        <v>23</v>
      </c>
      <c r="G50" s="2"/>
      <c r="H50" s="28"/>
      <c r="I50" s="28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23.25" customHeight="1">
      <c r="A51" s="2"/>
      <c r="B51" s="105" t="s">
        <v>70</v>
      </c>
      <c r="C51" s="105">
        <v>143499</v>
      </c>
      <c r="D51" s="25">
        <v>15</v>
      </c>
      <c r="E51" s="105">
        <f t="shared" ref="E51:E52" si="2">C51*D51</f>
        <v>2152485</v>
      </c>
      <c r="F51" s="109" t="s">
        <v>71</v>
      </c>
      <c r="G51" s="2"/>
      <c r="H51" s="28"/>
      <c r="I51" s="28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23.25" customHeight="1">
      <c r="A52" s="2"/>
      <c r="B52" s="104" t="s">
        <v>72</v>
      </c>
      <c r="C52" s="105">
        <v>28989</v>
      </c>
      <c r="D52" s="25">
        <v>15</v>
      </c>
      <c r="E52" s="105">
        <f t="shared" si="2"/>
        <v>434835</v>
      </c>
      <c r="F52" s="109" t="s">
        <v>73</v>
      </c>
      <c r="G52" s="2"/>
      <c r="H52" s="28"/>
      <c r="I52" s="28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23.25" customHeight="1">
      <c r="A53" s="2"/>
      <c r="B53" s="140" t="s">
        <v>74</v>
      </c>
      <c r="C53" s="141"/>
      <c r="D53" s="142"/>
      <c r="E53" s="106">
        <f>SUM(E51:E52)</f>
        <v>2587320</v>
      </c>
      <c r="F53" s="30" t="s">
        <v>4</v>
      </c>
      <c r="G53" s="2"/>
      <c r="H53" s="28"/>
      <c r="I53" s="28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23.25" customHeight="1">
      <c r="A54" s="2"/>
      <c r="B54" s="1" t="s">
        <v>75</v>
      </c>
      <c r="C54" s="138"/>
      <c r="D54" s="139"/>
      <c r="E54" s="32">
        <f>SUM(E32+E49+E53)</f>
        <v>8991224.3499999996</v>
      </c>
      <c r="F54" s="30" t="s">
        <v>4</v>
      </c>
      <c r="G54" s="2"/>
      <c r="H54" s="2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23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23.25" customHeight="1">
      <c r="A56" s="2"/>
      <c r="B56" s="150" t="s">
        <v>5</v>
      </c>
      <c r="C56" s="151"/>
      <c r="D56" s="151"/>
      <c r="E56" s="151"/>
      <c r="F56" s="152"/>
      <c r="G56" s="2"/>
      <c r="H56" s="28"/>
      <c r="I56" s="28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45" customHeight="1">
      <c r="A57" s="2"/>
      <c r="B57" s="24"/>
      <c r="C57" s="24" t="s">
        <v>20</v>
      </c>
      <c r="D57" s="24" t="s">
        <v>21</v>
      </c>
      <c r="E57" s="24" t="s">
        <v>22</v>
      </c>
      <c r="F57" s="24" t="s">
        <v>23</v>
      </c>
      <c r="G57" s="2"/>
      <c r="H57" s="28"/>
      <c r="I57" s="28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3.25" customHeight="1">
      <c r="A58" s="2"/>
      <c r="B58" s="33" t="s">
        <v>76</v>
      </c>
      <c r="C58" s="34">
        <v>323400</v>
      </c>
      <c r="D58" s="33">
        <v>1</v>
      </c>
      <c r="E58" s="34">
        <f t="shared" ref="E58" si="3">C58*D58</f>
        <v>323400</v>
      </c>
      <c r="F58" s="115" t="s">
        <v>77</v>
      </c>
      <c r="G58" s="2"/>
      <c r="H58" s="28"/>
      <c r="I58" s="2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23.25" customHeight="1">
      <c r="A59" s="2"/>
      <c r="B59" s="33" t="s">
        <v>78</v>
      </c>
      <c r="C59" s="34">
        <v>29830</v>
      </c>
      <c r="D59" s="33">
        <v>1</v>
      </c>
      <c r="E59" s="34">
        <f t="shared" ref="E59:E60" si="4">C59*D59</f>
        <v>29830</v>
      </c>
      <c r="F59" s="115" t="s">
        <v>79</v>
      </c>
      <c r="G59" s="2"/>
      <c r="H59" s="28"/>
      <c r="I59" s="2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40.9" customHeight="1">
      <c r="A60" s="2"/>
      <c r="B60" s="33" t="s">
        <v>80</v>
      </c>
      <c r="C60" s="34">
        <v>9718</v>
      </c>
      <c r="D60" s="33">
        <v>1</v>
      </c>
      <c r="E60" s="34">
        <f t="shared" si="4"/>
        <v>9718</v>
      </c>
      <c r="F60" s="115" t="s">
        <v>81</v>
      </c>
      <c r="G60" s="2"/>
      <c r="H60" s="28"/>
      <c r="I60" s="2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23.25" customHeight="1">
      <c r="A61" s="2"/>
      <c r="B61" s="153" t="s">
        <v>82</v>
      </c>
      <c r="C61" s="151"/>
      <c r="D61" s="152"/>
      <c r="E61" s="10">
        <f>SUM(E58:E60)</f>
        <v>362948</v>
      </c>
      <c r="F61" s="30" t="s">
        <v>4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23.25" customHeight="1">
      <c r="A62" s="2"/>
      <c r="B62" s="154" t="s">
        <v>83</v>
      </c>
      <c r="C62" s="151"/>
      <c r="D62" s="152"/>
      <c r="E62" s="35">
        <f>SUM(E61)</f>
        <v>362948</v>
      </c>
      <c r="F62" s="30" t="s">
        <v>4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23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23.25" customHeight="1">
      <c r="A64" s="2"/>
      <c r="B64" s="155" t="s">
        <v>6</v>
      </c>
      <c r="C64" s="151"/>
      <c r="D64" s="151"/>
      <c r="E64" s="151"/>
      <c r="F64" s="15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3" customHeight="1">
      <c r="A65" s="2"/>
      <c r="B65" s="31"/>
      <c r="C65" s="24" t="s">
        <v>20</v>
      </c>
      <c r="D65" s="24" t="s">
        <v>21</v>
      </c>
      <c r="E65" s="24" t="s">
        <v>22</v>
      </c>
      <c r="F65" s="24" t="s">
        <v>23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23.25" customHeight="1">
      <c r="A66" s="2"/>
      <c r="B66" s="36" t="s">
        <v>84</v>
      </c>
      <c r="C66" s="37">
        <v>17250</v>
      </c>
      <c r="D66" s="116">
        <v>1</v>
      </c>
      <c r="E66" s="37">
        <f t="shared" ref="E66:E68" si="5">C66*D66</f>
        <v>17250</v>
      </c>
      <c r="F66" s="110" t="s">
        <v>85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23.25" customHeight="1">
      <c r="A67" s="2"/>
      <c r="B67" s="36" t="s">
        <v>86</v>
      </c>
      <c r="C67" s="37">
        <v>518000</v>
      </c>
      <c r="D67" s="116">
        <v>1</v>
      </c>
      <c r="E67" s="37">
        <f t="shared" si="5"/>
        <v>518000</v>
      </c>
      <c r="F67" s="110" t="s">
        <v>87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23.25" customHeight="1">
      <c r="A68" s="2"/>
      <c r="B68" s="37" t="s">
        <v>88</v>
      </c>
      <c r="C68" s="37">
        <v>1350000</v>
      </c>
      <c r="D68" s="116">
        <v>1</v>
      </c>
      <c r="E68" s="37">
        <f t="shared" si="5"/>
        <v>1350000</v>
      </c>
      <c r="F68" s="110" t="s">
        <v>89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23.25" customHeight="1">
      <c r="A69" s="2"/>
      <c r="B69" s="155" t="s">
        <v>82</v>
      </c>
      <c r="C69" s="151"/>
      <c r="D69" s="152"/>
      <c r="E69" s="38">
        <f>SUM(E66:E68)</f>
        <v>1885250</v>
      </c>
      <c r="F69" s="30" t="s">
        <v>4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23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23.25" customHeight="1">
      <c r="A71" s="2"/>
      <c r="B71" s="156" t="s">
        <v>7</v>
      </c>
      <c r="C71" s="151"/>
      <c r="D71" s="151"/>
      <c r="E71" s="151"/>
      <c r="F71" s="15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34.9">
      <c r="A72" s="2"/>
      <c r="B72" s="31" t="s">
        <v>7</v>
      </c>
      <c r="C72" s="24" t="s">
        <v>20</v>
      </c>
      <c r="D72" s="24" t="s">
        <v>21</v>
      </c>
      <c r="E72" s="24" t="s">
        <v>22</v>
      </c>
      <c r="F72" s="24" t="s">
        <v>23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3.25" customHeight="1">
      <c r="A73" s="2"/>
      <c r="B73" s="41" t="s">
        <v>90</v>
      </c>
      <c r="C73" s="40">
        <v>129775000</v>
      </c>
      <c r="D73" s="39">
        <v>1</v>
      </c>
      <c r="E73" s="40">
        <f>C73*D73</f>
        <v>129775000</v>
      </c>
      <c r="F73" s="111" t="s">
        <v>91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23.25" customHeight="1">
      <c r="A74" s="2"/>
      <c r="B74" s="41" t="s">
        <v>92</v>
      </c>
      <c r="C74" s="40">
        <v>386425000</v>
      </c>
      <c r="D74" s="39">
        <v>1</v>
      </c>
      <c r="E74" s="40">
        <f>C74*D74</f>
        <v>386425000</v>
      </c>
      <c r="F74" s="111" t="s">
        <v>93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23.25" customHeight="1">
      <c r="A75" s="2"/>
      <c r="B75" s="156" t="s">
        <v>94</v>
      </c>
      <c r="C75" s="151"/>
      <c r="D75" s="152"/>
      <c r="E75" s="42">
        <f>SUM(E73:E74)</f>
        <v>516200000</v>
      </c>
      <c r="F75" s="30" t="s">
        <v>4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23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23.25" customHeight="1">
      <c r="A77" s="2"/>
      <c r="B77" s="159" t="s">
        <v>8</v>
      </c>
      <c r="C77" s="151"/>
      <c r="D77" s="151"/>
      <c r="E77" s="151"/>
      <c r="F77" s="15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30" customHeight="1">
      <c r="A78" s="2"/>
      <c r="B78" s="31" t="s">
        <v>8</v>
      </c>
      <c r="C78" s="24" t="s">
        <v>20</v>
      </c>
      <c r="D78" s="24" t="s">
        <v>21</v>
      </c>
      <c r="E78" s="24" t="s">
        <v>22</v>
      </c>
      <c r="F78" s="24" t="s">
        <v>23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23.25" customHeight="1">
      <c r="A79" s="2"/>
      <c r="B79" s="43" t="s">
        <v>95</v>
      </c>
      <c r="C79" s="44">
        <v>193000</v>
      </c>
      <c r="D79" s="30">
        <v>1</v>
      </c>
      <c r="E79" s="44">
        <f t="shared" ref="E79:E85" si="6">C79*D79</f>
        <v>193000</v>
      </c>
      <c r="F79" s="44" t="s">
        <v>96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23.25" customHeight="1">
      <c r="A80" s="2"/>
      <c r="B80" s="43" t="s">
        <v>97</v>
      </c>
      <c r="C80" s="44">
        <v>640000</v>
      </c>
      <c r="D80" s="30">
        <v>1</v>
      </c>
      <c r="E80" s="44">
        <f t="shared" si="6"/>
        <v>640000</v>
      </c>
      <c r="F80" s="108" t="s">
        <v>98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23.25" customHeight="1">
      <c r="A81" s="2"/>
      <c r="B81" s="43" t="s">
        <v>99</v>
      </c>
      <c r="C81" s="44">
        <v>93600</v>
      </c>
      <c r="D81" s="30">
        <v>1</v>
      </c>
      <c r="E81" s="44">
        <v>93600</v>
      </c>
      <c r="F81" s="108" t="s">
        <v>100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23.25" customHeight="1">
      <c r="A82" s="2"/>
      <c r="B82" s="43" t="s">
        <v>101</v>
      </c>
      <c r="C82" s="44">
        <v>8500</v>
      </c>
      <c r="D82" s="30">
        <v>1</v>
      </c>
      <c r="E82" s="44">
        <f t="shared" si="6"/>
        <v>8500</v>
      </c>
      <c r="F82" s="44" t="s">
        <v>102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0.45" customHeight="1">
      <c r="A83" s="2"/>
      <c r="B83" s="43" t="s">
        <v>103</v>
      </c>
      <c r="C83" s="44">
        <v>38192</v>
      </c>
      <c r="D83" s="30">
        <v>1</v>
      </c>
      <c r="E83" s="44">
        <f t="shared" si="6"/>
        <v>38192</v>
      </c>
      <c r="F83" s="44" t="s">
        <v>104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30.6" customHeight="1">
      <c r="A84" s="2"/>
      <c r="B84" s="43" t="s">
        <v>105</v>
      </c>
      <c r="C84" s="44">
        <v>80000</v>
      </c>
      <c r="D84" s="30">
        <v>1</v>
      </c>
      <c r="E84" s="44">
        <f t="shared" si="6"/>
        <v>80000</v>
      </c>
      <c r="F84" s="108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s="122" customFormat="1" ht="30.6" customHeight="1">
      <c r="A85" s="2"/>
      <c r="B85" s="43" t="s">
        <v>106</v>
      </c>
      <c r="C85" s="44">
        <v>90000</v>
      </c>
      <c r="D85" s="136">
        <v>1</v>
      </c>
      <c r="E85" s="44">
        <f t="shared" si="6"/>
        <v>90000</v>
      </c>
      <c r="F85" s="108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23.25" customHeight="1">
      <c r="A86" s="2"/>
      <c r="B86" s="159" t="s">
        <v>107</v>
      </c>
      <c r="C86" s="151"/>
      <c r="D86" s="152"/>
      <c r="E86" s="45">
        <f>SUM(E79:E84)</f>
        <v>1053292</v>
      </c>
      <c r="F86" s="30" t="s">
        <v>4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23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23.25" customHeight="1">
      <c r="A88" s="2"/>
      <c r="B88" s="160" t="s">
        <v>108</v>
      </c>
      <c r="C88" s="151"/>
      <c r="D88" s="151"/>
      <c r="E88" s="151"/>
      <c r="F88" s="15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34.9">
      <c r="A89" s="2"/>
      <c r="B89" s="46" t="s">
        <v>109</v>
      </c>
      <c r="C89" s="46" t="s">
        <v>20</v>
      </c>
      <c r="D89" s="46" t="s">
        <v>21</v>
      </c>
      <c r="E89" s="46" t="s">
        <v>22</v>
      </c>
      <c r="F89" s="24" t="s">
        <v>23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23.25" customHeight="1">
      <c r="A90" s="2"/>
      <c r="B90" s="47" t="s">
        <v>110</v>
      </c>
      <c r="C90" s="18">
        <v>3000000</v>
      </c>
      <c r="D90" s="117">
        <v>1</v>
      </c>
      <c r="E90" s="18">
        <f t="shared" ref="E90:E93" si="7">C90*D90</f>
        <v>3000000</v>
      </c>
      <c r="F90" s="132" t="s">
        <v>111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>
      <c r="A91" s="2"/>
      <c r="B91" s="47" t="s">
        <v>112</v>
      </c>
      <c r="C91" s="18">
        <v>20000</v>
      </c>
      <c r="D91" s="117">
        <v>31</v>
      </c>
      <c r="E91" s="18">
        <f t="shared" si="7"/>
        <v>620000</v>
      </c>
      <c r="F91" s="18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23.25" customHeight="1">
      <c r="A92" s="2"/>
      <c r="B92" s="47" t="s">
        <v>113</v>
      </c>
      <c r="C92" s="18">
        <v>20000</v>
      </c>
      <c r="D92" s="117">
        <v>31</v>
      </c>
      <c r="E92" s="18">
        <f t="shared" si="7"/>
        <v>620000</v>
      </c>
      <c r="F92" s="1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23.25" customHeight="1">
      <c r="A93" s="2"/>
      <c r="B93" s="47" t="s">
        <v>114</v>
      </c>
      <c r="C93" s="18">
        <v>30000</v>
      </c>
      <c r="D93" s="117">
        <v>31</v>
      </c>
      <c r="E93" s="18">
        <f t="shared" si="7"/>
        <v>930000</v>
      </c>
      <c r="F93" s="1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3.25" customHeight="1">
      <c r="A94" s="2"/>
      <c r="B94" s="161" t="s">
        <v>115</v>
      </c>
      <c r="C94" s="151"/>
      <c r="D94" s="152"/>
      <c r="E94" s="48">
        <f>SUM(E90:E93)</f>
        <v>5170000</v>
      </c>
      <c r="F94" s="30" t="s">
        <v>4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23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23.25" customHeight="1">
      <c r="A96" s="2"/>
      <c r="B96" s="157" t="s">
        <v>10</v>
      </c>
      <c r="C96" s="151"/>
      <c r="D96" s="151"/>
      <c r="E96" s="152"/>
      <c r="F96" s="144" t="s">
        <v>116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38.25" customHeight="1">
      <c r="A97" s="2"/>
      <c r="B97" s="158" t="s">
        <v>117</v>
      </c>
      <c r="C97" s="151"/>
      <c r="D97" s="152"/>
      <c r="E97" s="49">
        <f>'6.6 Cashflow'!B48</f>
        <v>0</v>
      </c>
      <c r="F97" s="16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23.25" customHeight="1">
      <c r="A98" s="2"/>
      <c r="B98" s="157" t="s">
        <v>118</v>
      </c>
      <c r="C98" s="151"/>
      <c r="D98" s="152"/>
      <c r="E98" s="50">
        <f>E97</f>
        <v>0</v>
      </c>
      <c r="F98" s="16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23.25" customHeight="1">
      <c r="A99" s="2"/>
      <c r="B99" s="2"/>
      <c r="C99" s="27"/>
      <c r="D99" s="2"/>
      <c r="E99" s="2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3.25" customHeight="1">
      <c r="A100" s="2"/>
      <c r="B100" s="2"/>
      <c r="C100" s="27"/>
      <c r="D100" s="2"/>
      <c r="E100" s="2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23.25" customHeight="1">
      <c r="A101" s="2"/>
      <c r="B101" s="2"/>
      <c r="C101" s="27"/>
      <c r="D101" s="2"/>
      <c r="E101" s="2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23.25" customHeight="1">
      <c r="A102" s="2"/>
      <c r="B102" s="2"/>
      <c r="C102" s="27"/>
      <c r="D102" s="2"/>
      <c r="E102" s="2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23.25" customHeight="1">
      <c r="A103" s="2"/>
      <c r="B103" s="2"/>
      <c r="C103" s="27"/>
      <c r="D103" s="2"/>
      <c r="E103" s="2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23.25" customHeight="1">
      <c r="A104" s="2"/>
      <c r="B104" s="2"/>
      <c r="C104" s="27"/>
      <c r="D104" s="2"/>
      <c r="E104" s="2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23.25" customHeight="1">
      <c r="A105" s="2"/>
      <c r="B105" s="2"/>
      <c r="C105" s="27"/>
      <c r="D105" s="2"/>
      <c r="E105" s="2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23.25" customHeight="1">
      <c r="A106" s="2"/>
      <c r="B106" s="2"/>
      <c r="C106" s="27"/>
      <c r="D106" s="2"/>
      <c r="E106" s="2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23.25" customHeight="1">
      <c r="A107" s="2"/>
      <c r="B107" s="2"/>
      <c r="C107" s="27"/>
      <c r="D107" s="2"/>
      <c r="E107" s="2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23.25" customHeight="1">
      <c r="A108" s="2"/>
      <c r="B108" s="2"/>
      <c r="C108" s="27"/>
      <c r="D108" s="2"/>
      <c r="E108" s="2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3.25" customHeight="1">
      <c r="A109" s="2"/>
      <c r="B109" s="2"/>
      <c r="C109" s="27"/>
      <c r="D109" s="2"/>
      <c r="E109" s="2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23.25" customHeight="1">
      <c r="A110" s="2"/>
      <c r="B110" s="2"/>
      <c r="C110" s="27"/>
      <c r="D110" s="2"/>
      <c r="E110" s="2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23.25" customHeight="1">
      <c r="A111" s="2"/>
      <c r="B111" s="2"/>
      <c r="C111" s="27"/>
      <c r="D111" s="2"/>
      <c r="E111" s="2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23.25" customHeight="1">
      <c r="A112" s="2"/>
      <c r="B112" s="2"/>
      <c r="C112" s="27"/>
      <c r="D112" s="2"/>
      <c r="E112" s="2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23.25" customHeight="1">
      <c r="A113" s="2"/>
      <c r="B113" s="2"/>
      <c r="C113" s="27"/>
      <c r="D113" s="2"/>
      <c r="E113" s="2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23.25" customHeight="1">
      <c r="A114" s="2"/>
      <c r="B114" s="2"/>
      <c r="C114" s="27"/>
      <c r="D114" s="2"/>
      <c r="E114" s="2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23.25" customHeight="1">
      <c r="A115" s="2"/>
      <c r="B115" s="2"/>
      <c r="C115" s="27"/>
      <c r="D115" s="2"/>
      <c r="E115" s="2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23.25" customHeight="1">
      <c r="A116" s="2"/>
      <c r="B116" s="2"/>
      <c r="C116" s="27"/>
      <c r="D116" s="2"/>
      <c r="E116" s="2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23.25" customHeight="1">
      <c r="A117" s="2"/>
      <c r="B117" s="2"/>
      <c r="C117" s="27"/>
      <c r="D117" s="2"/>
      <c r="E117" s="2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23.25" customHeight="1">
      <c r="A118" s="2"/>
      <c r="B118" s="2"/>
      <c r="C118" s="27"/>
      <c r="D118" s="2"/>
      <c r="E118" s="2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23.25" customHeight="1">
      <c r="A119" s="2"/>
      <c r="B119" s="2"/>
      <c r="C119" s="27"/>
      <c r="D119" s="2"/>
      <c r="E119" s="2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23.25" customHeight="1">
      <c r="A120" s="2"/>
      <c r="B120" s="2"/>
      <c r="C120" s="27"/>
      <c r="D120" s="2"/>
      <c r="E120" s="2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23.25" customHeight="1">
      <c r="A121" s="2"/>
      <c r="B121" s="2"/>
      <c r="C121" s="27"/>
      <c r="D121" s="2"/>
      <c r="E121" s="2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23.25" customHeight="1">
      <c r="A122" s="2"/>
      <c r="B122" s="2"/>
      <c r="C122" s="27"/>
      <c r="D122" s="2"/>
      <c r="E122" s="2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23.25" customHeight="1">
      <c r="A123" s="2"/>
      <c r="B123" s="2"/>
      <c r="C123" s="27"/>
      <c r="D123" s="2"/>
      <c r="E123" s="2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23.25" customHeight="1">
      <c r="A124" s="2"/>
      <c r="B124" s="2"/>
      <c r="C124" s="27"/>
      <c r="D124" s="2"/>
      <c r="E124" s="2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23.25" customHeight="1">
      <c r="A125" s="2"/>
      <c r="B125" s="2"/>
      <c r="C125" s="27"/>
      <c r="D125" s="2"/>
      <c r="E125" s="2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23.25" customHeight="1">
      <c r="A126" s="2"/>
      <c r="B126" s="2"/>
      <c r="C126" s="27"/>
      <c r="D126" s="2"/>
      <c r="E126" s="2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23.25" customHeight="1">
      <c r="A127" s="2"/>
      <c r="B127" s="2"/>
      <c r="C127" s="27"/>
      <c r="D127" s="2"/>
      <c r="E127" s="27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23.25" customHeight="1">
      <c r="A128" s="2"/>
      <c r="B128" s="2"/>
      <c r="C128" s="27"/>
      <c r="D128" s="2"/>
      <c r="E128" s="2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23.25" customHeight="1">
      <c r="A129" s="2"/>
      <c r="B129" s="2"/>
      <c r="C129" s="27"/>
      <c r="D129" s="2"/>
      <c r="E129" s="2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23.25" customHeight="1">
      <c r="A130" s="2"/>
      <c r="B130" s="2"/>
      <c r="C130" s="27"/>
      <c r="D130" s="2"/>
      <c r="E130" s="2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23.25" customHeight="1">
      <c r="A131" s="2"/>
      <c r="B131" s="2"/>
      <c r="C131" s="27"/>
      <c r="D131" s="2"/>
      <c r="E131" s="2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23.25" customHeight="1">
      <c r="A132" s="2"/>
      <c r="B132" s="2"/>
      <c r="C132" s="27"/>
      <c r="D132" s="2"/>
      <c r="E132" s="2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23.25" customHeight="1">
      <c r="A133" s="2"/>
      <c r="B133" s="2"/>
      <c r="C133" s="27"/>
      <c r="D133" s="2"/>
      <c r="E133" s="2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23.25" customHeight="1">
      <c r="A134" s="2"/>
      <c r="B134" s="2"/>
      <c r="C134" s="27"/>
      <c r="D134" s="2"/>
      <c r="E134" s="2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23.25" customHeight="1">
      <c r="A135" s="2"/>
      <c r="B135" s="2"/>
      <c r="C135" s="27"/>
      <c r="D135" s="2"/>
      <c r="E135" s="2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23.25" customHeight="1">
      <c r="A136" s="2"/>
      <c r="B136" s="2"/>
      <c r="C136" s="27"/>
      <c r="D136" s="2"/>
      <c r="E136" s="2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23.25" customHeight="1">
      <c r="A137" s="2"/>
      <c r="B137" s="2"/>
      <c r="C137" s="27"/>
      <c r="D137" s="2"/>
      <c r="E137" s="2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23.25" customHeight="1">
      <c r="A138" s="2"/>
      <c r="B138" s="2"/>
      <c r="C138" s="27"/>
      <c r="D138" s="2"/>
      <c r="E138" s="2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23.25" customHeight="1">
      <c r="A139" s="2"/>
      <c r="B139" s="2"/>
      <c r="C139" s="27"/>
      <c r="D139" s="2"/>
      <c r="E139" s="2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23.25" customHeight="1">
      <c r="A140" s="2"/>
      <c r="B140" s="2"/>
      <c r="C140" s="27"/>
      <c r="D140" s="2"/>
      <c r="E140" s="27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23.25" customHeight="1">
      <c r="A141" s="2"/>
      <c r="B141" s="2"/>
      <c r="C141" s="27"/>
      <c r="D141" s="2"/>
      <c r="E141" s="2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23.25" customHeight="1">
      <c r="A142" s="2"/>
      <c r="B142" s="2"/>
      <c r="C142" s="27"/>
      <c r="D142" s="2"/>
      <c r="E142" s="2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23.25" customHeight="1">
      <c r="A143" s="2"/>
      <c r="B143" s="2"/>
      <c r="C143" s="27"/>
      <c r="D143" s="2"/>
      <c r="E143" s="2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23.25" customHeight="1">
      <c r="A144" s="2"/>
      <c r="B144" s="2"/>
      <c r="C144" s="27"/>
      <c r="D144" s="2"/>
      <c r="E144" s="2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23.25" customHeight="1">
      <c r="A145" s="2"/>
      <c r="B145" s="2"/>
      <c r="C145" s="27"/>
      <c r="D145" s="2"/>
      <c r="E145" s="2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23.25" customHeight="1">
      <c r="A146" s="2"/>
      <c r="B146" s="2"/>
      <c r="C146" s="27"/>
      <c r="D146" s="2"/>
      <c r="E146" s="2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23.25" customHeight="1">
      <c r="A147" s="2"/>
      <c r="B147" s="2"/>
      <c r="C147" s="27"/>
      <c r="D147" s="2"/>
      <c r="E147" s="2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23.25" customHeight="1">
      <c r="A148" s="2"/>
      <c r="B148" s="2"/>
      <c r="C148" s="27"/>
      <c r="D148" s="2"/>
      <c r="E148" s="2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23.25" customHeight="1">
      <c r="A149" s="2"/>
      <c r="B149" s="2"/>
      <c r="C149" s="27"/>
      <c r="D149" s="2"/>
      <c r="E149" s="2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23.25" customHeight="1">
      <c r="A150" s="2"/>
      <c r="B150" s="2"/>
      <c r="C150" s="27"/>
      <c r="D150" s="2"/>
      <c r="E150" s="2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23.25" customHeight="1">
      <c r="A151" s="2"/>
      <c r="B151" s="2"/>
      <c r="C151" s="27"/>
      <c r="D151" s="2"/>
      <c r="E151" s="2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23.25" customHeight="1">
      <c r="A152" s="2"/>
      <c r="B152" s="2"/>
      <c r="C152" s="27"/>
      <c r="D152" s="2"/>
      <c r="E152" s="2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23.25" customHeight="1">
      <c r="A153" s="2"/>
      <c r="B153" s="2"/>
      <c r="C153" s="27"/>
      <c r="D153" s="2"/>
      <c r="E153" s="2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23.25" customHeight="1">
      <c r="A154" s="2"/>
      <c r="B154" s="2"/>
      <c r="C154" s="27"/>
      <c r="D154" s="2"/>
      <c r="E154" s="2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23.25" customHeight="1">
      <c r="A155" s="2"/>
      <c r="B155" s="2"/>
      <c r="C155" s="27"/>
      <c r="D155" s="2"/>
      <c r="E155" s="2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23.25" customHeight="1">
      <c r="A156" s="2"/>
      <c r="B156" s="2"/>
      <c r="C156" s="27"/>
      <c r="D156" s="2"/>
      <c r="E156" s="2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23.25" customHeight="1">
      <c r="A157" s="2"/>
      <c r="B157" s="2"/>
      <c r="C157" s="27"/>
      <c r="D157" s="2"/>
      <c r="E157" s="2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23.25" customHeight="1">
      <c r="A158" s="2"/>
      <c r="B158" s="2"/>
      <c r="C158" s="27"/>
      <c r="D158" s="2"/>
      <c r="E158" s="2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23.25" customHeight="1">
      <c r="A159" s="2"/>
      <c r="B159" s="2"/>
      <c r="C159" s="27"/>
      <c r="D159" s="2"/>
      <c r="E159" s="2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23.25" customHeight="1">
      <c r="A160" s="2"/>
      <c r="B160" s="2"/>
      <c r="C160" s="27"/>
      <c r="D160" s="2"/>
      <c r="E160" s="2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23.25" customHeight="1">
      <c r="A161" s="2"/>
      <c r="B161" s="2"/>
      <c r="C161" s="27"/>
      <c r="D161" s="2"/>
      <c r="E161" s="2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23.25" customHeight="1">
      <c r="A162" s="2"/>
      <c r="B162" s="2"/>
      <c r="C162" s="27"/>
      <c r="D162" s="2"/>
      <c r="E162" s="2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23.25" customHeight="1">
      <c r="A163" s="2"/>
      <c r="B163" s="2"/>
      <c r="C163" s="27"/>
      <c r="D163" s="2"/>
      <c r="E163" s="2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23.25" customHeight="1">
      <c r="A164" s="2"/>
      <c r="B164" s="2"/>
      <c r="C164" s="27"/>
      <c r="D164" s="2"/>
      <c r="E164" s="2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23.25" customHeight="1">
      <c r="A165" s="2"/>
      <c r="B165" s="2"/>
      <c r="C165" s="27"/>
      <c r="D165" s="2"/>
      <c r="E165" s="2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23.25" customHeight="1">
      <c r="A166" s="2"/>
      <c r="B166" s="2"/>
      <c r="C166" s="27"/>
      <c r="D166" s="2"/>
      <c r="E166" s="2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23.25" customHeight="1">
      <c r="A167" s="2"/>
      <c r="B167" s="2"/>
      <c r="C167" s="27"/>
      <c r="D167" s="2"/>
      <c r="E167" s="2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23.25" customHeight="1">
      <c r="A168" s="2"/>
      <c r="B168" s="2"/>
      <c r="C168" s="27"/>
      <c r="D168" s="2"/>
      <c r="E168" s="2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23.25" customHeight="1">
      <c r="A169" s="2"/>
      <c r="B169" s="2"/>
      <c r="C169" s="27"/>
      <c r="D169" s="2"/>
      <c r="E169" s="27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23.25" customHeight="1">
      <c r="A170" s="2"/>
      <c r="B170" s="2"/>
      <c r="C170" s="27"/>
      <c r="D170" s="2"/>
      <c r="E170" s="2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23.25" customHeight="1">
      <c r="A171" s="2"/>
      <c r="B171" s="2"/>
      <c r="C171" s="27"/>
      <c r="D171" s="2"/>
      <c r="E171" s="2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23.25" customHeight="1">
      <c r="A172" s="2"/>
      <c r="B172" s="2"/>
      <c r="C172" s="27"/>
      <c r="D172" s="2"/>
      <c r="E172" s="2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23.25" customHeight="1">
      <c r="A173" s="2"/>
      <c r="B173" s="2"/>
      <c r="C173" s="27"/>
      <c r="D173" s="2"/>
      <c r="E173" s="2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23.25" customHeight="1">
      <c r="A174" s="2"/>
      <c r="B174" s="2"/>
      <c r="C174" s="27"/>
      <c r="D174" s="2"/>
      <c r="E174" s="2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23.25" customHeight="1">
      <c r="A175" s="2"/>
      <c r="B175" s="2"/>
      <c r="C175" s="27"/>
      <c r="D175" s="2"/>
      <c r="E175" s="2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23.25" customHeight="1">
      <c r="A176" s="2"/>
      <c r="B176" s="2"/>
      <c r="C176" s="27"/>
      <c r="D176" s="2"/>
      <c r="E176" s="2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23.25" customHeight="1">
      <c r="A177" s="2"/>
      <c r="B177" s="2"/>
      <c r="C177" s="27"/>
      <c r="D177" s="2"/>
      <c r="E177" s="2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23.25" customHeight="1">
      <c r="A178" s="2"/>
      <c r="B178" s="2"/>
      <c r="C178" s="27"/>
      <c r="D178" s="2"/>
      <c r="E178" s="2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23.25" customHeight="1">
      <c r="A179" s="2"/>
      <c r="B179" s="2"/>
      <c r="C179" s="27"/>
      <c r="D179" s="2"/>
      <c r="E179" s="2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23.25" customHeight="1">
      <c r="A180" s="2"/>
      <c r="B180" s="2"/>
      <c r="C180" s="27"/>
      <c r="D180" s="2"/>
      <c r="E180" s="2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23.25" customHeight="1">
      <c r="A181" s="2"/>
      <c r="B181" s="2"/>
      <c r="C181" s="27"/>
      <c r="D181" s="2"/>
      <c r="E181" s="2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23.25" customHeight="1">
      <c r="A182" s="2"/>
      <c r="B182" s="2"/>
      <c r="C182" s="27"/>
      <c r="D182" s="2"/>
      <c r="E182" s="2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23.25" customHeight="1">
      <c r="A183" s="2"/>
      <c r="B183" s="2"/>
      <c r="C183" s="27"/>
      <c r="D183" s="2"/>
      <c r="E183" s="2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23.25" customHeight="1">
      <c r="A184" s="2"/>
      <c r="B184" s="2"/>
      <c r="C184" s="27"/>
      <c r="D184" s="2"/>
      <c r="E184" s="2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23.25" customHeight="1">
      <c r="A185" s="2"/>
      <c r="B185" s="2"/>
      <c r="C185" s="27"/>
      <c r="D185" s="2"/>
      <c r="E185" s="2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23.25" customHeight="1">
      <c r="A186" s="2"/>
      <c r="B186" s="2"/>
      <c r="C186" s="27"/>
      <c r="D186" s="2"/>
      <c r="E186" s="2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23.25" customHeight="1">
      <c r="A187" s="2"/>
      <c r="B187" s="2"/>
      <c r="C187" s="27"/>
      <c r="D187" s="2"/>
      <c r="E187" s="2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23.25" customHeight="1">
      <c r="A188" s="2"/>
      <c r="B188" s="2"/>
      <c r="C188" s="27"/>
      <c r="D188" s="2"/>
      <c r="E188" s="2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23.25" customHeight="1">
      <c r="A189" s="2"/>
      <c r="B189" s="2"/>
      <c r="C189" s="27"/>
      <c r="D189" s="2"/>
      <c r="E189" s="2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23.25" customHeight="1">
      <c r="A190" s="2"/>
      <c r="B190" s="2"/>
      <c r="C190" s="27"/>
      <c r="D190" s="2"/>
      <c r="E190" s="2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23.25" customHeight="1">
      <c r="A191" s="2"/>
      <c r="B191" s="2"/>
      <c r="C191" s="27"/>
      <c r="D191" s="2"/>
      <c r="E191" s="2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23.25" customHeight="1">
      <c r="A192" s="2"/>
      <c r="B192" s="2"/>
      <c r="C192" s="27"/>
      <c r="D192" s="2"/>
      <c r="E192" s="2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23.25" customHeight="1">
      <c r="A193" s="2"/>
      <c r="B193" s="2"/>
      <c r="C193" s="27"/>
      <c r="D193" s="2"/>
      <c r="E193" s="2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23.25" customHeight="1">
      <c r="A194" s="2"/>
      <c r="B194" s="2"/>
      <c r="C194" s="27"/>
      <c r="D194" s="2"/>
      <c r="E194" s="2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23.25" customHeight="1">
      <c r="A195" s="2"/>
      <c r="B195" s="2"/>
      <c r="C195" s="27"/>
      <c r="D195" s="2"/>
      <c r="E195" s="2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23.25" customHeight="1">
      <c r="A196" s="2"/>
      <c r="B196" s="2"/>
      <c r="C196" s="27"/>
      <c r="D196" s="2"/>
      <c r="E196" s="2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23.25" customHeight="1">
      <c r="A197" s="2"/>
      <c r="B197" s="2"/>
      <c r="C197" s="27"/>
      <c r="D197" s="2"/>
      <c r="E197" s="2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23.25" customHeight="1">
      <c r="A198" s="2"/>
      <c r="B198" s="2"/>
      <c r="C198" s="27"/>
      <c r="D198" s="2"/>
      <c r="E198" s="2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23.25" customHeight="1">
      <c r="A199" s="2"/>
      <c r="B199" s="2"/>
      <c r="C199" s="27"/>
      <c r="D199" s="2"/>
      <c r="E199" s="2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23.25" customHeight="1">
      <c r="A200" s="2"/>
      <c r="B200" s="2"/>
      <c r="C200" s="27"/>
      <c r="D200" s="2"/>
      <c r="E200" s="2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23.25" customHeight="1">
      <c r="A201" s="2"/>
      <c r="B201" s="2"/>
      <c r="C201" s="27"/>
      <c r="D201" s="2"/>
      <c r="E201" s="2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23.25" customHeight="1">
      <c r="A202" s="2"/>
      <c r="B202" s="2"/>
      <c r="C202" s="27"/>
      <c r="D202" s="2"/>
      <c r="E202" s="2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23.25" customHeight="1">
      <c r="A203" s="2"/>
      <c r="B203" s="2"/>
      <c r="C203" s="27"/>
      <c r="D203" s="2"/>
      <c r="E203" s="2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23.25" customHeight="1">
      <c r="A204" s="2"/>
      <c r="B204" s="2"/>
      <c r="C204" s="27"/>
      <c r="D204" s="2"/>
      <c r="E204" s="27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23.25" customHeight="1">
      <c r="A205" s="2"/>
      <c r="B205" s="2"/>
      <c r="C205" s="27"/>
      <c r="D205" s="2"/>
      <c r="E205" s="27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23.25" customHeight="1">
      <c r="A206" s="2"/>
      <c r="B206" s="2"/>
      <c r="C206" s="27"/>
      <c r="D206" s="2"/>
      <c r="E206" s="2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23.25" customHeight="1">
      <c r="A207" s="2"/>
      <c r="B207" s="2"/>
      <c r="C207" s="27"/>
      <c r="D207" s="2"/>
      <c r="E207" s="2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23.25" customHeight="1">
      <c r="A208" s="2"/>
      <c r="B208" s="2"/>
      <c r="C208" s="27"/>
      <c r="D208" s="2"/>
      <c r="E208" s="2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23.25" customHeight="1">
      <c r="A209" s="2"/>
      <c r="B209" s="2"/>
      <c r="C209" s="27"/>
      <c r="D209" s="2"/>
      <c r="E209" s="2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23.25" customHeight="1">
      <c r="A210" s="2"/>
      <c r="B210" s="2"/>
      <c r="C210" s="27"/>
      <c r="D210" s="2"/>
      <c r="E210" s="2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23.25" customHeight="1">
      <c r="A211" s="2"/>
      <c r="B211" s="2"/>
      <c r="C211" s="27"/>
      <c r="D211" s="2"/>
      <c r="E211" s="2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23.25" customHeight="1">
      <c r="A212" s="2"/>
      <c r="B212" s="2"/>
      <c r="C212" s="27"/>
      <c r="D212" s="2"/>
      <c r="E212" s="2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23.25" customHeight="1">
      <c r="A213" s="2"/>
      <c r="B213" s="2"/>
      <c r="C213" s="27"/>
      <c r="D213" s="2"/>
      <c r="E213" s="2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23.25" customHeight="1">
      <c r="A214" s="2"/>
      <c r="B214" s="2"/>
      <c r="C214" s="27"/>
      <c r="D214" s="2"/>
      <c r="E214" s="2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23.25" customHeight="1">
      <c r="A215" s="2"/>
      <c r="B215" s="2"/>
      <c r="C215" s="27"/>
      <c r="D215" s="2"/>
      <c r="E215" s="2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23.25" customHeight="1">
      <c r="A216" s="2"/>
      <c r="B216" s="2"/>
      <c r="C216" s="27"/>
      <c r="D216" s="2"/>
      <c r="E216" s="2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23.25" customHeight="1">
      <c r="A217" s="2"/>
      <c r="B217" s="2"/>
      <c r="C217" s="27"/>
      <c r="D217" s="2"/>
      <c r="E217" s="2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23.25" customHeight="1">
      <c r="A218" s="2"/>
      <c r="B218" s="2"/>
      <c r="C218" s="27"/>
      <c r="D218" s="2"/>
      <c r="E218" s="2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23.25" customHeight="1">
      <c r="A219" s="2"/>
      <c r="B219" s="2"/>
      <c r="C219" s="27"/>
      <c r="D219" s="2"/>
      <c r="E219" s="2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23.25" customHeight="1">
      <c r="A220" s="2"/>
      <c r="B220" s="2"/>
      <c r="C220" s="27"/>
      <c r="D220" s="2"/>
      <c r="E220" s="2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23.25" customHeight="1">
      <c r="A221" s="2"/>
      <c r="B221" s="2"/>
      <c r="C221" s="27"/>
      <c r="D221" s="2"/>
      <c r="E221" s="2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23.25" customHeight="1">
      <c r="A222" s="2"/>
      <c r="B222" s="2"/>
      <c r="C222" s="27"/>
      <c r="D222" s="2"/>
      <c r="E222" s="2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23.25" customHeight="1">
      <c r="A223" s="2"/>
      <c r="B223" s="2"/>
      <c r="C223" s="27"/>
      <c r="D223" s="2"/>
      <c r="E223" s="2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23.25" customHeight="1">
      <c r="A224" s="2"/>
      <c r="B224" s="2"/>
      <c r="C224" s="27"/>
      <c r="D224" s="2"/>
      <c r="E224" s="2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23.25" customHeight="1">
      <c r="A225" s="2"/>
      <c r="B225" s="2"/>
      <c r="C225" s="27"/>
      <c r="D225" s="2"/>
      <c r="E225" s="27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23.25" customHeight="1">
      <c r="A226" s="2"/>
      <c r="B226" s="2"/>
      <c r="C226" s="27"/>
      <c r="D226" s="2"/>
      <c r="E226" s="2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23.25" customHeight="1">
      <c r="A227" s="2"/>
      <c r="B227" s="2"/>
      <c r="C227" s="27"/>
      <c r="D227" s="2"/>
      <c r="E227" s="2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23.25" customHeight="1">
      <c r="A228" s="2"/>
      <c r="B228" s="2"/>
      <c r="C228" s="27"/>
      <c r="D228" s="2"/>
      <c r="E228" s="2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23.25" customHeight="1">
      <c r="A229" s="2"/>
      <c r="B229" s="2"/>
      <c r="C229" s="27"/>
      <c r="D229" s="2"/>
      <c r="E229" s="2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23.25" customHeight="1">
      <c r="A230" s="2"/>
      <c r="B230" s="2"/>
      <c r="C230" s="27"/>
      <c r="D230" s="2"/>
      <c r="E230" s="2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23.25" customHeight="1">
      <c r="A231" s="2"/>
      <c r="B231" s="2"/>
      <c r="C231" s="27"/>
      <c r="D231" s="2"/>
      <c r="E231" s="2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23.25" customHeight="1">
      <c r="A232" s="2"/>
      <c r="B232" s="2"/>
      <c r="C232" s="27"/>
      <c r="D232" s="2"/>
      <c r="E232" s="2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23.25" customHeight="1">
      <c r="A233" s="2"/>
      <c r="B233" s="2"/>
      <c r="C233" s="27"/>
      <c r="D233" s="2"/>
      <c r="E233" s="2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23.25" customHeight="1">
      <c r="A234" s="2"/>
      <c r="B234" s="2"/>
      <c r="C234" s="27"/>
      <c r="D234" s="2"/>
      <c r="E234" s="2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23.25" customHeight="1">
      <c r="A235" s="2"/>
      <c r="B235" s="2"/>
      <c r="C235" s="27"/>
      <c r="D235" s="2"/>
      <c r="E235" s="2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23.25" customHeight="1">
      <c r="A236" s="2"/>
      <c r="B236" s="2"/>
      <c r="C236" s="27"/>
      <c r="D236" s="2"/>
      <c r="E236" s="2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23.25" customHeight="1">
      <c r="A237" s="2"/>
      <c r="B237" s="2"/>
      <c r="C237" s="27"/>
      <c r="D237" s="2"/>
      <c r="E237" s="2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23.25" customHeight="1">
      <c r="A238" s="2"/>
      <c r="B238" s="2"/>
      <c r="C238" s="27"/>
      <c r="D238" s="2"/>
      <c r="E238" s="2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23.25" customHeight="1">
      <c r="A239" s="2"/>
      <c r="B239" s="2"/>
      <c r="C239" s="27"/>
      <c r="D239" s="2"/>
      <c r="E239" s="2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23.25" customHeight="1">
      <c r="A240" s="2"/>
      <c r="B240" s="2"/>
      <c r="C240" s="27"/>
      <c r="D240" s="2"/>
      <c r="E240" s="2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23.25" customHeight="1">
      <c r="A241" s="2"/>
      <c r="B241" s="2"/>
      <c r="C241" s="27"/>
      <c r="D241" s="2"/>
      <c r="E241" s="2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23.25" customHeight="1">
      <c r="A242" s="2"/>
      <c r="B242" s="2"/>
      <c r="C242" s="27"/>
      <c r="D242" s="2"/>
      <c r="E242" s="2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23.25" customHeight="1">
      <c r="A243" s="2"/>
      <c r="B243" s="2"/>
      <c r="C243" s="27"/>
      <c r="D243" s="2"/>
      <c r="E243" s="2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23.25" customHeight="1">
      <c r="A244" s="2"/>
      <c r="B244" s="2"/>
      <c r="C244" s="27"/>
      <c r="D244" s="2"/>
      <c r="E244" s="2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23.25" customHeight="1">
      <c r="A245" s="2"/>
      <c r="B245" s="2"/>
      <c r="C245" s="27"/>
      <c r="D245" s="2"/>
      <c r="E245" s="2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23.25" customHeight="1">
      <c r="A246" s="2"/>
      <c r="B246" s="2"/>
      <c r="C246" s="27"/>
      <c r="D246" s="2"/>
      <c r="E246" s="2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23.25" customHeight="1">
      <c r="A247" s="2"/>
      <c r="B247" s="2"/>
      <c r="C247" s="27"/>
      <c r="D247" s="2"/>
      <c r="E247" s="2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23.25" customHeight="1">
      <c r="A248" s="2"/>
      <c r="B248" s="2"/>
      <c r="C248" s="27"/>
      <c r="D248" s="2"/>
      <c r="E248" s="2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23.25" customHeight="1">
      <c r="A249" s="2"/>
      <c r="B249" s="2"/>
      <c r="C249" s="27"/>
      <c r="D249" s="2"/>
      <c r="E249" s="2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23.25" customHeight="1">
      <c r="A250" s="2"/>
      <c r="B250" s="2"/>
      <c r="C250" s="27"/>
      <c r="D250" s="2"/>
      <c r="E250" s="2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23.25" customHeight="1">
      <c r="A251" s="2"/>
      <c r="B251" s="2"/>
      <c r="C251" s="27"/>
      <c r="D251" s="2"/>
      <c r="E251" s="2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23.25" customHeight="1">
      <c r="A252" s="2"/>
      <c r="B252" s="2"/>
      <c r="C252" s="27"/>
      <c r="D252" s="2"/>
      <c r="E252" s="27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23.25" customHeight="1">
      <c r="A253" s="2"/>
      <c r="B253" s="2"/>
      <c r="C253" s="27"/>
      <c r="D253" s="2"/>
      <c r="E253" s="27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23.25" customHeight="1">
      <c r="A254" s="2"/>
      <c r="B254" s="2"/>
      <c r="C254" s="27"/>
      <c r="D254" s="2"/>
      <c r="E254" s="2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23.25" customHeight="1">
      <c r="A255" s="2"/>
      <c r="B255" s="2"/>
      <c r="C255" s="27"/>
      <c r="D255" s="2"/>
      <c r="E255" s="2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23.25" customHeight="1">
      <c r="A256" s="2"/>
      <c r="B256" s="2"/>
      <c r="C256" s="27"/>
      <c r="D256" s="2"/>
      <c r="E256" s="2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23.25" customHeight="1">
      <c r="A257" s="2"/>
      <c r="B257" s="2"/>
      <c r="C257" s="27"/>
      <c r="D257" s="2"/>
      <c r="E257" s="2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23.25" customHeight="1">
      <c r="A258" s="2"/>
      <c r="B258" s="2"/>
      <c r="C258" s="27"/>
      <c r="D258" s="2"/>
      <c r="E258" s="2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23.25" customHeight="1">
      <c r="A259" s="2"/>
      <c r="B259" s="2"/>
      <c r="C259" s="27"/>
      <c r="D259" s="2"/>
      <c r="E259" s="2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23.25" customHeight="1">
      <c r="A260" s="2"/>
      <c r="B260" s="2"/>
      <c r="C260" s="27"/>
      <c r="D260" s="2"/>
      <c r="E260" s="2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23.25" customHeight="1">
      <c r="A261" s="2"/>
      <c r="B261" s="2"/>
      <c r="C261" s="27"/>
      <c r="D261" s="2"/>
      <c r="E261" s="2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23.25" customHeight="1">
      <c r="A262" s="2"/>
      <c r="B262" s="2"/>
      <c r="C262" s="27"/>
      <c r="D262" s="2"/>
      <c r="E262" s="2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23.25" customHeight="1">
      <c r="A263" s="2"/>
      <c r="B263" s="2"/>
      <c r="C263" s="27"/>
      <c r="D263" s="2"/>
      <c r="E263" s="2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23.25" customHeight="1">
      <c r="A264" s="2"/>
      <c r="B264" s="2"/>
      <c r="C264" s="27"/>
      <c r="D264" s="2"/>
      <c r="E264" s="2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23.25" customHeight="1">
      <c r="A265" s="2"/>
      <c r="B265" s="2"/>
      <c r="C265" s="27"/>
      <c r="D265" s="2"/>
      <c r="E265" s="2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23.25" customHeight="1">
      <c r="A266" s="2"/>
      <c r="B266" s="2"/>
      <c r="C266" s="27"/>
      <c r="D266" s="2"/>
      <c r="E266" s="27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23.25" customHeight="1">
      <c r="A267" s="2"/>
      <c r="B267" s="2"/>
      <c r="C267" s="27"/>
      <c r="D267" s="2"/>
      <c r="E267" s="27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23.25" customHeight="1">
      <c r="A268" s="2"/>
      <c r="B268" s="2"/>
      <c r="C268" s="27"/>
      <c r="D268" s="2"/>
      <c r="E268" s="2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23.25" customHeight="1">
      <c r="A269" s="2"/>
      <c r="B269" s="2"/>
      <c r="C269" s="27"/>
      <c r="D269" s="2"/>
      <c r="E269" s="2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23.25" customHeight="1">
      <c r="A270" s="2"/>
      <c r="B270" s="2"/>
      <c r="C270" s="27"/>
      <c r="D270" s="2"/>
      <c r="E270" s="2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23.25" customHeight="1">
      <c r="A271" s="2"/>
      <c r="B271" s="2"/>
      <c r="C271" s="27"/>
      <c r="D271" s="2"/>
      <c r="E271" s="2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23.25" customHeight="1">
      <c r="A272" s="2"/>
      <c r="B272" s="2"/>
      <c r="C272" s="27"/>
      <c r="D272" s="2"/>
      <c r="E272" s="2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23.25" customHeight="1">
      <c r="A273" s="2"/>
      <c r="B273" s="2"/>
      <c r="C273" s="27"/>
      <c r="D273" s="2"/>
      <c r="E273" s="2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23.25" customHeight="1">
      <c r="A274" s="2"/>
      <c r="B274" s="2"/>
      <c r="C274" s="27"/>
      <c r="D274" s="2"/>
      <c r="E274" s="2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23.25" customHeight="1">
      <c r="A275" s="2"/>
      <c r="B275" s="2"/>
      <c r="C275" s="27"/>
      <c r="D275" s="2"/>
      <c r="E275" s="2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23.25" customHeight="1">
      <c r="A276" s="2"/>
      <c r="B276" s="2"/>
      <c r="C276" s="27"/>
      <c r="D276" s="2"/>
      <c r="E276" s="2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23.25" customHeight="1">
      <c r="A277" s="2"/>
      <c r="B277" s="2"/>
      <c r="C277" s="27"/>
      <c r="D277" s="2"/>
      <c r="E277" s="2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23.25" customHeight="1">
      <c r="A278" s="2"/>
      <c r="B278" s="2"/>
      <c r="C278" s="27"/>
      <c r="D278" s="2"/>
      <c r="E278" s="2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23.25" customHeight="1">
      <c r="A279" s="2"/>
      <c r="B279" s="2"/>
      <c r="C279" s="27"/>
      <c r="D279" s="2"/>
      <c r="E279" s="2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23.25" customHeight="1">
      <c r="A280" s="2"/>
      <c r="B280" s="2"/>
      <c r="C280" s="27"/>
      <c r="D280" s="2"/>
      <c r="E280" s="2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23.25" customHeight="1">
      <c r="A281" s="2"/>
      <c r="B281" s="2"/>
      <c r="C281" s="27"/>
      <c r="D281" s="2"/>
      <c r="E281" s="2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23.25" customHeight="1">
      <c r="A282" s="2"/>
      <c r="B282" s="2"/>
      <c r="C282" s="27"/>
      <c r="D282" s="2"/>
      <c r="E282" s="2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23.25" customHeight="1">
      <c r="A283" s="2"/>
      <c r="B283" s="2"/>
      <c r="C283" s="27"/>
      <c r="D283" s="2"/>
      <c r="E283" s="2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23.25" customHeight="1">
      <c r="A284" s="2"/>
      <c r="B284" s="2"/>
      <c r="C284" s="27"/>
      <c r="D284" s="2"/>
      <c r="E284" s="2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23.25" customHeight="1">
      <c r="A285" s="2"/>
      <c r="B285" s="2"/>
      <c r="C285" s="27"/>
      <c r="D285" s="2"/>
      <c r="E285" s="2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23.25" customHeight="1">
      <c r="A286" s="2"/>
      <c r="B286" s="2"/>
      <c r="C286" s="27"/>
      <c r="D286" s="2"/>
      <c r="E286" s="2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23.25" customHeight="1">
      <c r="A287" s="2"/>
      <c r="B287" s="2"/>
      <c r="C287" s="27"/>
      <c r="D287" s="2"/>
      <c r="E287" s="2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23.25" customHeight="1">
      <c r="A288" s="2"/>
      <c r="B288" s="2"/>
      <c r="C288" s="27"/>
      <c r="D288" s="2"/>
      <c r="E288" s="2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23.25" customHeight="1">
      <c r="A289" s="2"/>
      <c r="B289" s="2"/>
      <c r="C289" s="27"/>
      <c r="D289" s="2"/>
      <c r="E289" s="2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23.25" customHeight="1">
      <c r="A290" s="2"/>
      <c r="B290" s="2"/>
      <c r="C290" s="27"/>
      <c r="D290" s="2"/>
      <c r="E290" s="2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23.25" customHeight="1">
      <c r="A291" s="2"/>
      <c r="B291" s="2"/>
      <c r="C291" s="27"/>
      <c r="D291" s="2"/>
      <c r="E291" s="2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23.25" customHeight="1">
      <c r="A292" s="2"/>
      <c r="B292" s="2"/>
      <c r="C292" s="27"/>
      <c r="D292" s="2"/>
      <c r="E292" s="2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23.25" customHeight="1">
      <c r="A293" s="2"/>
      <c r="B293" s="2"/>
      <c r="C293" s="27"/>
      <c r="D293" s="2"/>
      <c r="E293" s="2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23.25" customHeight="1">
      <c r="A294" s="2"/>
      <c r="B294" s="2"/>
      <c r="C294" s="27"/>
      <c r="D294" s="2"/>
      <c r="E294" s="2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23.25" customHeight="1">
      <c r="A295" s="2"/>
      <c r="B295" s="2"/>
      <c r="C295" s="27"/>
      <c r="D295" s="2"/>
      <c r="E295" s="2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23.25" customHeight="1">
      <c r="A296" s="2"/>
      <c r="B296" s="2"/>
      <c r="C296" s="27"/>
      <c r="D296" s="2"/>
      <c r="E296" s="2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23.25" customHeight="1">
      <c r="A297" s="2"/>
      <c r="B297" s="2"/>
      <c r="C297" s="27"/>
      <c r="D297" s="2"/>
      <c r="E297" s="2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23.25" customHeight="1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</row>
    <row r="299" spans="1:28" ht="23.25" customHeight="1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</row>
    <row r="300" spans="1:28" ht="23.25" customHeight="1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</row>
    <row r="301" spans="1:28" ht="23.25" customHeight="1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</row>
    <row r="302" spans="1:28" ht="23.25" customHeight="1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</row>
    <row r="303" spans="1:28" ht="23.25" customHeight="1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</row>
    <row r="304" spans="1:28" ht="23.25" customHeight="1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</row>
    <row r="305" spans="1:28" ht="23.25" customHeight="1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</row>
    <row r="306" spans="1:28" ht="23.25" customHeight="1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</row>
    <row r="307" spans="1:28" ht="23.25" customHeight="1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</row>
    <row r="308" spans="1:28" ht="23.25" customHeight="1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</row>
    <row r="309" spans="1:28" ht="23.25" customHeight="1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</row>
    <row r="310" spans="1:28" ht="23.25" customHeight="1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</row>
    <row r="311" spans="1:28" ht="23.25" customHeight="1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</row>
    <row r="312" spans="1:28" ht="23.25" customHeight="1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</row>
    <row r="313" spans="1:28" ht="23.25" customHeight="1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</row>
    <row r="314" spans="1:28" ht="23.25" customHeight="1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</row>
    <row r="315" spans="1:28" ht="23.25" customHeight="1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</row>
    <row r="316" spans="1:28" ht="23.25" customHeight="1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</row>
    <row r="317" spans="1:28" ht="23.25" customHeight="1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</row>
    <row r="318" spans="1:28" ht="23.25" customHeight="1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</row>
    <row r="319" spans="1:28" ht="23.25" customHeight="1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</row>
    <row r="320" spans="1:28" ht="23.25" customHeight="1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</row>
    <row r="321" spans="1:28" ht="23.25" customHeight="1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</row>
    <row r="322" spans="1:28" ht="23.25" customHeight="1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</row>
    <row r="323" spans="1:28" ht="23.25" customHeight="1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</row>
    <row r="324" spans="1:28" ht="23.25" customHeight="1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</row>
    <row r="325" spans="1:28" ht="23.25" customHeight="1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</row>
    <row r="326" spans="1:28" ht="23.25" customHeight="1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</row>
    <row r="327" spans="1:28" ht="23.25" customHeight="1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</row>
    <row r="328" spans="1:28" ht="23.25" customHeight="1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</row>
    <row r="329" spans="1:28" ht="23.25" customHeight="1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</row>
    <row r="330" spans="1:28" ht="23.25" customHeight="1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</row>
    <row r="331" spans="1:28" ht="23.25" customHeight="1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</row>
    <row r="332" spans="1:28" ht="23.25" customHeight="1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</row>
    <row r="333" spans="1:28" ht="23.25" customHeight="1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</row>
    <row r="334" spans="1:28" ht="23.25" customHeight="1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</row>
    <row r="335" spans="1:28" ht="23.25" customHeight="1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</row>
    <row r="336" spans="1:28" ht="23.25" customHeight="1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</row>
    <row r="337" spans="1:28" ht="23.25" customHeight="1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</row>
    <row r="338" spans="1:28" ht="23.25" customHeight="1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</row>
    <row r="339" spans="1:28" ht="23.25" customHeight="1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</row>
    <row r="340" spans="1:28" ht="23.25" customHeight="1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</row>
    <row r="341" spans="1:28" ht="23.25" customHeight="1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</row>
    <row r="342" spans="1:28" ht="23.25" customHeight="1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</row>
    <row r="343" spans="1:28" ht="23.25" customHeight="1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</row>
    <row r="344" spans="1:28" ht="23.25" customHeight="1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</row>
    <row r="345" spans="1:28" ht="23.25" customHeight="1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</row>
    <row r="346" spans="1:28" ht="23.25" customHeight="1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</row>
    <row r="347" spans="1:28" ht="23.25" customHeight="1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</row>
    <row r="348" spans="1:28" ht="23.25" customHeight="1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</row>
    <row r="349" spans="1:28" ht="23.25" customHeight="1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</row>
    <row r="350" spans="1:28" ht="23.25" customHeight="1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</row>
    <row r="351" spans="1:28" ht="23.25" customHeight="1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</row>
    <row r="352" spans="1:28" ht="23.25" customHeight="1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</row>
    <row r="353" spans="1:28" ht="23.25" customHeight="1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</row>
    <row r="354" spans="1:28" ht="23.25" customHeight="1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</row>
    <row r="355" spans="1:28" ht="23.25" customHeight="1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</row>
    <row r="356" spans="1:28" ht="23.25" customHeight="1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</row>
    <row r="357" spans="1:28" ht="23.25" customHeight="1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</row>
    <row r="358" spans="1:28" ht="23.25" customHeight="1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</row>
    <row r="359" spans="1:28" ht="23.25" customHeight="1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</row>
    <row r="360" spans="1:28" ht="23.25" customHeight="1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</row>
    <row r="361" spans="1:28" ht="23.25" customHeight="1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</row>
    <row r="362" spans="1:28" ht="23.25" customHeight="1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</row>
    <row r="363" spans="1:28" ht="23.25" customHeight="1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</row>
    <row r="364" spans="1:28" ht="23.25" customHeight="1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</row>
    <row r="365" spans="1:28" ht="23.25" customHeight="1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</row>
    <row r="366" spans="1:28" ht="23.25" customHeight="1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</row>
    <row r="367" spans="1:28" ht="23.25" customHeight="1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</row>
    <row r="368" spans="1:28" ht="23.25" customHeight="1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</row>
    <row r="369" spans="1:28" ht="23.25" customHeight="1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  <c r="AA369" s="121"/>
      <c r="AB369" s="121"/>
    </row>
    <row r="370" spans="1:28" ht="23.25" customHeight="1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  <c r="AA370" s="121"/>
      <c r="AB370" s="121"/>
    </row>
    <row r="371" spans="1:28" ht="23.25" customHeight="1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</row>
    <row r="372" spans="1:28" ht="23.25" customHeight="1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  <c r="AA372" s="121"/>
      <c r="AB372" s="121"/>
    </row>
    <row r="373" spans="1:28" ht="23.25" customHeight="1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  <c r="AA373" s="121"/>
      <c r="AB373" s="121"/>
    </row>
    <row r="374" spans="1:28" ht="23.25" customHeight="1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  <c r="AA374" s="121"/>
      <c r="AB374" s="121"/>
    </row>
    <row r="375" spans="1:28" ht="23.25" customHeight="1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  <c r="AA375" s="121"/>
      <c r="AB375" s="121"/>
    </row>
    <row r="376" spans="1:28" ht="23.25" customHeight="1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  <c r="AA376" s="121"/>
      <c r="AB376" s="121"/>
    </row>
    <row r="377" spans="1:28" ht="23.25" customHeight="1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  <c r="AA377" s="121"/>
      <c r="AB377" s="121"/>
    </row>
    <row r="378" spans="1:28" ht="23.25" customHeight="1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</row>
    <row r="379" spans="1:28" ht="23.25" customHeight="1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  <c r="AA379" s="121"/>
      <c r="AB379" s="121"/>
    </row>
    <row r="380" spans="1:28" ht="23.25" customHeight="1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  <c r="AA380" s="121"/>
      <c r="AB380" s="121"/>
    </row>
    <row r="381" spans="1:28" ht="23.25" customHeight="1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  <c r="AA381" s="121"/>
      <c r="AB381" s="121"/>
    </row>
    <row r="382" spans="1:28" ht="23.25" customHeight="1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  <c r="AA382" s="121"/>
      <c r="AB382" s="121"/>
    </row>
    <row r="383" spans="1:28" ht="23.25" customHeight="1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1"/>
      <c r="AB383" s="121"/>
    </row>
    <row r="384" spans="1:28" ht="23.25" customHeight="1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  <c r="AA384" s="121"/>
      <c r="AB384" s="121"/>
    </row>
    <row r="385" spans="1:28" ht="23.25" customHeight="1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</row>
    <row r="386" spans="1:28" ht="23.25" customHeight="1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</row>
    <row r="387" spans="1:28" ht="23.25" customHeight="1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  <c r="AA387" s="121"/>
      <c r="AB387" s="121"/>
    </row>
    <row r="388" spans="1:28" ht="23.25" customHeight="1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  <c r="AA388" s="121"/>
      <c r="AB388" s="121"/>
    </row>
    <row r="389" spans="1:28" ht="23.25" customHeight="1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</row>
    <row r="390" spans="1:28" ht="23.25" customHeight="1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  <c r="AA390" s="121"/>
      <c r="AB390" s="121"/>
    </row>
    <row r="391" spans="1:28" ht="23.25" customHeight="1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1"/>
    </row>
    <row r="392" spans="1:28" ht="23.25" customHeight="1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</row>
    <row r="393" spans="1:28" ht="23.25" customHeight="1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</row>
    <row r="394" spans="1:28" ht="23.25" customHeight="1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  <c r="AA394" s="121"/>
      <c r="AB394" s="121"/>
    </row>
    <row r="395" spans="1:28" ht="23.25" customHeight="1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  <c r="AA395" s="121"/>
      <c r="AB395" s="121"/>
    </row>
    <row r="396" spans="1:28" ht="23.25" customHeight="1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  <c r="AA396" s="121"/>
      <c r="AB396" s="121"/>
    </row>
    <row r="397" spans="1:28" ht="23.25" customHeight="1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  <c r="AA397" s="121"/>
      <c r="AB397" s="121"/>
    </row>
    <row r="398" spans="1:28" ht="23.25" customHeight="1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  <c r="AA398" s="121"/>
      <c r="AB398" s="121"/>
    </row>
    <row r="399" spans="1:28" ht="23.25" customHeight="1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  <c r="AA399" s="121"/>
      <c r="AB399" s="121"/>
    </row>
    <row r="400" spans="1:28" ht="23.25" customHeight="1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  <c r="AA400" s="121"/>
      <c r="AB400" s="121"/>
    </row>
    <row r="401" spans="1:28" ht="23.25" customHeight="1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</row>
    <row r="402" spans="1:28" ht="23.25" customHeight="1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</row>
    <row r="403" spans="1:28" ht="23.25" customHeight="1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  <c r="AA403" s="121"/>
      <c r="AB403" s="121"/>
    </row>
    <row r="404" spans="1:28" ht="23.25" customHeight="1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  <c r="AA404" s="121"/>
      <c r="AB404" s="121"/>
    </row>
    <row r="405" spans="1:28" ht="23.25" customHeight="1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  <c r="AA405" s="121"/>
      <c r="AB405" s="121"/>
    </row>
    <row r="406" spans="1:28" ht="23.25" customHeight="1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</row>
    <row r="407" spans="1:28" ht="23.25" customHeight="1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  <c r="AA407" s="121"/>
      <c r="AB407" s="121"/>
    </row>
    <row r="408" spans="1:28" ht="23.25" customHeight="1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</row>
    <row r="409" spans="1:28" ht="23.25" customHeight="1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  <c r="AA409" s="121"/>
      <c r="AB409" s="121"/>
    </row>
    <row r="410" spans="1:28" ht="23.25" customHeight="1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  <c r="AA410" s="121"/>
      <c r="AB410" s="121"/>
    </row>
    <row r="411" spans="1:28" ht="23.25" customHeight="1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  <c r="AA411" s="121"/>
      <c r="AB411" s="121"/>
    </row>
    <row r="412" spans="1:28" ht="23.25" customHeight="1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  <c r="AA412" s="121"/>
      <c r="AB412" s="121"/>
    </row>
    <row r="413" spans="1:28" ht="23.25" customHeight="1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</row>
    <row r="414" spans="1:28" ht="23.25" customHeight="1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  <c r="AA414" s="121"/>
      <c r="AB414" s="121"/>
    </row>
    <row r="415" spans="1:28" ht="23.25" customHeight="1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  <c r="AA415" s="121"/>
      <c r="AB415" s="121"/>
    </row>
    <row r="416" spans="1:28" ht="23.25" customHeight="1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  <c r="AA416" s="121"/>
      <c r="AB416" s="121"/>
    </row>
    <row r="417" spans="1:28" ht="23.25" customHeight="1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  <c r="AA417" s="121"/>
      <c r="AB417" s="121"/>
    </row>
    <row r="418" spans="1:28" ht="23.25" customHeight="1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  <c r="AA418" s="121"/>
      <c r="AB418" s="121"/>
    </row>
    <row r="419" spans="1:28" ht="23.25" customHeight="1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  <c r="AA419" s="121"/>
      <c r="AB419" s="121"/>
    </row>
    <row r="420" spans="1:28" ht="23.25" customHeight="1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  <c r="AA420" s="121"/>
      <c r="AB420" s="121"/>
    </row>
    <row r="421" spans="1:28" ht="23.25" customHeight="1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  <c r="AA421" s="121"/>
      <c r="AB421" s="121"/>
    </row>
    <row r="422" spans="1:28" ht="23.25" customHeight="1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  <c r="AA422" s="121"/>
      <c r="AB422" s="121"/>
    </row>
    <row r="423" spans="1:28" ht="23.25" customHeight="1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  <c r="AA423" s="121"/>
      <c r="AB423" s="121"/>
    </row>
    <row r="424" spans="1:28" ht="23.25" customHeight="1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  <c r="AA424" s="121"/>
      <c r="AB424" s="121"/>
    </row>
    <row r="425" spans="1:28" ht="23.25" customHeight="1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  <c r="AA425" s="121"/>
      <c r="AB425" s="121"/>
    </row>
    <row r="426" spans="1:28" ht="23.25" customHeight="1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  <c r="AA426" s="121"/>
      <c r="AB426" s="121"/>
    </row>
    <row r="427" spans="1:28" ht="23.25" customHeight="1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  <c r="AA427" s="121"/>
      <c r="AB427" s="121"/>
    </row>
    <row r="428" spans="1:28" ht="23.25" customHeight="1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  <c r="AA428" s="121"/>
      <c r="AB428" s="121"/>
    </row>
    <row r="429" spans="1:28" ht="23.25" customHeight="1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  <c r="AA429" s="121"/>
      <c r="AB429" s="121"/>
    </row>
    <row r="430" spans="1:28" ht="23.25" customHeight="1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  <c r="AA430" s="121"/>
      <c r="AB430" s="121"/>
    </row>
    <row r="431" spans="1:28" ht="23.25" customHeight="1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  <c r="AA431" s="121"/>
      <c r="AB431" s="121"/>
    </row>
    <row r="432" spans="1:28" ht="23.25" customHeight="1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  <c r="AA432" s="121"/>
      <c r="AB432" s="121"/>
    </row>
    <row r="433" spans="1:28" ht="23.25" customHeight="1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  <c r="AA433" s="121"/>
      <c r="AB433" s="121"/>
    </row>
    <row r="434" spans="1:28" ht="23.25" customHeight="1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  <c r="AA434" s="121"/>
      <c r="AB434" s="121"/>
    </row>
    <row r="435" spans="1:28" ht="23.25" customHeight="1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  <c r="AA435" s="121"/>
      <c r="AB435" s="121"/>
    </row>
    <row r="436" spans="1:28" ht="23.25" customHeight="1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</row>
    <row r="437" spans="1:28" ht="23.25" customHeight="1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</row>
    <row r="438" spans="1:28" ht="23.25" customHeight="1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</row>
    <row r="439" spans="1:28" ht="23.25" customHeight="1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</row>
    <row r="440" spans="1:28" ht="23.25" customHeight="1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  <c r="Y440" s="121"/>
      <c r="Z440" s="121"/>
      <c r="AA440" s="121"/>
      <c r="AB440" s="121"/>
    </row>
    <row r="441" spans="1:28" ht="23.25" customHeight="1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  <c r="AA441" s="121"/>
      <c r="AB441" s="121"/>
    </row>
    <row r="442" spans="1:28" ht="23.25" customHeight="1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  <c r="AA442" s="121"/>
      <c r="AB442" s="121"/>
    </row>
    <row r="443" spans="1:28" ht="23.25" customHeight="1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  <c r="AA443" s="121"/>
      <c r="AB443" s="121"/>
    </row>
    <row r="444" spans="1:28" ht="23.25" customHeight="1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  <c r="AA444" s="121"/>
      <c r="AB444" s="121"/>
    </row>
    <row r="445" spans="1:28" ht="23.25" customHeight="1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</row>
    <row r="446" spans="1:28" ht="23.25" customHeight="1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  <c r="AA446" s="121"/>
      <c r="AB446" s="121"/>
    </row>
    <row r="447" spans="1:28" ht="23.25" customHeight="1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  <c r="AA447" s="121"/>
      <c r="AB447" s="121"/>
    </row>
    <row r="448" spans="1:28" ht="23.25" customHeight="1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  <c r="AA448" s="121"/>
      <c r="AB448" s="121"/>
    </row>
    <row r="449" spans="1:28" ht="23.25" customHeight="1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  <c r="AA449" s="121"/>
      <c r="AB449" s="121"/>
    </row>
    <row r="450" spans="1:28" ht="23.25" customHeight="1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  <c r="AA450" s="121"/>
      <c r="AB450" s="121"/>
    </row>
    <row r="451" spans="1:28" ht="23.25" customHeight="1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  <c r="AA451" s="121"/>
      <c r="AB451" s="121"/>
    </row>
    <row r="452" spans="1:28" ht="23.25" customHeight="1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</row>
    <row r="453" spans="1:28" ht="23.25" customHeight="1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  <c r="AA453" s="121"/>
      <c r="AB453" s="121"/>
    </row>
    <row r="454" spans="1:28" ht="23.25" customHeight="1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  <c r="AA454" s="121"/>
      <c r="AB454" s="121"/>
    </row>
    <row r="455" spans="1:28" ht="23.25" customHeight="1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  <c r="AA455" s="121"/>
      <c r="AB455" s="121"/>
    </row>
    <row r="456" spans="1:28" ht="23.25" customHeight="1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  <c r="AA456" s="121"/>
      <c r="AB456" s="121"/>
    </row>
    <row r="457" spans="1:28" ht="23.25" customHeight="1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  <c r="AA457" s="121"/>
      <c r="AB457" s="121"/>
    </row>
    <row r="458" spans="1:28" ht="23.25" customHeight="1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  <c r="AA458" s="121"/>
      <c r="AB458" s="121"/>
    </row>
    <row r="459" spans="1:28" ht="23.25" customHeight="1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  <c r="AA459" s="121"/>
      <c r="AB459" s="121"/>
    </row>
    <row r="460" spans="1:28" ht="23.25" customHeight="1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  <c r="AA460" s="121"/>
      <c r="AB460" s="121"/>
    </row>
    <row r="461" spans="1:28" ht="23.25" customHeight="1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  <c r="AA461" s="121"/>
      <c r="AB461" s="121"/>
    </row>
    <row r="462" spans="1:28" ht="23.25" customHeight="1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</row>
    <row r="463" spans="1:28" ht="23.25" customHeight="1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  <c r="AA463" s="121"/>
      <c r="AB463" s="121"/>
    </row>
    <row r="464" spans="1:28" ht="23.25" customHeight="1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  <c r="AA464" s="121"/>
      <c r="AB464" s="121"/>
    </row>
    <row r="465" spans="1:28" ht="23.25" customHeight="1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  <c r="AA465" s="121"/>
      <c r="AB465" s="121"/>
    </row>
    <row r="466" spans="1:28" ht="23.25" customHeight="1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  <c r="AA466" s="121"/>
      <c r="AB466" s="121"/>
    </row>
    <row r="467" spans="1:28" ht="23.25" customHeight="1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  <c r="AA467" s="121"/>
      <c r="AB467" s="121"/>
    </row>
    <row r="468" spans="1:28" ht="23.25" customHeight="1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  <c r="AA468" s="121"/>
      <c r="AB468" s="121"/>
    </row>
    <row r="469" spans="1:28" ht="23.25" customHeight="1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  <c r="AA469" s="121"/>
      <c r="AB469" s="121"/>
    </row>
    <row r="470" spans="1:28" ht="23.25" customHeight="1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  <c r="AA470" s="121"/>
      <c r="AB470" s="121"/>
    </row>
    <row r="471" spans="1:28" ht="23.25" customHeight="1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</row>
    <row r="472" spans="1:28" ht="23.25" customHeight="1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</row>
    <row r="473" spans="1:28" ht="23.25" customHeight="1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</row>
    <row r="474" spans="1:28" ht="23.25" customHeight="1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  <c r="AA474" s="121"/>
      <c r="AB474" s="121"/>
    </row>
    <row r="475" spans="1:28" ht="23.25" customHeight="1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  <c r="AA475" s="121"/>
      <c r="AB475" s="121"/>
    </row>
    <row r="476" spans="1:28" ht="23.25" customHeight="1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  <c r="AA476" s="121"/>
      <c r="AB476" s="121"/>
    </row>
    <row r="477" spans="1:28" ht="23.25" customHeight="1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  <c r="AA477" s="121"/>
      <c r="AB477" s="121"/>
    </row>
    <row r="478" spans="1:28" ht="23.25" customHeight="1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  <c r="AA478" s="121"/>
      <c r="AB478" s="121"/>
    </row>
    <row r="479" spans="1:28" ht="23.25" customHeight="1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  <c r="AA479" s="121"/>
      <c r="AB479" s="121"/>
    </row>
    <row r="480" spans="1:28" ht="23.25" customHeight="1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  <c r="AA480" s="121"/>
      <c r="AB480" s="121"/>
    </row>
    <row r="481" spans="1:28" ht="23.25" customHeight="1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  <c r="AA481" s="121"/>
      <c r="AB481" s="121"/>
    </row>
    <row r="482" spans="1:28" ht="23.25" customHeight="1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  <c r="AA482" s="121"/>
      <c r="AB482" s="121"/>
    </row>
    <row r="483" spans="1:28" ht="23.25" customHeight="1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  <c r="AA483" s="121"/>
      <c r="AB483" s="121"/>
    </row>
    <row r="484" spans="1:28" ht="23.25" customHeight="1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  <c r="AA484" s="121"/>
      <c r="AB484" s="121"/>
    </row>
    <row r="485" spans="1:28" ht="23.25" customHeight="1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</row>
    <row r="486" spans="1:28" ht="23.25" customHeight="1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  <c r="AA486" s="121"/>
      <c r="AB486" s="121"/>
    </row>
    <row r="487" spans="1:28" ht="23.25" customHeight="1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  <c r="AA487" s="121"/>
      <c r="AB487" s="121"/>
    </row>
    <row r="488" spans="1:28" ht="23.25" customHeight="1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  <c r="AA488" s="121"/>
      <c r="AB488" s="121"/>
    </row>
    <row r="489" spans="1:28" ht="23.25" customHeight="1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  <c r="AA489" s="121"/>
      <c r="AB489" s="121"/>
    </row>
    <row r="490" spans="1:28" ht="23.25" customHeight="1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  <c r="AA490" s="121"/>
      <c r="AB490" s="121"/>
    </row>
    <row r="491" spans="1:28" ht="23.25" customHeight="1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  <c r="AB491" s="121"/>
    </row>
    <row r="492" spans="1:28" ht="23.25" customHeight="1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  <c r="AB492" s="121"/>
    </row>
    <row r="493" spans="1:28" ht="23.25" customHeight="1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  <c r="AB493" s="121"/>
    </row>
    <row r="494" spans="1:28" ht="23.25" customHeight="1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  <c r="AB494" s="121"/>
    </row>
    <row r="495" spans="1:28" ht="23.25" customHeight="1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  <c r="AB495" s="121"/>
    </row>
    <row r="496" spans="1:28" ht="23.25" customHeight="1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  <c r="AB496" s="121"/>
    </row>
    <row r="497" spans="1:28" ht="23.25" customHeight="1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</row>
    <row r="498" spans="1:28" ht="23.25" customHeight="1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  <c r="AB498" s="121"/>
    </row>
    <row r="499" spans="1:28" ht="23.25" customHeight="1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  <c r="AB499" s="121"/>
    </row>
    <row r="500" spans="1:28" ht="23.25" customHeight="1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  <c r="AA500" s="121"/>
      <c r="AB500" s="121"/>
    </row>
    <row r="501" spans="1:28" ht="23.25" customHeight="1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  <c r="AB501" s="121"/>
    </row>
    <row r="502" spans="1:28" ht="23.25" customHeight="1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  <c r="AB502" s="121"/>
    </row>
    <row r="503" spans="1:28" ht="23.25" customHeight="1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  <c r="AB503" s="121"/>
    </row>
    <row r="504" spans="1:28" ht="23.25" customHeight="1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  <c r="AB504" s="121"/>
    </row>
    <row r="505" spans="1:28" ht="23.25" customHeight="1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  <c r="AB505" s="121"/>
    </row>
    <row r="506" spans="1:28" ht="23.25" customHeight="1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  <c r="AB506" s="121"/>
    </row>
    <row r="507" spans="1:28" ht="23.25" customHeight="1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</row>
    <row r="508" spans="1:28" ht="23.25" customHeight="1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</row>
    <row r="509" spans="1:28" ht="23.25" customHeight="1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</row>
    <row r="510" spans="1:28" ht="23.25" customHeight="1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  <c r="AB510" s="121"/>
    </row>
    <row r="511" spans="1:28" ht="23.25" customHeight="1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  <c r="AB511" s="121"/>
    </row>
    <row r="512" spans="1:28" ht="23.25" customHeight="1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  <c r="AB512" s="121"/>
    </row>
    <row r="513" spans="1:28" ht="23.25" customHeight="1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  <c r="AA513" s="121"/>
      <c r="AB513" s="121"/>
    </row>
    <row r="514" spans="1:28" ht="23.25" customHeight="1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  <c r="AB514" s="121"/>
    </row>
    <row r="515" spans="1:28" ht="23.25" customHeight="1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  <c r="AB515" s="121"/>
    </row>
    <row r="516" spans="1:28" ht="23.25" customHeight="1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  <c r="AB516" s="121"/>
    </row>
    <row r="517" spans="1:28" ht="23.25" customHeight="1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</row>
    <row r="518" spans="1:28" ht="23.25" customHeight="1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</row>
    <row r="519" spans="1:28" ht="23.25" customHeight="1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</row>
    <row r="520" spans="1:28" ht="23.25" customHeight="1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  <c r="AB520" s="121"/>
    </row>
    <row r="521" spans="1:28" ht="23.25" customHeight="1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  <c r="AB521" s="121"/>
    </row>
    <row r="522" spans="1:28" ht="23.25" customHeight="1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  <c r="AB522" s="121"/>
    </row>
    <row r="523" spans="1:28" ht="23.25" customHeight="1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  <c r="AB523" s="121"/>
    </row>
    <row r="524" spans="1:28" ht="23.25" customHeight="1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  <c r="AB524" s="121"/>
    </row>
    <row r="525" spans="1:28" ht="23.25" customHeight="1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  <c r="AB525" s="121"/>
    </row>
    <row r="526" spans="1:28" ht="23.25" customHeight="1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  <c r="AA526" s="121"/>
      <c r="AB526" s="121"/>
    </row>
    <row r="527" spans="1:28" ht="23.25" customHeight="1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  <c r="AB527" s="121"/>
    </row>
    <row r="528" spans="1:28" ht="23.25" customHeight="1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  <c r="AB528" s="121"/>
    </row>
    <row r="529" spans="1:28" ht="23.25" customHeight="1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  <c r="AB529" s="121"/>
    </row>
    <row r="530" spans="1:28" ht="23.25" customHeight="1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  <c r="AB530" s="121"/>
    </row>
    <row r="531" spans="1:28" ht="23.25" customHeight="1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  <c r="AB531" s="121"/>
    </row>
    <row r="532" spans="1:28" ht="23.25" customHeight="1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  <c r="AB532" s="121"/>
    </row>
    <row r="533" spans="1:28" ht="23.25" customHeight="1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  <c r="AB533" s="121"/>
    </row>
    <row r="534" spans="1:28" ht="23.25" customHeight="1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  <c r="AB534" s="121"/>
    </row>
    <row r="535" spans="1:28" ht="23.25" customHeight="1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  <c r="AB535" s="121"/>
    </row>
    <row r="536" spans="1:28" ht="23.25" customHeight="1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  <c r="AB536" s="121"/>
    </row>
    <row r="537" spans="1:28" ht="23.25" customHeight="1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  <c r="AB537" s="121"/>
    </row>
    <row r="538" spans="1:28" ht="23.25" customHeight="1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  <c r="AB538" s="121"/>
    </row>
    <row r="539" spans="1:28" ht="23.25" customHeight="1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  <c r="AA539" s="121"/>
      <c r="AB539" s="121"/>
    </row>
    <row r="540" spans="1:28" ht="23.25" customHeight="1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  <c r="AB540" s="121"/>
    </row>
    <row r="541" spans="1:28" ht="23.25" customHeight="1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  <c r="AB541" s="121"/>
    </row>
    <row r="542" spans="1:28" ht="23.25" customHeight="1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  <c r="AB542" s="121"/>
    </row>
    <row r="543" spans="1:28" ht="23.25" customHeight="1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  <c r="AB543" s="121"/>
    </row>
    <row r="544" spans="1:28" ht="23.25" customHeight="1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  <c r="AB544" s="121"/>
    </row>
    <row r="545" spans="1:28" ht="23.25" customHeight="1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  <c r="AB545" s="121"/>
    </row>
    <row r="546" spans="1:28" ht="23.25" customHeight="1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  <c r="AB546" s="121"/>
    </row>
    <row r="547" spans="1:28" ht="23.25" customHeight="1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  <c r="AB547" s="121"/>
    </row>
    <row r="548" spans="1:28" ht="23.25" customHeight="1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  <c r="AB548" s="121"/>
    </row>
    <row r="549" spans="1:28" ht="23.25" customHeight="1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  <c r="AB549" s="121"/>
    </row>
    <row r="550" spans="1:28" ht="23.25" customHeight="1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  <c r="AB550" s="121"/>
    </row>
    <row r="551" spans="1:28" ht="23.25" customHeight="1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  <c r="AB551" s="121"/>
    </row>
    <row r="552" spans="1:28" ht="23.25" customHeight="1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  <c r="AA552" s="121"/>
      <c r="AB552" s="121"/>
    </row>
    <row r="553" spans="1:28" ht="23.25" customHeight="1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  <c r="AB553" s="121"/>
    </row>
    <row r="554" spans="1:28" ht="23.25" customHeight="1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  <c r="AB554" s="121"/>
    </row>
    <row r="555" spans="1:28" ht="23.25" customHeight="1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  <c r="AB555" s="121"/>
    </row>
    <row r="556" spans="1:28" ht="23.25" customHeight="1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  <c r="AB556" s="121"/>
    </row>
    <row r="557" spans="1:28" ht="23.25" customHeight="1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</row>
    <row r="558" spans="1:28" ht="23.25" customHeight="1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</row>
    <row r="559" spans="1:28" ht="23.25" customHeight="1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</row>
    <row r="560" spans="1:28" ht="23.25" customHeight="1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</row>
    <row r="561" spans="1:28" ht="23.25" customHeight="1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  <c r="AB561" s="121"/>
    </row>
    <row r="562" spans="1:28" ht="23.25" customHeight="1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  <c r="AB562" s="121"/>
    </row>
    <row r="563" spans="1:28" ht="23.25" customHeight="1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  <c r="AB563" s="121"/>
    </row>
    <row r="564" spans="1:28" ht="23.25" customHeight="1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  <c r="AB564" s="121"/>
    </row>
    <row r="565" spans="1:28" ht="23.25" customHeight="1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  <c r="AA565" s="121"/>
      <c r="AB565" s="121"/>
    </row>
    <row r="566" spans="1:28" ht="23.25" customHeight="1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  <c r="AB566" s="121"/>
    </row>
    <row r="567" spans="1:28" ht="23.25" customHeight="1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  <c r="AB567" s="121"/>
    </row>
    <row r="568" spans="1:28" ht="23.25" customHeight="1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  <c r="AB568" s="121"/>
    </row>
    <row r="569" spans="1:28" ht="23.25" customHeight="1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  <c r="AB569" s="121"/>
    </row>
    <row r="570" spans="1:28" ht="23.25" customHeight="1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  <c r="AB570" s="121"/>
    </row>
    <row r="571" spans="1:28" ht="23.25" customHeight="1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  <c r="AB571" s="121"/>
    </row>
    <row r="572" spans="1:28" ht="23.25" customHeight="1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  <c r="AB572" s="121"/>
    </row>
    <row r="573" spans="1:28" ht="23.25" customHeight="1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  <c r="AB573" s="121"/>
    </row>
    <row r="574" spans="1:28" ht="23.25" customHeight="1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  <c r="AB574" s="121"/>
    </row>
    <row r="575" spans="1:28" ht="23.25" customHeight="1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  <c r="AB575" s="121"/>
    </row>
    <row r="576" spans="1:28" ht="23.25" customHeight="1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  <c r="AB576" s="121"/>
    </row>
    <row r="577" spans="1:28" ht="23.25" customHeight="1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  <c r="AB577" s="121"/>
    </row>
    <row r="578" spans="1:28" ht="23.25" customHeight="1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  <c r="AA578" s="121"/>
      <c r="AB578" s="121"/>
    </row>
    <row r="579" spans="1:28" ht="23.25" customHeight="1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  <c r="AA579" s="121"/>
      <c r="AB579" s="121"/>
    </row>
    <row r="580" spans="1:28" ht="23.25" customHeight="1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  <c r="AA580" s="121"/>
      <c r="AB580" s="121"/>
    </row>
    <row r="581" spans="1:28" ht="23.25" customHeight="1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  <c r="AA581" s="121"/>
      <c r="AB581" s="121"/>
    </row>
    <row r="582" spans="1:28" ht="23.25" customHeight="1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  <c r="AA582" s="121"/>
      <c r="AB582" s="121"/>
    </row>
    <row r="583" spans="1:28" ht="23.25" customHeight="1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  <c r="AA583" s="121"/>
      <c r="AB583" s="121"/>
    </row>
    <row r="584" spans="1:28" ht="23.25" customHeight="1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  <c r="AA584" s="121"/>
      <c r="AB584" s="121"/>
    </row>
    <row r="585" spans="1:28" ht="23.25" customHeight="1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  <c r="AA585" s="121"/>
      <c r="AB585" s="121"/>
    </row>
    <row r="586" spans="1:28" ht="23.25" customHeight="1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  <c r="AA586" s="121"/>
      <c r="AB586" s="121"/>
    </row>
    <row r="587" spans="1:28" ht="23.25" customHeight="1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  <c r="AA587" s="121"/>
      <c r="AB587" s="121"/>
    </row>
    <row r="588" spans="1:28" ht="23.25" customHeight="1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  <c r="AA588" s="121"/>
      <c r="AB588" s="121"/>
    </row>
    <row r="589" spans="1:28" ht="23.25" customHeight="1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  <c r="AA589" s="121"/>
      <c r="AB589" s="121"/>
    </row>
    <row r="590" spans="1:28" ht="23.25" customHeight="1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  <c r="AA590" s="121"/>
      <c r="AB590" s="121"/>
    </row>
    <row r="591" spans="1:28" ht="23.25" customHeight="1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  <c r="AA591" s="121"/>
      <c r="AB591" s="121"/>
    </row>
    <row r="592" spans="1:28" ht="23.25" customHeight="1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  <c r="AA592" s="121"/>
      <c r="AB592" s="121"/>
    </row>
    <row r="593" spans="1:28" ht="23.25" customHeight="1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  <c r="AA593" s="121"/>
      <c r="AB593" s="121"/>
    </row>
    <row r="594" spans="1:28" ht="23.25" customHeight="1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  <c r="AA594" s="121"/>
      <c r="AB594" s="121"/>
    </row>
    <row r="595" spans="1:28" ht="23.25" customHeight="1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  <c r="AA595" s="121"/>
      <c r="AB595" s="121"/>
    </row>
    <row r="596" spans="1:28" ht="23.25" customHeight="1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  <c r="AA596" s="121"/>
      <c r="AB596" s="121"/>
    </row>
    <row r="597" spans="1:28" ht="23.25" customHeight="1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  <c r="AA597" s="121"/>
      <c r="AB597" s="121"/>
    </row>
    <row r="598" spans="1:28" ht="23.25" customHeight="1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  <c r="AA598" s="121"/>
      <c r="AB598" s="121"/>
    </row>
    <row r="599" spans="1:28" ht="23.25" customHeight="1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  <c r="AA599" s="121"/>
      <c r="AB599" s="121"/>
    </row>
    <row r="600" spans="1:28" ht="23.25" customHeight="1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  <c r="AA600" s="121"/>
      <c r="AB600" s="121"/>
    </row>
    <row r="601" spans="1:28" ht="23.25" customHeight="1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  <c r="AA601" s="121"/>
      <c r="AB601" s="121"/>
    </row>
    <row r="602" spans="1:28" ht="23.25" customHeight="1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  <c r="AA602" s="121"/>
      <c r="AB602" s="121"/>
    </row>
    <row r="603" spans="1:28" ht="23.25" customHeight="1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  <c r="AA603" s="121"/>
      <c r="AB603" s="121"/>
    </row>
    <row r="604" spans="1:28" ht="23.25" customHeight="1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  <c r="AA604" s="121"/>
      <c r="AB604" s="121"/>
    </row>
    <row r="605" spans="1:28" ht="23.25" customHeight="1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  <c r="AA605" s="121"/>
      <c r="AB605" s="121"/>
    </row>
    <row r="606" spans="1:28" ht="23.25" customHeight="1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  <c r="AA606" s="121"/>
      <c r="AB606" s="121"/>
    </row>
    <row r="607" spans="1:28" ht="23.25" customHeight="1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  <c r="AA607" s="121"/>
      <c r="AB607" s="121"/>
    </row>
    <row r="608" spans="1:28" ht="23.25" customHeight="1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  <c r="AA608" s="121"/>
      <c r="AB608" s="121"/>
    </row>
    <row r="609" spans="1:28" ht="23.25" customHeight="1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  <c r="AA609" s="121"/>
      <c r="AB609" s="121"/>
    </row>
    <row r="610" spans="1:28" ht="23.25" customHeight="1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  <c r="AA610" s="121"/>
      <c r="AB610" s="121"/>
    </row>
    <row r="611" spans="1:28" ht="23.25" customHeight="1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  <c r="AA611" s="121"/>
      <c r="AB611" s="121"/>
    </row>
    <row r="612" spans="1:28" ht="23.25" customHeight="1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  <c r="AA612" s="121"/>
      <c r="AB612" s="121"/>
    </row>
    <row r="613" spans="1:28" ht="23.25" customHeight="1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  <c r="AA613" s="121"/>
      <c r="AB613" s="121"/>
    </row>
    <row r="614" spans="1:28" ht="23.25" customHeight="1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  <c r="AA614" s="121"/>
      <c r="AB614" s="121"/>
    </row>
    <row r="615" spans="1:28" ht="23.25" customHeight="1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  <c r="AA615" s="121"/>
      <c r="AB615" s="121"/>
    </row>
    <row r="616" spans="1:28" ht="23.25" customHeight="1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  <c r="AA616" s="121"/>
      <c r="AB616" s="121"/>
    </row>
    <row r="617" spans="1:28" ht="23.25" customHeight="1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  <c r="AA617" s="121"/>
      <c r="AB617" s="121"/>
    </row>
    <row r="618" spans="1:28" ht="23.25" customHeight="1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  <c r="AA618" s="121"/>
      <c r="AB618" s="121"/>
    </row>
    <row r="619" spans="1:28" ht="23.25" customHeight="1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  <c r="AA619" s="121"/>
      <c r="AB619" s="121"/>
    </row>
    <row r="620" spans="1:28" ht="23.25" customHeight="1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  <c r="AA620" s="121"/>
      <c r="AB620" s="121"/>
    </row>
    <row r="621" spans="1:28" ht="23.25" customHeight="1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  <c r="AA621" s="121"/>
      <c r="AB621" s="121"/>
    </row>
    <row r="622" spans="1:28" ht="23.25" customHeight="1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  <c r="AA622" s="121"/>
      <c r="AB622" s="121"/>
    </row>
    <row r="623" spans="1:28" ht="23.25" customHeight="1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  <c r="AA623" s="121"/>
      <c r="AB623" s="121"/>
    </row>
    <row r="624" spans="1:28" ht="23.25" customHeight="1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  <c r="AA624" s="121"/>
      <c r="AB624" s="121"/>
    </row>
    <row r="625" spans="1:28" ht="23.25" customHeight="1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  <c r="AA625" s="121"/>
      <c r="AB625" s="121"/>
    </row>
    <row r="626" spans="1:28" ht="23.25" customHeight="1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21"/>
      <c r="P626" s="121"/>
      <c r="Q626" s="121"/>
      <c r="R626" s="121"/>
      <c r="S626" s="121"/>
      <c r="T626" s="121"/>
      <c r="U626" s="121"/>
      <c r="V626" s="121"/>
      <c r="W626" s="121"/>
      <c r="X626" s="121"/>
      <c r="Y626" s="121"/>
      <c r="Z626" s="121"/>
      <c r="AA626" s="121"/>
      <c r="AB626" s="121"/>
    </row>
    <row r="627" spans="1:28" ht="23.25" customHeight="1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  <c r="AA627" s="121"/>
      <c r="AB627" s="121"/>
    </row>
    <row r="628" spans="1:28" ht="23.25" customHeight="1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  <c r="AA628" s="121"/>
      <c r="AB628" s="121"/>
    </row>
    <row r="629" spans="1:28" ht="23.25" customHeight="1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  <c r="AA629" s="121"/>
      <c r="AB629" s="121"/>
    </row>
    <row r="630" spans="1:28" ht="23.25" customHeight="1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  <c r="AA630" s="121"/>
      <c r="AB630" s="121"/>
    </row>
    <row r="631" spans="1:28" ht="23.25" customHeight="1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  <c r="AA631" s="121"/>
      <c r="AB631" s="121"/>
    </row>
    <row r="632" spans="1:28" ht="23.25" customHeight="1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  <c r="AA632" s="121"/>
      <c r="AB632" s="121"/>
    </row>
    <row r="633" spans="1:28" ht="23.25" customHeight="1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  <c r="AA633" s="121"/>
      <c r="AB633" s="121"/>
    </row>
    <row r="634" spans="1:28" ht="23.25" customHeight="1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  <c r="AA634" s="121"/>
      <c r="AB634" s="121"/>
    </row>
    <row r="635" spans="1:28" ht="23.25" customHeight="1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  <c r="AA635" s="121"/>
      <c r="AB635" s="121"/>
    </row>
    <row r="636" spans="1:28" ht="23.25" customHeight="1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  <c r="AA636" s="121"/>
      <c r="AB636" s="121"/>
    </row>
    <row r="637" spans="1:28" ht="23.25" customHeight="1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  <c r="AA637" s="121"/>
      <c r="AB637" s="121"/>
    </row>
    <row r="638" spans="1:28" ht="23.25" customHeight="1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  <c r="AA638" s="121"/>
      <c r="AB638" s="121"/>
    </row>
    <row r="639" spans="1:28" ht="23.25" customHeight="1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  <c r="AA639" s="121"/>
      <c r="AB639" s="121"/>
    </row>
    <row r="640" spans="1:28" ht="23.25" customHeight="1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21"/>
      <c r="P640" s="121"/>
      <c r="Q640" s="121"/>
      <c r="R640" s="121"/>
      <c r="S640" s="121"/>
      <c r="T640" s="121"/>
      <c r="U640" s="121"/>
      <c r="V640" s="121"/>
      <c r="W640" s="121"/>
      <c r="X640" s="121"/>
      <c r="Y640" s="121"/>
      <c r="Z640" s="121"/>
      <c r="AA640" s="121"/>
      <c r="AB640" s="121"/>
    </row>
    <row r="641" spans="1:28" ht="23.25" customHeight="1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  <c r="AA641" s="121"/>
      <c r="AB641" s="121"/>
    </row>
    <row r="642" spans="1:28" ht="23.25" customHeight="1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  <c r="AA642" s="121"/>
      <c r="AB642" s="121"/>
    </row>
    <row r="643" spans="1:28" ht="23.25" customHeight="1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  <c r="AA643" s="121"/>
      <c r="AB643" s="121"/>
    </row>
    <row r="644" spans="1:28" ht="23.25" customHeight="1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  <c r="AA644" s="121"/>
      <c r="AB644" s="121"/>
    </row>
    <row r="645" spans="1:28" ht="23.25" customHeight="1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  <c r="AA645" s="121"/>
      <c r="AB645" s="121"/>
    </row>
    <row r="646" spans="1:28" ht="23.25" customHeight="1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  <c r="AA646" s="121"/>
      <c r="AB646" s="121"/>
    </row>
    <row r="647" spans="1:28" ht="23.25" customHeight="1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21"/>
      <c r="P647" s="121"/>
      <c r="Q647" s="121"/>
      <c r="R647" s="121"/>
      <c r="S647" s="121"/>
      <c r="T647" s="121"/>
      <c r="U647" s="121"/>
      <c r="V647" s="121"/>
      <c r="W647" s="121"/>
      <c r="X647" s="121"/>
      <c r="Y647" s="121"/>
      <c r="Z647" s="121"/>
      <c r="AA647" s="121"/>
      <c r="AB647" s="121"/>
    </row>
    <row r="648" spans="1:28" ht="23.25" customHeight="1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  <c r="AA648" s="121"/>
      <c r="AB648" s="121"/>
    </row>
    <row r="649" spans="1:28" ht="23.25" customHeight="1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  <c r="AA649" s="121"/>
      <c r="AB649" s="121"/>
    </row>
    <row r="650" spans="1:28" ht="23.25" customHeight="1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  <c r="AA650" s="121"/>
      <c r="AB650" s="121"/>
    </row>
    <row r="651" spans="1:28" ht="23.25" customHeight="1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  <c r="AA651" s="121"/>
      <c r="AB651" s="121"/>
    </row>
    <row r="652" spans="1:28" ht="23.25" customHeight="1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  <c r="AA652" s="121"/>
      <c r="AB652" s="121"/>
    </row>
    <row r="653" spans="1:28" ht="23.25" customHeight="1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  <c r="AA653" s="121"/>
      <c r="AB653" s="121"/>
    </row>
    <row r="654" spans="1:28" ht="23.25" customHeight="1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  <c r="AA654" s="121"/>
      <c r="AB654" s="121"/>
    </row>
    <row r="655" spans="1:28" ht="23.25" customHeight="1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  <c r="AA655" s="121"/>
      <c r="AB655" s="121"/>
    </row>
    <row r="656" spans="1:28" ht="23.25" customHeight="1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  <c r="AA656" s="121"/>
      <c r="AB656" s="121"/>
    </row>
    <row r="657" spans="1:28" ht="23.25" customHeight="1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  <c r="AA657" s="121"/>
      <c r="AB657" s="121"/>
    </row>
    <row r="658" spans="1:28" ht="23.25" customHeight="1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  <c r="AA658" s="121"/>
      <c r="AB658" s="121"/>
    </row>
    <row r="659" spans="1:28" ht="23.25" customHeight="1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  <c r="AA659" s="121"/>
      <c r="AB659" s="121"/>
    </row>
    <row r="660" spans="1:28" ht="23.25" customHeight="1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  <c r="AA660" s="121"/>
      <c r="AB660" s="121"/>
    </row>
    <row r="661" spans="1:28" ht="23.25" customHeight="1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  <c r="AA661" s="121"/>
      <c r="AB661" s="121"/>
    </row>
    <row r="662" spans="1:28" ht="23.25" customHeight="1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  <c r="AA662" s="121"/>
      <c r="AB662" s="121"/>
    </row>
    <row r="663" spans="1:28" ht="23.25" customHeight="1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  <c r="AA663" s="121"/>
      <c r="AB663" s="121"/>
    </row>
    <row r="664" spans="1:28" ht="23.25" customHeight="1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21"/>
      <c r="P664" s="121"/>
      <c r="Q664" s="121"/>
      <c r="R664" s="121"/>
      <c r="S664" s="121"/>
      <c r="T664" s="121"/>
      <c r="U664" s="121"/>
      <c r="V664" s="121"/>
      <c r="W664" s="121"/>
      <c r="X664" s="121"/>
      <c r="Y664" s="121"/>
      <c r="Z664" s="121"/>
      <c r="AA664" s="121"/>
      <c r="AB664" s="121"/>
    </row>
    <row r="665" spans="1:28" ht="23.25" customHeight="1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  <c r="AA665" s="121"/>
      <c r="AB665" s="121"/>
    </row>
    <row r="666" spans="1:28" ht="23.25" customHeight="1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  <c r="AA666" s="121"/>
      <c r="AB666" s="121"/>
    </row>
    <row r="667" spans="1:28" ht="23.25" customHeight="1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  <c r="AA667" s="121"/>
      <c r="AB667" s="121"/>
    </row>
    <row r="668" spans="1:28" ht="23.25" customHeight="1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  <c r="AA668" s="121"/>
      <c r="AB668" s="121"/>
    </row>
    <row r="669" spans="1:28" ht="23.25" customHeight="1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  <c r="AA669" s="121"/>
      <c r="AB669" s="121"/>
    </row>
    <row r="670" spans="1:28" ht="23.25" customHeight="1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  <c r="AA670" s="121"/>
      <c r="AB670" s="121"/>
    </row>
    <row r="671" spans="1:28" ht="23.25" customHeight="1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  <c r="AA671" s="121"/>
      <c r="AB671" s="121"/>
    </row>
    <row r="672" spans="1:28" ht="23.25" customHeight="1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  <c r="AA672" s="121"/>
      <c r="AB672" s="121"/>
    </row>
    <row r="673" spans="1:28" ht="23.25" customHeight="1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  <c r="AA673" s="121"/>
      <c r="AB673" s="121"/>
    </row>
    <row r="674" spans="1:28" ht="23.25" customHeight="1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  <c r="AA674" s="121"/>
      <c r="AB674" s="121"/>
    </row>
    <row r="675" spans="1:28" ht="23.25" customHeight="1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  <c r="AA675" s="121"/>
      <c r="AB675" s="121"/>
    </row>
    <row r="676" spans="1:28" ht="23.25" customHeight="1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  <c r="AA676" s="121"/>
      <c r="AB676" s="121"/>
    </row>
    <row r="677" spans="1:28" ht="23.25" customHeight="1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  <c r="AA677" s="121"/>
      <c r="AB677" s="121"/>
    </row>
    <row r="678" spans="1:28" ht="23.25" customHeight="1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  <c r="AA678" s="121"/>
      <c r="AB678" s="121"/>
    </row>
    <row r="679" spans="1:28" ht="23.25" customHeight="1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  <c r="AA679" s="121"/>
      <c r="AB679" s="121"/>
    </row>
    <row r="680" spans="1:28" ht="23.25" customHeight="1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  <c r="AA680" s="121"/>
      <c r="AB680" s="121"/>
    </row>
    <row r="681" spans="1:28" ht="23.25" customHeight="1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  <c r="AA681" s="121"/>
      <c r="AB681" s="121"/>
    </row>
    <row r="682" spans="1:28" ht="23.25" customHeight="1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  <c r="AA682" s="121"/>
      <c r="AB682" s="121"/>
    </row>
    <row r="683" spans="1:28" ht="23.25" customHeight="1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  <c r="AA683" s="121"/>
      <c r="AB683" s="121"/>
    </row>
    <row r="684" spans="1:28" ht="23.25" customHeight="1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  <c r="AA684" s="121"/>
      <c r="AB684" s="121"/>
    </row>
    <row r="685" spans="1:28" ht="23.25" customHeight="1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  <c r="AA685" s="121"/>
      <c r="AB685" s="121"/>
    </row>
    <row r="686" spans="1:28" ht="23.25" customHeight="1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  <c r="AA686" s="121"/>
      <c r="AB686" s="121"/>
    </row>
    <row r="687" spans="1:28" ht="23.25" customHeight="1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  <c r="AA687" s="121"/>
      <c r="AB687" s="121"/>
    </row>
    <row r="688" spans="1:28" ht="23.25" customHeight="1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  <c r="AA688" s="121"/>
      <c r="AB688" s="121"/>
    </row>
    <row r="689" spans="1:28" ht="23.25" customHeight="1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  <c r="AA689" s="121"/>
      <c r="AB689" s="121"/>
    </row>
    <row r="690" spans="1:28" ht="23.25" customHeight="1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  <c r="AA690" s="121"/>
      <c r="AB690" s="121"/>
    </row>
    <row r="691" spans="1:28" ht="23.25" customHeight="1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  <c r="AA691" s="121"/>
      <c r="AB691" s="121"/>
    </row>
    <row r="692" spans="1:28" ht="23.25" customHeight="1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  <c r="AA692" s="121"/>
      <c r="AB692" s="121"/>
    </row>
    <row r="693" spans="1:28" ht="23.25" customHeight="1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  <c r="AA693" s="121"/>
      <c r="AB693" s="121"/>
    </row>
    <row r="694" spans="1:28" ht="23.25" customHeight="1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  <c r="AA694" s="121"/>
      <c r="AB694" s="121"/>
    </row>
    <row r="695" spans="1:28" ht="23.25" customHeight="1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  <c r="AA695" s="121"/>
      <c r="AB695" s="121"/>
    </row>
    <row r="696" spans="1:28" ht="23.25" customHeight="1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  <c r="AA696" s="121"/>
      <c r="AB696" s="121"/>
    </row>
    <row r="697" spans="1:28" ht="23.25" customHeight="1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  <c r="AA697" s="121"/>
      <c r="AB697" s="121"/>
    </row>
    <row r="698" spans="1:28" ht="23.25" customHeight="1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  <c r="AA698" s="121"/>
      <c r="AB698" s="121"/>
    </row>
    <row r="699" spans="1:28" ht="23.25" customHeight="1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  <c r="AA699" s="121"/>
      <c r="AB699" s="121"/>
    </row>
    <row r="700" spans="1:28" ht="23.25" customHeight="1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  <c r="AA700" s="121"/>
      <c r="AB700" s="121"/>
    </row>
    <row r="701" spans="1:28" ht="23.25" customHeight="1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  <c r="AA701" s="121"/>
      <c r="AB701" s="121"/>
    </row>
    <row r="702" spans="1:28" ht="23.25" customHeight="1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  <c r="AA702" s="121"/>
      <c r="AB702" s="121"/>
    </row>
    <row r="703" spans="1:28" ht="23.25" customHeight="1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  <c r="AA703" s="121"/>
      <c r="AB703" s="121"/>
    </row>
    <row r="704" spans="1:28" ht="23.25" customHeight="1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  <c r="AA704" s="121"/>
      <c r="AB704" s="121"/>
    </row>
    <row r="705" spans="1:28" ht="23.25" customHeight="1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  <c r="AA705" s="121"/>
      <c r="AB705" s="121"/>
    </row>
    <row r="706" spans="1:28" ht="23.25" customHeight="1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  <c r="AA706" s="121"/>
      <c r="AB706" s="121"/>
    </row>
    <row r="707" spans="1:28" ht="23.25" customHeight="1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  <c r="AA707" s="121"/>
      <c r="AB707" s="121"/>
    </row>
    <row r="708" spans="1:28" ht="23.25" customHeight="1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  <c r="AA708" s="121"/>
      <c r="AB708" s="121"/>
    </row>
    <row r="709" spans="1:28" ht="23.25" customHeight="1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  <c r="AA709" s="121"/>
      <c r="AB709" s="121"/>
    </row>
    <row r="710" spans="1:28" ht="23.25" customHeight="1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21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  <c r="AA710" s="121"/>
      <c r="AB710" s="121"/>
    </row>
    <row r="711" spans="1:28" ht="23.25" customHeight="1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  <c r="AA711" s="121"/>
      <c r="AB711" s="121"/>
    </row>
    <row r="712" spans="1:28" ht="23.25" customHeight="1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  <c r="AA712" s="121"/>
      <c r="AB712" s="121"/>
    </row>
    <row r="713" spans="1:28" ht="23.25" customHeight="1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  <c r="AA713" s="121"/>
      <c r="AB713" s="121"/>
    </row>
    <row r="714" spans="1:28" ht="23.25" customHeight="1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  <c r="AA714" s="121"/>
      <c r="AB714" s="121"/>
    </row>
    <row r="715" spans="1:28" ht="23.25" customHeight="1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  <c r="AA715" s="121"/>
      <c r="AB715" s="121"/>
    </row>
    <row r="716" spans="1:28" ht="23.25" customHeight="1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  <c r="AA716" s="121"/>
      <c r="AB716" s="121"/>
    </row>
    <row r="717" spans="1:28" ht="23.25" customHeight="1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  <c r="AA717" s="121"/>
      <c r="AB717" s="121"/>
    </row>
    <row r="718" spans="1:28" ht="23.25" customHeight="1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  <c r="AA718" s="121"/>
      <c r="AB718" s="121"/>
    </row>
    <row r="719" spans="1:28" ht="23.25" customHeight="1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  <c r="AA719" s="121"/>
      <c r="AB719" s="121"/>
    </row>
    <row r="720" spans="1:28" ht="23.25" customHeight="1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  <c r="AA720" s="121"/>
      <c r="AB720" s="121"/>
    </row>
    <row r="721" spans="1:28" ht="23.25" customHeight="1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  <c r="AA721" s="121"/>
      <c r="AB721" s="121"/>
    </row>
    <row r="722" spans="1:28" ht="23.25" customHeight="1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  <c r="AA722" s="121"/>
      <c r="AB722" s="121"/>
    </row>
    <row r="723" spans="1:28" ht="23.25" customHeight="1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21"/>
      <c r="P723" s="121"/>
      <c r="Q723" s="121"/>
      <c r="R723" s="121"/>
      <c r="S723" s="121"/>
      <c r="T723" s="121"/>
      <c r="U723" s="121"/>
      <c r="V723" s="121"/>
      <c r="W723" s="121"/>
      <c r="X723" s="121"/>
      <c r="Y723" s="121"/>
      <c r="Z723" s="121"/>
      <c r="AA723" s="121"/>
      <c r="AB723" s="121"/>
    </row>
    <row r="724" spans="1:28" ht="23.25" customHeight="1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  <c r="AA724" s="121"/>
      <c r="AB724" s="121"/>
    </row>
    <row r="725" spans="1:28" ht="23.25" customHeight="1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  <c r="AA725" s="121"/>
      <c r="AB725" s="121"/>
    </row>
    <row r="726" spans="1:28" ht="23.25" customHeight="1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  <c r="AA726" s="121"/>
      <c r="AB726" s="121"/>
    </row>
    <row r="727" spans="1:28" ht="23.25" customHeight="1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21"/>
      <c r="P727" s="121"/>
      <c r="Q727" s="121"/>
      <c r="R727" s="121"/>
      <c r="S727" s="121"/>
      <c r="T727" s="121"/>
      <c r="U727" s="121"/>
      <c r="V727" s="121"/>
      <c r="W727" s="121"/>
      <c r="X727" s="121"/>
      <c r="Y727" s="121"/>
      <c r="Z727" s="121"/>
      <c r="AA727" s="121"/>
      <c r="AB727" s="121"/>
    </row>
    <row r="728" spans="1:28" ht="23.25" customHeight="1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  <c r="AA728" s="121"/>
      <c r="AB728" s="121"/>
    </row>
    <row r="729" spans="1:28" ht="23.25" customHeight="1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  <c r="AA729" s="121"/>
      <c r="AB729" s="121"/>
    </row>
    <row r="730" spans="1:28" ht="23.25" customHeight="1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  <c r="AA730" s="121"/>
      <c r="AB730" s="121"/>
    </row>
    <row r="731" spans="1:28" ht="23.25" customHeight="1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  <c r="AA731" s="121"/>
      <c r="AB731" s="121"/>
    </row>
    <row r="732" spans="1:28" ht="23.25" customHeight="1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  <c r="AA732" s="121"/>
      <c r="AB732" s="121"/>
    </row>
    <row r="733" spans="1:28" ht="23.25" customHeight="1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  <c r="AA733" s="121"/>
      <c r="AB733" s="121"/>
    </row>
    <row r="734" spans="1:28" ht="23.25" customHeight="1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  <c r="AA734" s="121"/>
      <c r="AB734" s="121"/>
    </row>
    <row r="735" spans="1:28" ht="23.25" customHeight="1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  <c r="AA735" s="121"/>
      <c r="AB735" s="121"/>
    </row>
    <row r="736" spans="1:28" ht="23.25" customHeight="1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  <c r="AA736" s="121"/>
      <c r="AB736" s="121"/>
    </row>
    <row r="737" spans="1:28" ht="23.25" customHeight="1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  <c r="AA737" s="121"/>
      <c r="AB737" s="121"/>
    </row>
    <row r="738" spans="1:28" ht="23.25" customHeight="1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  <c r="AA738" s="121"/>
      <c r="AB738" s="121"/>
    </row>
    <row r="739" spans="1:28" ht="23.25" customHeight="1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  <c r="AA739" s="121"/>
      <c r="AB739" s="121"/>
    </row>
    <row r="740" spans="1:28" ht="23.25" customHeight="1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21"/>
      <c r="P740" s="121"/>
      <c r="Q740" s="121"/>
      <c r="R740" s="121"/>
      <c r="S740" s="121"/>
      <c r="T740" s="121"/>
      <c r="U740" s="121"/>
      <c r="V740" s="121"/>
      <c r="W740" s="121"/>
      <c r="X740" s="121"/>
      <c r="Y740" s="121"/>
      <c r="Z740" s="121"/>
      <c r="AA740" s="121"/>
      <c r="AB740" s="121"/>
    </row>
    <row r="741" spans="1:28" ht="23.25" customHeight="1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  <c r="AA741" s="121"/>
      <c r="AB741" s="121"/>
    </row>
    <row r="742" spans="1:28" ht="23.25" customHeight="1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  <c r="AA742" s="121"/>
      <c r="AB742" s="121"/>
    </row>
    <row r="743" spans="1:28" ht="23.25" customHeight="1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  <c r="AA743" s="121"/>
      <c r="AB743" s="121"/>
    </row>
    <row r="744" spans="1:28" ht="23.25" customHeight="1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  <c r="AA744" s="121"/>
      <c r="AB744" s="121"/>
    </row>
    <row r="745" spans="1:28" ht="23.25" customHeight="1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  <c r="AA745" s="121"/>
      <c r="AB745" s="121"/>
    </row>
    <row r="746" spans="1:28" ht="23.25" customHeight="1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  <c r="AA746" s="121"/>
      <c r="AB746" s="121"/>
    </row>
    <row r="747" spans="1:28" ht="23.25" customHeight="1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  <c r="AA747" s="121"/>
      <c r="AB747" s="121"/>
    </row>
    <row r="748" spans="1:28" ht="23.25" customHeight="1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  <c r="AA748" s="121"/>
      <c r="AB748" s="121"/>
    </row>
    <row r="749" spans="1:28" ht="23.25" customHeight="1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  <c r="AA749" s="121"/>
      <c r="AB749" s="121"/>
    </row>
    <row r="750" spans="1:28" ht="23.25" customHeight="1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  <c r="AA750" s="121"/>
      <c r="AB750" s="121"/>
    </row>
    <row r="751" spans="1:28" ht="23.25" customHeight="1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  <c r="AA751" s="121"/>
      <c r="AB751" s="121"/>
    </row>
    <row r="752" spans="1:28" ht="23.25" customHeight="1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  <c r="AA752" s="121"/>
      <c r="AB752" s="121"/>
    </row>
    <row r="753" spans="1:28" ht="23.25" customHeight="1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  <c r="AA753" s="121"/>
      <c r="AB753" s="121"/>
    </row>
    <row r="754" spans="1:28" ht="23.25" customHeight="1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  <c r="AA754" s="121"/>
      <c r="AB754" s="121"/>
    </row>
    <row r="755" spans="1:28" ht="23.25" customHeight="1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  <c r="AA755" s="121"/>
      <c r="AB755" s="121"/>
    </row>
    <row r="756" spans="1:28" ht="23.25" customHeight="1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  <c r="AA756" s="121"/>
      <c r="AB756" s="121"/>
    </row>
    <row r="757" spans="1:28" ht="23.25" customHeight="1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  <c r="AA757" s="121"/>
      <c r="AB757" s="121"/>
    </row>
    <row r="758" spans="1:28" ht="23.25" customHeight="1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  <c r="AA758" s="121"/>
      <c r="AB758" s="121"/>
    </row>
    <row r="759" spans="1:28" ht="23.25" customHeight="1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  <c r="AA759" s="121"/>
      <c r="AB759" s="121"/>
    </row>
    <row r="760" spans="1:28" ht="23.25" customHeight="1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  <c r="AA760" s="121"/>
      <c r="AB760" s="121"/>
    </row>
    <row r="761" spans="1:28" ht="23.25" customHeight="1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  <c r="AA761" s="121"/>
      <c r="AB761" s="121"/>
    </row>
    <row r="762" spans="1:28" ht="23.25" customHeight="1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  <c r="AA762" s="121"/>
      <c r="AB762" s="121"/>
    </row>
    <row r="763" spans="1:28" ht="23.25" customHeight="1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  <c r="AA763" s="121"/>
      <c r="AB763" s="121"/>
    </row>
    <row r="764" spans="1:28" ht="23.25" customHeight="1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  <c r="AA764" s="121"/>
      <c r="AB764" s="121"/>
    </row>
    <row r="765" spans="1:28" ht="23.25" customHeight="1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  <c r="AA765" s="121"/>
      <c r="AB765" s="121"/>
    </row>
    <row r="766" spans="1:28" ht="23.25" customHeight="1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  <c r="AA766" s="121"/>
      <c r="AB766" s="121"/>
    </row>
    <row r="767" spans="1:28" ht="23.25" customHeight="1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  <c r="AA767" s="121"/>
      <c r="AB767" s="121"/>
    </row>
    <row r="768" spans="1:28" ht="23.25" customHeight="1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  <c r="AA768" s="121"/>
      <c r="AB768" s="121"/>
    </row>
    <row r="769" spans="1:28" ht="23.25" customHeight="1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  <c r="AA769" s="121"/>
      <c r="AB769" s="121"/>
    </row>
    <row r="770" spans="1:28" ht="23.25" customHeight="1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  <c r="AA770" s="121"/>
      <c r="AB770" s="121"/>
    </row>
    <row r="771" spans="1:28" ht="23.25" customHeight="1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  <c r="AA771" s="121"/>
      <c r="AB771" s="121"/>
    </row>
    <row r="772" spans="1:28" ht="23.25" customHeight="1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  <c r="AA772" s="121"/>
      <c r="AB772" s="121"/>
    </row>
    <row r="773" spans="1:28" ht="23.25" customHeight="1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  <c r="AA773" s="121"/>
      <c r="AB773" s="121"/>
    </row>
    <row r="774" spans="1:28" ht="23.25" customHeight="1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  <c r="AA774" s="121"/>
      <c r="AB774" s="121"/>
    </row>
    <row r="775" spans="1:28" ht="23.25" customHeight="1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  <c r="AA775" s="121"/>
      <c r="AB775" s="121"/>
    </row>
    <row r="776" spans="1:28" ht="23.25" customHeight="1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  <c r="AA776" s="121"/>
      <c r="AB776" s="121"/>
    </row>
    <row r="777" spans="1:28" ht="23.25" customHeight="1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  <c r="AA777" s="121"/>
      <c r="AB777" s="121"/>
    </row>
    <row r="778" spans="1:28" ht="23.25" customHeight="1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21"/>
      <c r="L778" s="121"/>
      <c r="M778" s="121"/>
      <c r="N778" s="121"/>
      <c r="O778" s="121"/>
      <c r="P778" s="121"/>
      <c r="Q778" s="121"/>
      <c r="R778" s="121"/>
      <c r="S778" s="121"/>
      <c r="T778" s="121"/>
      <c r="U778" s="121"/>
      <c r="V778" s="121"/>
      <c r="W778" s="121"/>
      <c r="X778" s="121"/>
      <c r="Y778" s="121"/>
      <c r="Z778" s="121"/>
      <c r="AA778" s="121"/>
      <c r="AB778" s="121"/>
    </row>
    <row r="779" spans="1:28" ht="23.25" customHeight="1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  <c r="AA779" s="121"/>
      <c r="AB779" s="121"/>
    </row>
    <row r="780" spans="1:28" ht="23.25" customHeight="1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  <c r="AA780" s="121"/>
      <c r="AB780" s="121"/>
    </row>
    <row r="781" spans="1:28" ht="23.25" customHeight="1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  <c r="AA781" s="121"/>
      <c r="AB781" s="121"/>
    </row>
    <row r="782" spans="1:28" ht="23.25" customHeight="1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  <c r="AA782" s="121"/>
      <c r="AB782" s="121"/>
    </row>
    <row r="783" spans="1:28" ht="23.25" customHeight="1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  <c r="AA783" s="121"/>
      <c r="AB783" s="121"/>
    </row>
    <row r="784" spans="1:28" ht="23.25" customHeight="1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  <c r="AA784" s="121"/>
      <c r="AB784" s="121"/>
    </row>
    <row r="785" spans="1:28" ht="23.25" customHeight="1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  <c r="AA785" s="121"/>
      <c r="AB785" s="121"/>
    </row>
    <row r="786" spans="1:28" ht="23.25" customHeight="1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  <c r="AA786" s="121"/>
      <c r="AB786" s="121"/>
    </row>
    <row r="787" spans="1:28" ht="23.25" customHeight="1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  <c r="AA787" s="121"/>
      <c r="AB787" s="121"/>
    </row>
    <row r="788" spans="1:28" ht="23.25" customHeight="1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  <c r="AA788" s="121"/>
      <c r="AB788" s="121"/>
    </row>
    <row r="789" spans="1:28" ht="23.25" customHeight="1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  <c r="AA789" s="121"/>
      <c r="AB789" s="121"/>
    </row>
    <row r="790" spans="1:28" ht="23.25" customHeight="1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  <c r="AA790" s="121"/>
      <c r="AB790" s="121"/>
    </row>
    <row r="791" spans="1:28" ht="23.25" customHeight="1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  <c r="AA791" s="121"/>
      <c r="AB791" s="121"/>
    </row>
    <row r="792" spans="1:28" ht="23.25" customHeight="1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  <c r="AA792" s="121"/>
      <c r="AB792" s="121"/>
    </row>
    <row r="793" spans="1:28" ht="23.25" customHeight="1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  <c r="AA793" s="121"/>
      <c r="AB793" s="121"/>
    </row>
    <row r="794" spans="1:28" ht="23.25" customHeight="1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  <c r="AA794" s="121"/>
      <c r="AB794" s="121"/>
    </row>
    <row r="795" spans="1:28" ht="23.25" customHeight="1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21"/>
      <c r="P795" s="121"/>
      <c r="Q795" s="121"/>
      <c r="R795" s="121"/>
      <c r="S795" s="121"/>
      <c r="T795" s="121"/>
      <c r="U795" s="121"/>
      <c r="V795" s="121"/>
      <c r="W795" s="121"/>
      <c r="X795" s="121"/>
      <c r="Y795" s="121"/>
      <c r="Z795" s="121"/>
      <c r="AA795" s="121"/>
      <c r="AB795" s="121"/>
    </row>
    <row r="796" spans="1:28" ht="23.25" customHeight="1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  <c r="AA796" s="121"/>
      <c r="AB796" s="121"/>
    </row>
    <row r="797" spans="1:28" ht="23.25" customHeight="1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  <c r="AA797" s="121"/>
      <c r="AB797" s="121"/>
    </row>
    <row r="798" spans="1:28" ht="23.25" customHeight="1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21"/>
      <c r="P798" s="121"/>
      <c r="Q798" s="121"/>
      <c r="R798" s="121"/>
      <c r="S798" s="121"/>
      <c r="T798" s="121"/>
      <c r="U798" s="121"/>
      <c r="V798" s="121"/>
      <c r="W798" s="121"/>
      <c r="X798" s="121"/>
      <c r="Y798" s="121"/>
      <c r="Z798" s="121"/>
      <c r="AA798" s="121"/>
      <c r="AB798" s="121"/>
    </row>
    <row r="799" spans="1:28" ht="23.25" customHeight="1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21"/>
      <c r="P799" s="121"/>
      <c r="Q799" s="121"/>
      <c r="R799" s="121"/>
      <c r="S799" s="121"/>
      <c r="T799" s="121"/>
      <c r="U799" s="121"/>
      <c r="V799" s="121"/>
      <c r="W799" s="121"/>
      <c r="X799" s="121"/>
      <c r="Y799" s="121"/>
      <c r="Z799" s="121"/>
      <c r="AA799" s="121"/>
      <c r="AB799" s="121"/>
    </row>
    <row r="800" spans="1:28" ht="23.25" customHeight="1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21"/>
      <c r="P800" s="121"/>
      <c r="Q800" s="121"/>
      <c r="R800" s="121"/>
      <c r="S800" s="121"/>
      <c r="T800" s="121"/>
      <c r="U800" s="121"/>
      <c r="V800" s="121"/>
      <c r="W800" s="121"/>
      <c r="X800" s="121"/>
      <c r="Y800" s="121"/>
      <c r="Z800" s="121"/>
      <c r="AA800" s="121"/>
      <c r="AB800" s="121"/>
    </row>
    <row r="801" spans="1:28" ht="23.25" customHeight="1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21"/>
      <c r="P801" s="121"/>
      <c r="Q801" s="121"/>
      <c r="R801" s="121"/>
      <c r="S801" s="121"/>
      <c r="T801" s="121"/>
      <c r="U801" s="121"/>
      <c r="V801" s="121"/>
      <c r="W801" s="121"/>
      <c r="X801" s="121"/>
      <c r="Y801" s="121"/>
      <c r="Z801" s="121"/>
      <c r="AA801" s="121"/>
      <c r="AB801" s="121"/>
    </row>
    <row r="802" spans="1:28" ht="23.25" customHeight="1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21"/>
      <c r="P802" s="121"/>
      <c r="Q802" s="121"/>
      <c r="R802" s="121"/>
      <c r="S802" s="121"/>
      <c r="T802" s="121"/>
      <c r="U802" s="121"/>
      <c r="V802" s="121"/>
      <c r="W802" s="121"/>
      <c r="X802" s="121"/>
      <c r="Y802" s="121"/>
      <c r="Z802" s="121"/>
      <c r="AA802" s="121"/>
      <c r="AB802" s="121"/>
    </row>
    <row r="803" spans="1:28" ht="23.25" customHeight="1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21"/>
      <c r="P803" s="121"/>
      <c r="Q803" s="121"/>
      <c r="R803" s="121"/>
      <c r="S803" s="121"/>
      <c r="T803" s="121"/>
      <c r="U803" s="121"/>
      <c r="V803" s="121"/>
      <c r="W803" s="121"/>
      <c r="X803" s="121"/>
      <c r="Y803" s="121"/>
      <c r="Z803" s="121"/>
      <c r="AA803" s="121"/>
      <c r="AB803" s="121"/>
    </row>
    <row r="804" spans="1:28" ht="23.25" customHeight="1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21"/>
      <c r="P804" s="121"/>
      <c r="Q804" s="121"/>
      <c r="R804" s="121"/>
      <c r="S804" s="121"/>
      <c r="T804" s="121"/>
      <c r="U804" s="121"/>
      <c r="V804" s="121"/>
      <c r="W804" s="121"/>
      <c r="X804" s="121"/>
      <c r="Y804" s="121"/>
      <c r="Z804" s="121"/>
      <c r="AA804" s="121"/>
      <c r="AB804" s="121"/>
    </row>
    <row r="805" spans="1:28" ht="23.25" customHeight="1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21"/>
      <c r="P805" s="121"/>
      <c r="Q805" s="121"/>
      <c r="R805" s="121"/>
      <c r="S805" s="121"/>
      <c r="T805" s="121"/>
      <c r="U805" s="121"/>
      <c r="V805" s="121"/>
      <c r="W805" s="121"/>
      <c r="X805" s="121"/>
      <c r="Y805" s="121"/>
      <c r="Z805" s="121"/>
      <c r="AA805" s="121"/>
      <c r="AB805" s="121"/>
    </row>
    <row r="806" spans="1:28" ht="23.25" customHeight="1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21"/>
      <c r="P806" s="121"/>
      <c r="Q806" s="121"/>
      <c r="R806" s="121"/>
      <c r="S806" s="121"/>
      <c r="T806" s="121"/>
      <c r="U806" s="121"/>
      <c r="V806" s="121"/>
      <c r="W806" s="121"/>
      <c r="X806" s="121"/>
      <c r="Y806" s="121"/>
      <c r="Z806" s="121"/>
      <c r="AA806" s="121"/>
      <c r="AB806" s="121"/>
    </row>
    <row r="807" spans="1:28" ht="23.25" customHeight="1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21"/>
      <c r="P807" s="121"/>
      <c r="Q807" s="121"/>
      <c r="R807" s="121"/>
      <c r="S807" s="121"/>
      <c r="T807" s="121"/>
      <c r="U807" s="121"/>
      <c r="V807" s="121"/>
      <c r="W807" s="121"/>
      <c r="X807" s="121"/>
      <c r="Y807" s="121"/>
      <c r="Z807" s="121"/>
      <c r="AA807" s="121"/>
      <c r="AB807" s="121"/>
    </row>
    <row r="808" spans="1:28" ht="23.25" customHeight="1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21"/>
      <c r="P808" s="121"/>
      <c r="Q808" s="121"/>
      <c r="R808" s="121"/>
      <c r="S808" s="121"/>
      <c r="T808" s="121"/>
      <c r="U808" s="121"/>
      <c r="V808" s="121"/>
      <c r="W808" s="121"/>
      <c r="X808" s="121"/>
      <c r="Y808" s="121"/>
      <c r="Z808" s="121"/>
      <c r="AA808" s="121"/>
      <c r="AB808" s="121"/>
    </row>
    <row r="809" spans="1:28" ht="23.25" customHeight="1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21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  <c r="AA809" s="121"/>
      <c r="AB809" s="121"/>
    </row>
    <row r="810" spans="1:28" ht="23.25" customHeight="1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21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  <c r="AA810" s="121"/>
      <c r="AB810" s="121"/>
    </row>
    <row r="811" spans="1:28" ht="23.25" customHeight="1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21"/>
      <c r="P811" s="121"/>
      <c r="Q811" s="121"/>
      <c r="R811" s="121"/>
      <c r="S811" s="121"/>
      <c r="T811" s="121"/>
      <c r="U811" s="121"/>
      <c r="V811" s="121"/>
      <c r="W811" s="121"/>
      <c r="X811" s="121"/>
      <c r="Y811" s="121"/>
      <c r="Z811" s="121"/>
      <c r="AA811" s="121"/>
      <c r="AB811" s="121"/>
    </row>
    <row r="812" spans="1:28" ht="23.25" customHeight="1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  <c r="Y812" s="121"/>
      <c r="Z812" s="121"/>
      <c r="AA812" s="121"/>
      <c r="AB812" s="121"/>
    </row>
    <row r="813" spans="1:28" ht="23.25" customHeight="1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  <c r="Y813" s="121"/>
      <c r="Z813" s="121"/>
      <c r="AA813" s="121"/>
      <c r="AB813" s="121"/>
    </row>
    <row r="814" spans="1:28" ht="23.25" customHeight="1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1"/>
      <c r="P814" s="121"/>
      <c r="Q814" s="121"/>
      <c r="R814" s="121"/>
      <c r="S814" s="121"/>
      <c r="T814" s="121"/>
      <c r="U814" s="121"/>
      <c r="V814" s="121"/>
      <c r="W814" s="121"/>
      <c r="X814" s="121"/>
      <c r="Y814" s="121"/>
      <c r="Z814" s="121"/>
      <c r="AA814" s="121"/>
      <c r="AB814" s="121"/>
    </row>
    <row r="815" spans="1:28" ht="23.25" customHeight="1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21"/>
      <c r="P815" s="121"/>
      <c r="Q815" s="121"/>
      <c r="R815" s="121"/>
      <c r="S815" s="121"/>
      <c r="T815" s="121"/>
      <c r="U815" s="121"/>
      <c r="V815" s="121"/>
      <c r="W815" s="121"/>
      <c r="X815" s="121"/>
      <c r="Y815" s="121"/>
      <c r="Z815" s="121"/>
      <c r="AA815" s="121"/>
      <c r="AB815" s="121"/>
    </row>
    <row r="816" spans="1:28" ht="23.25" customHeight="1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  <c r="AA816" s="121"/>
      <c r="AB816" s="121"/>
    </row>
    <row r="817" spans="1:28" ht="23.25" customHeight="1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  <c r="AA817" s="121"/>
      <c r="AB817" s="121"/>
    </row>
    <row r="818" spans="1:28" ht="23.25" customHeight="1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  <c r="AA818" s="121"/>
      <c r="AB818" s="121"/>
    </row>
    <row r="819" spans="1:28" ht="23.25" customHeight="1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21"/>
      <c r="S819" s="121"/>
      <c r="T819" s="121"/>
      <c r="U819" s="121"/>
      <c r="V819" s="121"/>
      <c r="W819" s="121"/>
      <c r="X819" s="121"/>
      <c r="Y819" s="121"/>
      <c r="Z819" s="121"/>
      <c r="AA819" s="121"/>
      <c r="AB819" s="121"/>
    </row>
    <row r="820" spans="1:28" ht="23.25" customHeight="1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21"/>
      <c r="S820" s="121"/>
      <c r="T820" s="121"/>
      <c r="U820" s="121"/>
      <c r="V820" s="121"/>
      <c r="W820" s="121"/>
      <c r="X820" s="121"/>
      <c r="Y820" s="121"/>
      <c r="Z820" s="121"/>
      <c r="AA820" s="121"/>
      <c r="AB820" s="121"/>
    </row>
    <row r="821" spans="1:28" ht="23.25" customHeight="1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21"/>
      <c r="P821" s="121"/>
      <c r="Q821" s="121"/>
      <c r="R821" s="121"/>
      <c r="S821" s="121"/>
      <c r="T821" s="121"/>
      <c r="U821" s="121"/>
      <c r="V821" s="121"/>
      <c r="W821" s="121"/>
      <c r="X821" s="121"/>
      <c r="Y821" s="121"/>
      <c r="Z821" s="121"/>
      <c r="AA821" s="121"/>
      <c r="AB821" s="121"/>
    </row>
    <row r="822" spans="1:28" ht="23.25" customHeight="1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21"/>
      <c r="P822" s="121"/>
      <c r="Q822" s="121"/>
      <c r="R822" s="121"/>
      <c r="S822" s="121"/>
      <c r="T822" s="121"/>
      <c r="U822" s="121"/>
      <c r="V822" s="121"/>
      <c r="W822" s="121"/>
      <c r="X822" s="121"/>
      <c r="Y822" s="121"/>
      <c r="Z822" s="121"/>
      <c r="AA822" s="121"/>
      <c r="AB822" s="121"/>
    </row>
    <row r="823" spans="1:28" ht="23.25" customHeight="1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21"/>
      <c r="S823" s="121"/>
      <c r="T823" s="121"/>
      <c r="U823" s="121"/>
      <c r="V823" s="121"/>
      <c r="W823" s="121"/>
      <c r="X823" s="121"/>
      <c r="Y823" s="121"/>
      <c r="Z823" s="121"/>
      <c r="AA823" s="121"/>
      <c r="AB823" s="121"/>
    </row>
    <row r="824" spans="1:28" ht="23.25" customHeight="1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21"/>
      <c r="P824" s="121"/>
      <c r="Q824" s="121"/>
      <c r="R824" s="121"/>
      <c r="S824" s="121"/>
      <c r="T824" s="121"/>
      <c r="U824" s="121"/>
      <c r="V824" s="121"/>
      <c r="W824" s="121"/>
      <c r="X824" s="121"/>
      <c r="Y824" s="121"/>
      <c r="Z824" s="121"/>
      <c r="AA824" s="121"/>
      <c r="AB824" s="121"/>
    </row>
    <row r="825" spans="1:28" ht="23.25" customHeight="1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21"/>
      <c r="L825" s="121"/>
      <c r="M825" s="121"/>
      <c r="N825" s="121"/>
      <c r="O825" s="121"/>
      <c r="P825" s="121"/>
      <c r="Q825" s="121"/>
      <c r="R825" s="121"/>
      <c r="S825" s="121"/>
      <c r="T825" s="121"/>
      <c r="U825" s="121"/>
      <c r="V825" s="121"/>
      <c r="W825" s="121"/>
      <c r="X825" s="121"/>
      <c r="Y825" s="121"/>
      <c r="Z825" s="121"/>
      <c r="AA825" s="121"/>
      <c r="AB825" s="121"/>
    </row>
    <row r="826" spans="1:28" ht="23.25" customHeight="1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21"/>
      <c r="P826" s="121"/>
      <c r="Q826" s="121"/>
      <c r="R826" s="121"/>
      <c r="S826" s="121"/>
      <c r="T826" s="121"/>
      <c r="U826" s="121"/>
      <c r="V826" s="121"/>
      <c r="W826" s="121"/>
      <c r="X826" s="121"/>
      <c r="Y826" s="121"/>
      <c r="Z826" s="121"/>
      <c r="AA826" s="121"/>
      <c r="AB826" s="121"/>
    </row>
    <row r="827" spans="1:28" ht="23.25" customHeight="1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21"/>
      <c r="P827" s="121"/>
      <c r="Q827" s="121"/>
      <c r="R827" s="121"/>
      <c r="S827" s="121"/>
      <c r="T827" s="121"/>
      <c r="U827" s="121"/>
      <c r="V827" s="121"/>
      <c r="W827" s="121"/>
      <c r="X827" s="121"/>
      <c r="Y827" s="121"/>
      <c r="Z827" s="121"/>
      <c r="AA827" s="121"/>
      <c r="AB827" s="121"/>
    </row>
    <row r="828" spans="1:28" ht="23.25" customHeight="1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21"/>
      <c r="P828" s="121"/>
      <c r="Q828" s="121"/>
      <c r="R828" s="121"/>
      <c r="S828" s="121"/>
      <c r="T828" s="121"/>
      <c r="U828" s="121"/>
      <c r="V828" s="121"/>
      <c r="W828" s="121"/>
      <c r="X828" s="121"/>
      <c r="Y828" s="121"/>
      <c r="Z828" s="121"/>
      <c r="AA828" s="121"/>
      <c r="AB828" s="121"/>
    </row>
    <row r="829" spans="1:28" ht="23.25" customHeight="1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21"/>
      <c r="S829" s="121"/>
      <c r="T829" s="121"/>
      <c r="U829" s="121"/>
      <c r="V829" s="121"/>
      <c r="W829" s="121"/>
      <c r="X829" s="121"/>
      <c r="Y829" s="121"/>
      <c r="Z829" s="121"/>
      <c r="AA829" s="121"/>
      <c r="AB829" s="121"/>
    </row>
    <row r="830" spans="1:28" ht="23.25" customHeight="1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21"/>
      <c r="S830" s="121"/>
      <c r="T830" s="121"/>
      <c r="U830" s="121"/>
      <c r="V830" s="121"/>
      <c r="W830" s="121"/>
      <c r="X830" s="121"/>
      <c r="Y830" s="121"/>
      <c r="Z830" s="121"/>
      <c r="AA830" s="121"/>
      <c r="AB830" s="121"/>
    </row>
    <row r="831" spans="1:28" ht="23.25" customHeight="1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21"/>
      <c r="P831" s="121"/>
      <c r="Q831" s="121"/>
      <c r="R831" s="121"/>
      <c r="S831" s="121"/>
      <c r="T831" s="121"/>
      <c r="U831" s="121"/>
      <c r="V831" s="121"/>
      <c r="W831" s="121"/>
      <c r="X831" s="121"/>
      <c r="Y831" s="121"/>
      <c r="Z831" s="121"/>
      <c r="AA831" s="121"/>
      <c r="AB831" s="121"/>
    </row>
    <row r="832" spans="1:28" ht="23.25" customHeight="1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1"/>
      <c r="P832" s="121"/>
      <c r="Q832" s="121"/>
      <c r="R832" s="121"/>
      <c r="S832" s="121"/>
      <c r="T832" s="121"/>
      <c r="U832" s="121"/>
      <c r="V832" s="121"/>
      <c r="W832" s="121"/>
      <c r="X832" s="121"/>
      <c r="Y832" s="121"/>
      <c r="Z832" s="121"/>
      <c r="AA832" s="121"/>
      <c r="AB832" s="121"/>
    </row>
    <row r="833" spans="1:28" ht="23.25" customHeight="1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21"/>
      <c r="P833" s="121"/>
      <c r="Q833" s="121"/>
      <c r="R833" s="121"/>
      <c r="S833" s="121"/>
      <c r="T833" s="121"/>
      <c r="U833" s="121"/>
      <c r="V833" s="121"/>
      <c r="W833" s="121"/>
      <c r="X833" s="121"/>
      <c r="Y833" s="121"/>
      <c r="Z833" s="121"/>
      <c r="AA833" s="121"/>
      <c r="AB833" s="121"/>
    </row>
    <row r="834" spans="1:28" ht="23.25" customHeight="1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21"/>
      <c r="P834" s="121"/>
      <c r="Q834" s="121"/>
      <c r="R834" s="121"/>
      <c r="S834" s="121"/>
      <c r="T834" s="121"/>
      <c r="U834" s="121"/>
      <c r="V834" s="121"/>
      <c r="W834" s="121"/>
      <c r="X834" s="121"/>
      <c r="Y834" s="121"/>
      <c r="Z834" s="121"/>
      <c r="AA834" s="121"/>
      <c r="AB834" s="121"/>
    </row>
    <row r="835" spans="1:28" ht="23.25" customHeight="1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21"/>
      <c r="P835" s="121"/>
      <c r="Q835" s="121"/>
      <c r="R835" s="121"/>
      <c r="S835" s="121"/>
      <c r="T835" s="121"/>
      <c r="U835" s="121"/>
      <c r="V835" s="121"/>
      <c r="W835" s="121"/>
      <c r="X835" s="121"/>
      <c r="Y835" s="121"/>
      <c r="Z835" s="121"/>
      <c r="AA835" s="121"/>
      <c r="AB835" s="121"/>
    </row>
    <row r="836" spans="1:28" ht="23.25" customHeight="1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21"/>
      <c r="P836" s="121"/>
      <c r="Q836" s="121"/>
      <c r="R836" s="121"/>
      <c r="S836" s="121"/>
      <c r="T836" s="121"/>
      <c r="U836" s="121"/>
      <c r="V836" s="121"/>
      <c r="W836" s="121"/>
      <c r="X836" s="121"/>
      <c r="Y836" s="121"/>
      <c r="Z836" s="121"/>
      <c r="AA836" s="121"/>
      <c r="AB836" s="121"/>
    </row>
    <row r="837" spans="1:28" ht="23.25" customHeight="1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21"/>
      <c r="P837" s="121"/>
      <c r="Q837" s="121"/>
      <c r="R837" s="121"/>
      <c r="S837" s="121"/>
      <c r="T837" s="121"/>
      <c r="U837" s="121"/>
      <c r="V837" s="121"/>
      <c r="W837" s="121"/>
      <c r="X837" s="121"/>
      <c r="Y837" s="121"/>
      <c r="Z837" s="121"/>
      <c r="AA837" s="121"/>
      <c r="AB837" s="121"/>
    </row>
    <row r="838" spans="1:28" ht="23.25" customHeight="1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1"/>
      <c r="P838" s="121"/>
      <c r="Q838" s="121"/>
      <c r="R838" s="121"/>
      <c r="S838" s="121"/>
      <c r="T838" s="121"/>
      <c r="U838" s="121"/>
      <c r="V838" s="121"/>
      <c r="W838" s="121"/>
      <c r="X838" s="121"/>
      <c r="Y838" s="121"/>
      <c r="Z838" s="121"/>
      <c r="AA838" s="121"/>
      <c r="AB838" s="121"/>
    </row>
    <row r="839" spans="1:28" ht="23.25" customHeight="1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21"/>
      <c r="P839" s="121"/>
      <c r="Q839" s="121"/>
      <c r="R839" s="121"/>
      <c r="S839" s="121"/>
      <c r="T839" s="121"/>
      <c r="U839" s="121"/>
      <c r="V839" s="121"/>
      <c r="W839" s="121"/>
      <c r="X839" s="121"/>
      <c r="Y839" s="121"/>
      <c r="Z839" s="121"/>
      <c r="AA839" s="121"/>
      <c r="AB839" s="121"/>
    </row>
    <row r="840" spans="1:28" ht="23.25" customHeight="1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21"/>
      <c r="P840" s="121"/>
      <c r="Q840" s="121"/>
      <c r="R840" s="121"/>
      <c r="S840" s="121"/>
      <c r="T840" s="121"/>
      <c r="U840" s="121"/>
      <c r="V840" s="121"/>
      <c r="W840" s="121"/>
      <c r="X840" s="121"/>
      <c r="Y840" s="121"/>
      <c r="Z840" s="121"/>
      <c r="AA840" s="121"/>
      <c r="AB840" s="121"/>
    </row>
    <row r="841" spans="1:28" ht="23.25" customHeight="1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  <c r="Y841" s="121"/>
      <c r="Z841" s="121"/>
      <c r="AA841" s="121"/>
      <c r="AB841" s="121"/>
    </row>
    <row r="842" spans="1:28" ht="23.25" customHeight="1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21"/>
      <c r="P842" s="121"/>
      <c r="Q842" s="121"/>
      <c r="R842" s="121"/>
      <c r="S842" s="121"/>
      <c r="T842" s="121"/>
      <c r="U842" s="121"/>
      <c r="V842" s="121"/>
      <c r="W842" s="121"/>
      <c r="X842" s="121"/>
      <c r="Y842" s="121"/>
      <c r="Z842" s="121"/>
      <c r="AA842" s="121"/>
      <c r="AB842" s="121"/>
    </row>
    <row r="843" spans="1:28" ht="23.25" customHeight="1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21"/>
      <c r="S843" s="121"/>
      <c r="T843" s="121"/>
      <c r="U843" s="121"/>
      <c r="V843" s="121"/>
      <c r="W843" s="121"/>
      <c r="X843" s="121"/>
      <c r="Y843" s="121"/>
      <c r="Z843" s="121"/>
      <c r="AA843" s="121"/>
      <c r="AB843" s="121"/>
    </row>
    <row r="844" spans="1:28" ht="23.25" customHeight="1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21"/>
      <c r="P844" s="121"/>
      <c r="Q844" s="121"/>
      <c r="R844" s="121"/>
      <c r="S844" s="121"/>
      <c r="T844" s="121"/>
      <c r="U844" s="121"/>
      <c r="V844" s="121"/>
      <c r="W844" s="121"/>
      <c r="X844" s="121"/>
      <c r="Y844" s="121"/>
      <c r="Z844" s="121"/>
      <c r="AA844" s="121"/>
      <c r="AB844" s="121"/>
    </row>
    <row r="845" spans="1:28" ht="23.25" customHeight="1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21"/>
      <c r="P845" s="121"/>
      <c r="Q845" s="121"/>
      <c r="R845" s="121"/>
      <c r="S845" s="121"/>
      <c r="T845" s="121"/>
      <c r="U845" s="121"/>
      <c r="V845" s="121"/>
      <c r="W845" s="121"/>
      <c r="X845" s="121"/>
      <c r="Y845" s="121"/>
      <c r="Z845" s="121"/>
      <c r="AA845" s="121"/>
      <c r="AB845" s="121"/>
    </row>
    <row r="846" spans="1:28" ht="23.25" customHeight="1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21"/>
      <c r="P846" s="121"/>
      <c r="Q846" s="121"/>
      <c r="R846" s="121"/>
      <c r="S846" s="121"/>
      <c r="T846" s="121"/>
      <c r="U846" s="121"/>
      <c r="V846" s="121"/>
      <c r="W846" s="121"/>
      <c r="X846" s="121"/>
      <c r="Y846" s="121"/>
      <c r="Z846" s="121"/>
      <c r="AA846" s="121"/>
      <c r="AB846" s="121"/>
    </row>
    <row r="847" spans="1:28" ht="23.25" customHeight="1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21"/>
      <c r="P847" s="121"/>
      <c r="Q847" s="121"/>
      <c r="R847" s="121"/>
      <c r="S847" s="121"/>
      <c r="T847" s="121"/>
      <c r="U847" s="121"/>
      <c r="V847" s="121"/>
      <c r="W847" s="121"/>
      <c r="X847" s="121"/>
      <c r="Y847" s="121"/>
      <c r="Z847" s="121"/>
      <c r="AA847" s="121"/>
      <c r="AB847" s="121"/>
    </row>
    <row r="848" spans="1:28" ht="23.25" customHeight="1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21"/>
      <c r="P848" s="121"/>
      <c r="Q848" s="121"/>
      <c r="R848" s="121"/>
      <c r="S848" s="121"/>
      <c r="T848" s="121"/>
      <c r="U848" s="121"/>
      <c r="V848" s="121"/>
      <c r="W848" s="121"/>
      <c r="X848" s="121"/>
      <c r="Y848" s="121"/>
      <c r="Z848" s="121"/>
      <c r="AA848" s="121"/>
      <c r="AB848" s="121"/>
    </row>
    <row r="849" spans="1:28" ht="23.25" customHeight="1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21"/>
      <c r="S849" s="121"/>
      <c r="T849" s="121"/>
      <c r="U849" s="121"/>
      <c r="V849" s="121"/>
      <c r="W849" s="121"/>
      <c r="X849" s="121"/>
      <c r="Y849" s="121"/>
      <c r="Z849" s="121"/>
      <c r="AA849" s="121"/>
      <c r="AB849" s="121"/>
    </row>
    <row r="850" spans="1:28" ht="23.25" customHeight="1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1"/>
      <c r="P850" s="121"/>
      <c r="Q850" s="121"/>
      <c r="R850" s="121"/>
      <c r="S850" s="121"/>
      <c r="T850" s="121"/>
      <c r="U850" s="121"/>
      <c r="V850" s="121"/>
      <c r="W850" s="121"/>
      <c r="X850" s="121"/>
      <c r="Y850" s="121"/>
      <c r="Z850" s="121"/>
      <c r="AA850" s="121"/>
      <c r="AB850" s="121"/>
    </row>
    <row r="851" spans="1:28" ht="23.25" customHeight="1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  <c r="AA851" s="121"/>
      <c r="AB851" s="121"/>
    </row>
    <row r="852" spans="1:28" ht="23.25" customHeight="1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21"/>
      <c r="S852" s="121"/>
      <c r="T852" s="121"/>
      <c r="U852" s="121"/>
      <c r="V852" s="121"/>
      <c r="W852" s="121"/>
      <c r="X852" s="121"/>
      <c r="Y852" s="121"/>
      <c r="Z852" s="121"/>
      <c r="AA852" s="121"/>
      <c r="AB852" s="121"/>
    </row>
    <row r="853" spans="1:28" ht="23.25" customHeight="1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1"/>
      <c r="P853" s="121"/>
      <c r="Q853" s="121"/>
      <c r="R853" s="121"/>
      <c r="S853" s="121"/>
      <c r="T853" s="121"/>
      <c r="U853" s="121"/>
      <c r="V853" s="121"/>
      <c r="W853" s="121"/>
      <c r="X853" s="121"/>
      <c r="Y853" s="121"/>
      <c r="Z853" s="121"/>
      <c r="AA853" s="121"/>
      <c r="AB853" s="121"/>
    </row>
    <row r="854" spans="1:28" ht="23.25" customHeight="1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1"/>
      <c r="P854" s="121"/>
      <c r="Q854" s="121"/>
      <c r="R854" s="121"/>
      <c r="S854" s="121"/>
      <c r="T854" s="121"/>
      <c r="U854" s="121"/>
      <c r="V854" s="121"/>
      <c r="W854" s="121"/>
      <c r="X854" s="121"/>
      <c r="Y854" s="121"/>
      <c r="Z854" s="121"/>
      <c r="AA854" s="121"/>
      <c r="AB854" s="121"/>
    </row>
    <row r="855" spans="1:28" ht="23.25" customHeight="1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1"/>
      <c r="P855" s="121"/>
      <c r="Q855" s="121"/>
      <c r="R855" s="121"/>
      <c r="S855" s="121"/>
      <c r="T855" s="121"/>
      <c r="U855" s="121"/>
      <c r="V855" s="121"/>
      <c r="W855" s="121"/>
      <c r="X855" s="121"/>
      <c r="Y855" s="121"/>
      <c r="Z855" s="121"/>
      <c r="AA855" s="121"/>
      <c r="AB855" s="121"/>
    </row>
    <row r="856" spans="1:28" ht="23.25" customHeight="1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1"/>
      <c r="P856" s="121"/>
      <c r="Q856" s="121"/>
      <c r="R856" s="121"/>
      <c r="S856" s="121"/>
      <c r="T856" s="121"/>
      <c r="U856" s="121"/>
      <c r="V856" s="121"/>
      <c r="W856" s="121"/>
      <c r="X856" s="121"/>
      <c r="Y856" s="121"/>
      <c r="Z856" s="121"/>
      <c r="AA856" s="121"/>
      <c r="AB856" s="121"/>
    </row>
    <row r="857" spans="1:28" ht="23.25" customHeight="1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1"/>
      <c r="P857" s="121"/>
      <c r="Q857" s="121"/>
      <c r="R857" s="121"/>
      <c r="S857" s="121"/>
      <c r="T857" s="121"/>
      <c r="U857" s="121"/>
      <c r="V857" s="121"/>
      <c r="W857" s="121"/>
      <c r="X857" s="121"/>
      <c r="Y857" s="121"/>
      <c r="Z857" s="121"/>
      <c r="AA857" s="121"/>
      <c r="AB857" s="121"/>
    </row>
    <row r="858" spans="1:28" ht="23.25" customHeight="1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1"/>
      <c r="P858" s="121"/>
      <c r="Q858" s="121"/>
      <c r="R858" s="121"/>
      <c r="S858" s="121"/>
      <c r="T858" s="121"/>
      <c r="U858" s="121"/>
      <c r="V858" s="121"/>
      <c r="W858" s="121"/>
      <c r="X858" s="121"/>
      <c r="Y858" s="121"/>
      <c r="Z858" s="121"/>
      <c r="AA858" s="121"/>
      <c r="AB858" s="121"/>
    </row>
    <row r="859" spans="1:28" ht="23.25" customHeight="1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1"/>
      <c r="X859" s="121"/>
      <c r="Y859" s="121"/>
      <c r="Z859" s="121"/>
      <c r="AA859" s="121"/>
      <c r="AB859" s="121"/>
    </row>
    <row r="860" spans="1:28" ht="23.25" customHeight="1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1"/>
      <c r="X860" s="121"/>
      <c r="Y860" s="121"/>
      <c r="Z860" s="121"/>
      <c r="AA860" s="121"/>
      <c r="AB860" s="121"/>
    </row>
    <row r="861" spans="1:28" ht="23.25" customHeight="1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21"/>
      <c r="P861" s="121"/>
      <c r="Q861" s="121"/>
      <c r="R861" s="121"/>
      <c r="S861" s="121"/>
      <c r="T861" s="121"/>
      <c r="U861" s="121"/>
      <c r="V861" s="121"/>
      <c r="W861" s="121"/>
      <c r="X861" s="121"/>
      <c r="Y861" s="121"/>
      <c r="Z861" s="121"/>
      <c r="AA861" s="121"/>
      <c r="AB861" s="121"/>
    </row>
    <row r="862" spans="1:28" ht="23.25" customHeight="1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1"/>
      <c r="X862" s="121"/>
      <c r="Y862" s="121"/>
      <c r="Z862" s="121"/>
      <c r="AA862" s="121"/>
      <c r="AB862" s="121"/>
    </row>
    <row r="863" spans="1:28" ht="23.25" customHeight="1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1"/>
      <c r="X863" s="121"/>
      <c r="Y863" s="121"/>
      <c r="Z863" s="121"/>
      <c r="AA863" s="121"/>
      <c r="AB863" s="121"/>
    </row>
    <row r="864" spans="1:28" ht="23.25" customHeight="1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1"/>
      <c r="X864" s="121"/>
      <c r="Y864" s="121"/>
      <c r="Z864" s="121"/>
      <c r="AA864" s="121"/>
      <c r="AB864" s="121"/>
    </row>
    <row r="865" spans="1:28" ht="23.25" customHeight="1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1"/>
      <c r="X865" s="121"/>
      <c r="Y865" s="121"/>
      <c r="Z865" s="121"/>
      <c r="AA865" s="121"/>
      <c r="AB865" s="121"/>
    </row>
    <row r="866" spans="1:28" ht="23.25" customHeight="1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1"/>
      <c r="X866" s="121"/>
      <c r="Y866" s="121"/>
      <c r="Z866" s="121"/>
      <c r="AA866" s="121"/>
      <c r="AB866" s="121"/>
    </row>
    <row r="867" spans="1:28" ht="23.25" customHeight="1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1"/>
      <c r="X867" s="121"/>
      <c r="Y867" s="121"/>
      <c r="Z867" s="121"/>
      <c r="AA867" s="121"/>
      <c r="AB867" s="121"/>
    </row>
    <row r="868" spans="1:28" ht="23.25" customHeight="1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1"/>
      <c r="X868" s="121"/>
      <c r="Y868" s="121"/>
      <c r="Z868" s="121"/>
      <c r="AA868" s="121"/>
      <c r="AB868" s="121"/>
    </row>
    <row r="869" spans="1:28" ht="23.25" customHeight="1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1"/>
      <c r="X869" s="121"/>
      <c r="Y869" s="121"/>
      <c r="Z869" s="121"/>
      <c r="AA869" s="121"/>
      <c r="AB869" s="121"/>
    </row>
    <row r="870" spans="1:28" ht="23.25" customHeight="1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  <c r="Y870" s="121"/>
      <c r="Z870" s="121"/>
      <c r="AA870" s="121"/>
      <c r="AB870" s="121"/>
    </row>
    <row r="871" spans="1:28" ht="23.25" customHeight="1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  <c r="Y871" s="121"/>
      <c r="Z871" s="121"/>
      <c r="AA871" s="121"/>
      <c r="AB871" s="121"/>
    </row>
    <row r="872" spans="1:28" ht="23.25" customHeight="1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1"/>
      <c r="X872" s="121"/>
      <c r="Y872" s="121"/>
      <c r="Z872" s="121"/>
      <c r="AA872" s="121"/>
      <c r="AB872" s="121"/>
    </row>
    <row r="873" spans="1:28" ht="23.25" customHeight="1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1"/>
      <c r="X873" s="121"/>
      <c r="Y873" s="121"/>
      <c r="Z873" s="121"/>
      <c r="AA873" s="121"/>
      <c r="AB873" s="121"/>
    </row>
    <row r="874" spans="1:28" ht="23.25" customHeight="1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1"/>
      <c r="X874" s="121"/>
      <c r="Y874" s="121"/>
      <c r="Z874" s="121"/>
      <c r="AA874" s="121"/>
      <c r="AB874" s="121"/>
    </row>
    <row r="875" spans="1:28" ht="23.25" customHeight="1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1"/>
      <c r="X875" s="121"/>
      <c r="Y875" s="121"/>
      <c r="Z875" s="121"/>
      <c r="AA875" s="121"/>
      <c r="AB875" s="121"/>
    </row>
    <row r="876" spans="1:28" ht="23.25" customHeight="1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1"/>
      <c r="X876" s="121"/>
      <c r="Y876" s="121"/>
      <c r="Z876" s="121"/>
      <c r="AA876" s="121"/>
      <c r="AB876" s="121"/>
    </row>
    <row r="877" spans="1:28" ht="23.25" customHeight="1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1"/>
      <c r="X877" s="121"/>
      <c r="Y877" s="121"/>
      <c r="Z877" s="121"/>
      <c r="AA877" s="121"/>
      <c r="AB877" s="121"/>
    </row>
    <row r="878" spans="1:28" ht="23.25" customHeight="1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1"/>
      <c r="X878" s="121"/>
      <c r="Y878" s="121"/>
      <c r="Z878" s="121"/>
      <c r="AA878" s="121"/>
      <c r="AB878" s="121"/>
    </row>
    <row r="879" spans="1:28" ht="23.25" customHeight="1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1"/>
      <c r="X879" s="121"/>
      <c r="Y879" s="121"/>
      <c r="Z879" s="121"/>
      <c r="AA879" s="121"/>
      <c r="AB879" s="121"/>
    </row>
    <row r="880" spans="1:28" ht="23.25" customHeight="1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1"/>
      <c r="X880" s="121"/>
      <c r="Y880" s="121"/>
      <c r="Z880" s="121"/>
      <c r="AA880" s="121"/>
      <c r="AB880" s="121"/>
    </row>
    <row r="881" spans="1:28" ht="23.25" customHeight="1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1"/>
      <c r="X881" s="121"/>
      <c r="Y881" s="121"/>
      <c r="Z881" s="121"/>
      <c r="AA881" s="121"/>
      <c r="AB881" s="121"/>
    </row>
    <row r="882" spans="1:28" ht="23.25" customHeight="1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1"/>
      <c r="X882" s="121"/>
      <c r="Y882" s="121"/>
      <c r="Z882" s="121"/>
      <c r="AA882" s="121"/>
      <c r="AB882" s="121"/>
    </row>
    <row r="883" spans="1:28" ht="23.25" customHeight="1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1"/>
      <c r="X883" s="121"/>
      <c r="Y883" s="121"/>
      <c r="Z883" s="121"/>
      <c r="AA883" s="121"/>
      <c r="AB883" s="121"/>
    </row>
    <row r="884" spans="1:28" ht="23.25" customHeight="1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1"/>
      <c r="X884" s="121"/>
      <c r="Y884" s="121"/>
      <c r="Z884" s="121"/>
      <c r="AA884" s="121"/>
      <c r="AB884" s="121"/>
    </row>
    <row r="885" spans="1:28" ht="23.25" customHeight="1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1"/>
      <c r="X885" s="121"/>
      <c r="Y885" s="121"/>
      <c r="Z885" s="121"/>
      <c r="AA885" s="121"/>
      <c r="AB885" s="121"/>
    </row>
    <row r="886" spans="1:28" ht="23.25" customHeight="1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1"/>
      <c r="X886" s="121"/>
      <c r="Y886" s="121"/>
      <c r="Z886" s="121"/>
      <c r="AA886" s="121"/>
      <c r="AB886" s="121"/>
    </row>
    <row r="887" spans="1:28" ht="23.25" customHeight="1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1"/>
      <c r="X887" s="121"/>
      <c r="Y887" s="121"/>
      <c r="Z887" s="121"/>
      <c r="AA887" s="121"/>
      <c r="AB887" s="121"/>
    </row>
    <row r="888" spans="1:28" ht="23.25" customHeight="1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1"/>
      <c r="X888" s="121"/>
      <c r="Y888" s="121"/>
      <c r="Z888" s="121"/>
      <c r="AA888" s="121"/>
      <c r="AB888" s="121"/>
    </row>
    <row r="889" spans="1:28" ht="23.25" customHeight="1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1"/>
      <c r="X889" s="121"/>
      <c r="Y889" s="121"/>
      <c r="Z889" s="121"/>
      <c r="AA889" s="121"/>
      <c r="AB889" s="121"/>
    </row>
    <row r="890" spans="1:28" ht="23.25" customHeight="1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1"/>
      <c r="X890" s="121"/>
      <c r="Y890" s="121"/>
      <c r="Z890" s="121"/>
      <c r="AA890" s="121"/>
      <c r="AB890" s="121"/>
    </row>
    <row r="891" spans="1:28" ht="23.25" customHeight="1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1"/>
      <c r="X891" s="121"/>
      <c r="Y891" s="121"/>
      <c r="Z891" s="121"/>
      <c r="AA891" s="121"/>
      <c r="AB891" s="121"/>
    </row>
    <row r="892" spans="1:28" ht="23.25" customHeight="1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1"/>
      <c r="X892" s="121"/>
      <c r="Y892" s="121"/>
      <c r="Z892" s="121"/>
      <c r="AA892" s="121"/>
      <c r="AB892" s="121"/>
    </row>
    <row r="893" spans="1:28" ht="23.25" customHeight="1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1"/>
      <c r="X893" s="121"/>
      <c r="Y893" s="121"/>
      <c r="Z893" s="121"/>
      <c r="AA893" s="121"/>
      <c r="AB893" s="121"/>
    </row>
    <row r="894" spans="1:28" ht="23.25" customHeight="1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1"/>
      <c r="X894" s="121"/>
      <c r="Y894" s="121"/>
      <c r="Z894" s="121"/>
      <c r="AA894" s="121"/>
      <c r="AB894" s="121"/>
    </row>
    <row r="895" spans="1:28" ht="23.25" customHeight="1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1"/>
      <c r="X895" s="121"/>
      <c r="Y895" s="121"/>
      <c r="Z895" s="121"/>
      <c r="AA895" s="121"/>
      <c r="AB895" s="121"/>
    </row>
    <row r="896" spans="1:28" ht="23.25" customHeight="1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1"/>
      <c r="X896" s="121"/>
      <c r="Y896" s="121"/>
      <c r="Z896" s="121"/>
      <c r="AA896" s="121"/>
      <c r="AB896" s="121"/>
    </row>
    <row r="897" spans="1:28" ht="23.25" customHeight="1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1"/>
      <c r="X897" s="121"/>
      <c r="Y897" s="121"/>
      <c r="Z897" s="121"/>
      <c r="AA897" s="121"/>
      <c r="AB897" s="121"/>
    </row>
    <row r="898" spans="1:28" ht="23.25" customHeight="1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1"/>
      <c r="X898" s="121"/>
      <c r="Y898" s="121"/>
      <c r="Z898" s="121"/>
      <c r="AA898" s="121"/>
      <c r="AB898" s="121"/>
    </row>
    <row r="899" spans="1:28" ht="23.25" customHeight="1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  <c r="Y899" s="121"/>
      <c r="Z899" s="121"/>
      <c r="AA899" s="121"/>
      <c r="AB899" s="121"/>
    </row>
    <row r="900" spans="1:28" ht="23.25" customHeight="1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  <c r="Y900" s="121"/>
      <c r="Z900" s="121"/>
      <c r="AA900" s="121"/>
      <c r="AB900" s="121"/>
    </row>
    <row r="901" spans="1:28" ht="23.25" customHeight="1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1"/>
      <c r="X901" s="121"/>
      <c r="Y901" s="121"/>
      <c r="Z901" s="121"/>
      <c r="AA901" s="121"/>
      <c r="AB901" s="121"/>
    </row>
    <row r="902" spans="1:28" ht="23.25" customHeight="1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1"/>
      <c r="X902" s="121"/>
      <c r="Y902" s="121"/>
      <c r="Z902" s="121"/>
      <c r="AA902" s="121"/>
      <c r="AB902" s="121"/>
    </row>
    <row r="903" spans="1:28" ht="23.25" customHeight="1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1"/>
      <c r="X903" s="121"/>
      <c r="Y903" s="121"/>
      <c r="Z903" s="121"/>
      <c r="AA903" s="121"/>
      <c r="AB903" s="121"/>
    </row>
    <row r="904" spans="1:28" ht="23.25" customHeight="1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1"/>
      <c r="X904" s="121"/>
      <c r="Y904" s="121"/>
      <c r="Z904" s="121"/>
      <c r="AA904" s="121"/>
      <c r="AB904" s="121"/>
    </row>
    <row r="905" spans="1:28" ht="23.25" customHeight="1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1"/>
      <c r="X905" s="121"/>
      <c r="Y905" s="121"/>
      <c r="Z905" s="121"/>
      <c r="AA905" s="121"/>
      <c r="AB905" s="121"/>
    </row>
    <row r="906" spans="1:28" ht="23.25" customHeight="1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1"/>
      <c r="X906" s="121"/>
      <c r="Y906" s="121"/>
      <c r="Z906" s="121"/>
      <c r="AA906" s="121"/>
      <c r="AB906" s="121"/>
    </row>
    <row r="907" spans="1:28" ht="23.25" customHeight="1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1"/>
      <c r="X907" s="121"/>
      <c r="Y907" s="121"/>
      <c r="Z907" s="121"/>
      <c r="AA907" s="121"/>
      <c r="AB907" s="121"/>
    </row>
    <row r="908" spans="1:28" ht="23.25" customHeight="1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1"/>
      <c r="X908" s="121"/>
      <c r="Y908" s="121"/>
      <c r="Z908" s="121"/>
      <c r="AA908" s="121"/>
      <c r="AB908" s="121"/>
    </row>
    <row r="909" spans="1:28" ht="23.25" customHeight="1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  <c r="AA909" s="121"/>
      <c r="AB909" s="121"/>
    </row>
    <row r="910" spans="1:28" ht="23.25" customHeight="1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  <c r="AA910" s="121"/>
      <c r="AB910" s="121"/>
    </row>
    <row r="911" spans="1:28" ht="23.25" customHeight="1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  <c r="AA911" s="121"/>
      <c r="AB911" s="121"/>
    </row>
    <row r="912" spans="1:28" ht="23.25" customHeight="1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  <c r="AA912" s="121"/>
      <c r="AB912" s="121"/>
    </row>
    <row r="913" spans="1:28" ht="23.25" customHeight="1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  <c r="AA913" s="121"/>
      <c r="AB913" s="121"/>
    </row>
    <row r="914" spans="1:28" ht="23.25" customHeight="1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1"/>
      <c r="X914" s="121"/>
      <c r="Y914" s="121"/>
      <c r="Z914" s="121"/>
      <c r="AA914" s="121"/>
      <c r="AB914" s="121"/>
    </row>
    <row r="915" spans="1:28" ht="23.25" customHeight="1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1"/>
      <c r="X915" s="121"/>
      <c r="Y915" s="121"/>
      <c r="Z915" s="121"/>
      <c r="AA915" s="121"/>
      <c r="AB915" s="121"/>
    </row>
    <row r="916" spans="1:28" ht="23.25" customHeight="1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1"/>
      <c r="X916" s="121"/>
      <c r="Y916" s="121"/>
      <c r="Z916" s="121"/>
      <c r="AA916" s="121"/>
      <c r="AB916" s="121"/>
    </row>
    <row r="917" spans="1:28" ht="23.25" customHeight="1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1"/>
      <c r="X917" s="121"/>
      <c r="Y917" s="121"/>
      <c r="Z917" s="121"/>
      <c r="AA917" s="121"/>
      <c r="AB917" s="121"/>
    </row>
    <row r="918" spans="1:28" ht="23.25" customHeight="1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1"/>
      <c r="X918" s="121"/>
      <c r="Y918" s="121"/>
      <c r="Z918" s="121"/>
      <c r="AA918" s="121"/>
      <c r="AB918" s="121"/>
    </row>
    <row r="919" spans="1:28" ht="23.25" customHeight="1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1"/>
      <c r="X919" s="121"/>
      <c r="Y919" s="121"/>
      <c r="Z919" s="121"/>
      <c r="AA919" s="121"/>
      <c r="AB919" s="121"/>
    </row>
    <row r="920" spans="1:28" ht="23.25" customHeight="1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1"/>
      <c r="X920" s="121"/>
      <c r="Y920" s="121"/>
      <c r="Z920" s="121"/>
      <c r="AA920" s="121"/>
      <c r="AB920" s="121"/>
    </row>
    <row r="921" spans="1:28" ht="23.25" customHeight="1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1"/>
      <c r="X921" s="121"/>
      <c r="Y921" s="121"/>
      <c r="Z921" s="121"/>
      <c r="AA921" s="121"/>
      <c r="AB921" s="121"/>
    </row>
    <row r="922" spans="1:28" ht="23.25" customHeight="1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1"/>
      <c r="X922" s="121"/>
      <c r="Y922" s="121"/>
      <c r="Z922" s="121"/>
      <c r="AA922" s="121"/>
      <c r="AB922" s="121"/>
    </row>
    <row r="923" spans="1:28" ht="23.25" customHeight="1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1"/>
      <c r="X923" s="121"/>
      <c r="Y923" s="121"/>
      <c r="Z923" s="121"/>
      <c r="AA923" s="121"/>
      <c r="AB923" s="121"/>
    </row>
    <row r="924" spans="1:28" ht="23.25" customHeight="1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1"/>
      <c r="X924" s="121"/>
      <c r="Y924" s="121"/>
      <c r="Z924" s="121"/>
      <c r="AA924" s="121"/>
      <c r="AB924" s="121"/>
    </row>
    <row r="925" spans="1:28" ht="23.25" customHeight="1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1"/>
      <c r="X925" s="121"/>
      <c r="Y925" s="121"/>
      <c r="Z925" s="121"/>
      <c r="AA925" s="121"/>
      <c r="AB925" s="121"/>
    </row>
    <row r="926" spans="1:28" ht="23.25" customHeight="1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1"/>
      <c r="X926" s="121"/>
      <c r="Y926" s="121"/>
      <c r="Z926" s="121"/>
      <c r="AA926" s="121"/>
      <c r="AB926" s="121"/>
    </row>
    <row r="927" spans="1:28" ht="23.25" customHeight="1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1"/>
      <c r="X927" s="121"/>
      <c r="Y927" s="121"/>
      <c r="Z927" s="121"/>
      <c r="AA927" s="121"/>
      <c r="AB927" s="121"/>
    </row>
    <row r="928" spans="1:28" ht="23.25" customHeight="1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  <c r="Y928" s="121"/>
      <c r="Z928" s="121"/>
      <c r="AA928" s="121"/>
      <c r="AB928" s="121"/>
    </row>
    <row r="929" spans="1:28" ht="23.25" customHeight="1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  <c r="Y929" s="121"/>
      <c r="Z929" s="121"/>
      <c r="AA929" s="121"/>
      <c r="AB929" s="121"/>
    </row>
    <row r="930" spans="1:28" ht="23.25" customHeight="1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1"/>
      <c r="X930" s="121"/>
      <c r="Y930" s="121"/>
      <c r="Z930" s="121"/>
      <c r="AA930" s="121"/>
      <c r="AB930" s="121"/>
    </row>
    <row r="931" spans="1:28" ht="23.25" customHeight="1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1"/>
      <c r="X931" s="121"/>
      <c r="Y931" s="121"/>
      <c r="Z931" s="121"/>
      <c r="AA931" s="121"/>
      <c r="AB931" s="121"/>
    </row>
    <row r="932" spans="1:28" ht="23.25" customHeight="1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1"/>
      <c r="X932" s="121"/>
      <c r="Y932" s="121"/>
      <c r="Z932" s="121"/>
      <c r="AA932" s="121"/>
      <c r="AB932" s="121"/>
    </row>
    <row r="933" spans="1:28" ht="23.25" customHeight="1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1"/>
      <c r="X933" s="121"/>
      <c r="Y933" s="121"/>
      <c r="Z933" s="121"/>
      <c r="AA933" s="121"/>
      <c r="AB933" s="121"/>
    </row>
    <row r="934" spans="1:28" ht="23.25" customHeight="1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1"/>
      <c r="X934" s="121"/>
      <c r="Y934" s="121"/>
      <c r="Z934" s="121"/>
      <c r="AA934" s="121"/>
      <c r="AB934" s="121"/>
    </row>
    <row r="935" spans="1:28" ht="23.25" customHeight="1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1"/>
      <c r="X935" s="121"/>
      <c r="Y935" s="121"/>
      <c r="Z935" s="121"/>
      <c r="AA935" s="121"/>
      <c r="AB935" s="121"/>
    </row>
    <row r="936" spans="1:28" ht="23.25" customHeight="1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1"/>
      <c r="X936" s="121"/>
      <c r="Y936" s="121"/>
      <c r="Z936" s="121"/>
      <c r="AA936" s="121"/>
      <c r="AB936" s="121"/>
    </row>
    <row r="937" spans="1:28" ht="23.25" customHeight="1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1"/>
      <c r="X937" s="121"/>
      <c r="Y937" s="121"/>
      <c r="Z937" s="121"/>
      <c r="AA937" s="121"/>
      <c r="AB937" s="121"/>
    </row>
    <row r="938" spans="1:28" ht="23.25" customHeight="1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1"/>
      <c r="X938" s="121"/>
      <c r="Y938" s="121"/>
      <c r="Z938" s="121"/>
      <c r="AA938" s="121"/>
      <c r="AB938" s="121"/>
    </row>
    <row r="939" spans="1:28" ht="23.25" customHeight="1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1"/>
      <c r="X939" s="121"/>
      <c r="Y939" s="121"/>
      <c r="Z939" s="121"/>
      <c r="AA939" s="121"/>
      <c r="AB939" s="121"/>
    </row>
    <row r="940" spans="1:28" ht="23.25" customHeight="1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1"/>
      <c r="X940" s="121"/>
      <c r="Y940" s="121"/>
      <c r="Z940" s="121"/>
      <c r="AA940" s="121"/>
      <c r="AB940" s="121"/>
    </row>
    <row r="941" spans="1:28" ht="23.25" customHeight="1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1"/>
      <c r="X941" s="121"/>
      <c r="Y941" s="121"/>
      <c r="Z941" s="121"/>
      <c r="AA941" s="121"/>
      <c r="AB941" s="121"/>
    </row>
    <row r="942" spans="1:28" ht="23.25" customHeight="1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1"/>
      <c r="X942" s="121"/>
      <c r="Y942" s="121"/>
      <c r="Z942" s="121"/>
      <c r="AA942" s="121"/>
      <c r="AB942" s="121"/>
    </row>
    <row r="943" spans="1:28" ht="23.25" customHeight="1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1"/>
      <c r="X943" s="121"/>
      <c r="Y943" s="121"/>
      <c r="Z943" s="121"/>
      <c r="AA943" s="121"/>
      <c r="AB943" s="121"/>
    </row>
    <row r="944" spans="1:28" ht="23.25" customHeight="1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1"/>
      <c r="X944" s="121"/>
      <c r="Y944" s="121"/>
      <c r="Z944" s="121"/>
      <c r="AA944" s="121"/>
      <c r="AB944" s="121"/>
    </row>
    <row r="945" spans="1:28" ht="23.25" customHeight="1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1"/>
      <c r="X945" s="121"/>
      <c r="Y945" s="121"/>
      <c r="Z945" s="121"/>
      <c r="AA945" s="121"/>
      <c r="AB945" s="121"/>
    </row>
    <row r="946" spans="1:28" ht="23.25" customHeight="1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1"/>
      <c r="X946" s="121"/>
      <c r="Y946" s="121"/>
      <c r="Z946" s="121"/>
      <c r="AA946" s="121"/>
      <c r="AB946" s="121"/>
    </row>
    <row r="947" spans="1:28" ht="23.25" customHeight="1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21"/>
      <c r="P947" s="121"/>
      <c r="Q947" s="121"/>
      <c r="R947" s="121"/>
      <c r="S947" s="121"/>
      <c r="T947" s="121"/>
      <c r="U947" s="121"/>
      <c r="V947" s="121"/>
      <c r="W947" s="121"/>
      <c r="X947" s="121"/>
      <c r="Y947" s="121"/>
      <c r="Z947" s="121"/>
      <c r="AA947" s="121"/>
      <c r="AB947" s="121"/>
    </row>
    <row r="948" spans="1:28" ht="23.25" customHeight="1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1"/>
      <c r="X948" s="121"/>
      <c r="Y948" s="121"/>
      <c r="Z948" s="121"/>
      <c r="AA948" s="121"/>
      <c r="AB948" s="121"/>
    </row>
    <row r="949" spans="1:28" ht="23.25" customHeight="1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1"/>
      <c r="X949" s="121"/>
      <c r="Y949" s="121"/>
      <c r="Z949" s="121"/>
      <c r="AA949" s="121"/>
      <c r="AB949" s="121"/>
    </row>
    <row r="950" spans="1:28" ht="23.25" customHeight="1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1"/>
      <c r="X950" s="121"/>
      <c r="Y950" s="121"/>
      <c r="Z950" s="121"/>
      <c r="AA950" s="121"/>
      <c r="AB950" s="121"/>
    </row>
    <row r="951" spans="1:28" ht="23.25" customHeight="1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1"/>
      <c r="X951" s="121"/>
      <c r="Y951" s="121"/>
      <c r="Z951" s="121"/>
      <c r="AA951" s="121"/>
      <c r="AB951" s="121"/>
    </row>
    <row r="952" spans="1:28" ht="23.25" customHeight="1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1"/>
      <c r="X952" s="121"/>
      <c r="Y952" s="121"/>
      <c r="Z952" s="121"/>
      <c r="AA952" s="121"/>
      <c r="AB952" s="121"/>
    </row>
    <row r="953" spans="1:28" ht="23.25" customHeight="1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1"/>
      <c r="X953" s="121"/>
      <c r="Y953" s="121"/>
      <c r="Z953" s="121"/>
      <c r="AA953" s="121"/>
      <c r="AB953" s="121"/>
    </row>
    <row r="954" spans="1:28" ht="23.25" customHeight="1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1"/>
      <c r="X954" s="121"/>
      <c r="Y954" s="121"/>
      <c r="Z954" s="121"/>
      <c r="AA954" s="121"/>
      <c r="AB954" s="121"/>
    </row>
    <row r="955" spans="1:28" ht="23.25" customHeight="1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1"/>
      <c r="X955" s="121"/>
      <c r="Y955" s="121"/>
      <c r="Z955" s="121"/>
      <c r="AA955" s="121"/>
      <c r="AB955" s="121"/>
    </row>
    <row r="956" spans="1:28" ht="23.25" customHeight="1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1"/>
      <c r="X956" s="121"/>
      <c r="Y956" s="121"/>
      <c r="Z956" s="121"/>
      <c r="AA956" s="121"/>
      <c r="AB956" s="121"/>
    </row>
    <row r="957" spans="1:28" ht="23.25" customHeight="1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  <c r="Y957" s="121"/>
      <c r="Z957" s="121"/>
      <c r="AA957" s="121"/>
      <c r="AB957" s="121"/>
    </row>
    <row r="958" spans="1:28" ht="23.25" customHeight="1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  <c r="Y958" s="121"/>
      <c r="Z958" s="121"/>
      <c r="AA958" s="121"/>
      <c r="AB958" s="121"/>
    </row>
    <row r="959" spans="1:28" ht="23.25" customHeight="1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1"/>
      <c r="X959" s="121"/>
      <c r="Y959" s="121"/>
      <c r="Z959" s="121"/>
      <c r="AA959" s="121"/>
      <c r="AB959" s="121"/>
    </row>
    <row r="960" spans="1:28" ht="23.25" customHeight="1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1"/>
      <c r="X960" s="121"/>
      <c r="Y960" s="121"/>
      <c r="Z960" s="121"/>
      <c r="AA960" s="121"/>
      <c r="AB960" s="121"/>
    </row>
    <row r="961" spans="1:28" ht="23.25" customHeight="1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1"/>
      <c r="X961" s="121"/>
      <c r="Y961" s="121"/>
      <c r="Z961" s="121"/>
      <c r="AA961" s="121"/>
      <c r="AB961" s="121"/>
    </row>
    <row r="962" spans="1:28" ht="23.25" customHeight="1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1"/>
      <c r="X962" s="121"/>
      <c r="Y962" s="121"/>
      <c r="Z962" s="121"/>
      <c r="AA962" s="121"/>
      <c r="AB962" s="121"/>
    </row>
    <row r="963" spans="1:28" ht="23.25" customHeight="1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1"/>
      <c r="X963" s="121"/>
      <c r="Y963" s="121"/>
      <c r="Z963" s="121"/>
      <c r="AA963" s="121"/>
      <c r="AB963" s="121"/>
    </row>
    <row r="964" spans="1:28" ht="23.25" customHeight="1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1"/>
      <c r="X964" s="121"/>
      <c r="Y964" s="121"/>
      <c r="Z964" s="121"/>
      <c r="AA964" s="121"/>
      <c r="AB964" s="121"/>
    </row>
    <row r="965" spans="1:28" ht="23.25" customHeight="1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  <c r="AA965" s="121"/>
      <c r="AB965" s="121"/>
    </row>
    <row r="966" spans="1:28" ht="23.25" customHeight="1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21"/>
      <c r="P966" s="121"/>
      <c r="Q966" s="121"/>
      <c r="R966" s="121"/>
      <c r="S966" s="121"/>
      <c r="T966" s="121"/>
      <c r="U966" s="121"/>
      <c r="V966" s="121"/>
      <c r="W966" s="121"/>
      <c r="X966" s="121"/>
      <c r="Y966" s="121"/>
      <c r="Z966" s="121"/>
      <c r="AA966" s="121"/>
      <c r="AB966" s="121"/>
    </row>
    <row r="967" spans="1:28" ht="23.25" customHeight="1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1"/>
      <c r="X967" s="121"/>
      <c r="Y967" s="121"/>
      <c r="Z967" s="121"/>
      <c r="AA967" s="121"/>
      <c r="AB967" s="121"/>
    </row>
    <row r="968" spans="1:28" ht="23.25" customHeight="1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1"/>
      <c r="X968" s="121"/>
      <c r="Y968" s="121"/>
      <c r="Z968" s="121"/>
      <c r="AA968" s="121"/>
      <c r="AB968" s="121"/>
    </row>
    <row r="969" spans="1:28" ht="23.25" customHeight="1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  <c r="AA969" s="121"/>
      <c r="AB969" s="121"/>
    </row>
    <row r="970" spans="1:28" ht="23.25" customHeight="1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1"/>
      <c r="X970" s="121"/>
      <c r="Y970" s="121"/>
      <c r="Z970" s="121"/>
      <c r="AA970" s="121"/>
      <c r="AB970" s="121"/>
    </row>
    <row r="971" spans="1:28" ht="23.25" customHeight="1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1"/>
      <c r="X971" s="121"/>
      <c r="Y971" s="121"/>
      <c r="Z971" s="121"/>
      <c r="AA971" s="121"/>
      <c r="AB971" s="121"/>
    </row>
    <row r="972" spans="1:28" ht="23.25" customHeight="1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1"/>
      <c r="X972" s="121"/>
      <c r="Y972" s="121"/>
      <c r="Z972" s="121"/>
      <c r="AA972" s="121"/>
      <c r="AB972" s="121"/>
    </row>
    <row r="973" spans="1:28" ht="23.25" customHeight="1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1"/>
      <c r="X973" s="121"/>
      <c r="Y973" s="121"/>
      <c r="Z973" s="121"/>
      <c r="AA973" s="121"/>
      <c r="AB973" s="121"/>
    </row>
    <row r="974" spans="1:28" ht="23.25" customHeight="1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1"/>
      <c r="X974" s="121"/>
      <c r="Y974" s="121"/>
      <c r="Z974" s="121"/>
      <c r="AA974" s="121"/>
      <c r="AB974" s="121"/>
    </row>
    <row r="975" spans="1:28" ht="23.25" customHeight="1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1"/>
      <c r="X975" s="121"/>
      <c r="Y975" s="121"/>
      <c r="Z975" s="121"/>
      <c r="AA975" s="121"/>
      <c r="AB975" s="121"/>
    </row>
    <row r="976" spans="1:28" ht="15" customHeight="1">
      <c r="A976" s="122"/>
      <c r="B976" s="122"/>
      <c r="C976" s="122"/>
      <c r="D976" s="122"/>
      <c r="E976" s="122"/>
      <c r="F976" s="122"/>
      <c r="G976" s="122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  <c r="AA976" s="122"/>
      <c r="AB976" s="122"/>
    </row>
    <row r="977" spans="1:28" ht="15" customHeight="1">
      <c r="A977" s="122"/>
      <c r="B977" s="122"/>
      <c r="C977" s="122"/>
      <c r="D977" s="122"/>
      <c r="E977" s="122"/>
      <c r="F977" s="122"/>
      <c r="G977" s="122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2"/>
      <c r="W977" s="122"/>
      <c r="X977" s="122"/>
      <c r="Y977" s="122"/>
      <c r="Z977" s="122"/>
      <c r="AA977" s="122"/>
      <c r="AB977" s="122"/>
    </row>
    <row r="978" spans="1:28" ht="15" customHeight="1">
      <c r="A978" s="122"/>
      <c r="B978" s="122"/>
      <c r="C978" s="122"/>
      <c r="D978" s="122"/>
      <c r="E978" s="122"/>
      <c r="F978" s="122"/>
      <c r="G978" s="122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  <c r="AA978" s="122"/>
      <c r="AB978" s="122"/>
    </row>
    <row r="979" spans="1:28" ht="15" customHeight="1">
      <c r="A979" s="122"/>
      <c r="B979" s="122"/>
      <c r="C979" s="122"/>
      <c r="D979" s="122"/>
      <c r="E979" s="122"/>
      <c r="F979" s="122"/>
      <c r="G979" s="122"/>
      <c r="H979" s="122"/>
      <c r="I979" s="122"/>
      <c r="J979" s="122"/>
      <c r="K979" s="122"/>
      <c r="L979" s="122"/>
      <c r="M979" s="122"/>
      <c r="N979" s="122"/>
      <c r="O979" s="122"/>
      <c r="P979" s="122"/>
      <c r="Q979" s="122"/>
      <c r="R979" s="122"/>
      <c r="S979" s="122"/>
      <c r="T979" s="122"/>
      <c r="U979" s="122"/>
      <c r="V979" s="122"/>
      <c r="W979" s="122"/>
      <c r="X979" s="122"/>
      <c r="Y979" s="122"/>
      <c r="Z979" s="122"/>
      <c r="AA979" s="122"/>
      <c r="AB979" s="122"/>
    </row>
    <row r="980" spans="1:28" ht="15" customHeight="1">
      <c r="A980" s="122"/>
      <c r="B980" s="122"/>
      <c r="C980" s="122"/>
      <c r="D980" s="122"/>
      <c r="E980" s="122"/>
      <c r="F980" s="122"/>
      <c r="G980" s="122"/>
      <c r="H980" s="122"/>
      <c r="I980" s="122"/>
      <c r="J980" s="122"/>
      <c r="K980" s="122"/>
      <c r="L980" s="122"/>
      <c r="M980" s="122"/>
      <c r="N980" s="122"/>
      <c r="O980" s="122"/>
      <c r="P980" s="122"/>
      <c r="Q980" s="122"/>
      <c r="R980" s="122"/>
      <c r="S980" s="122"/>
      <c r="T980" s="122"/>
      <c r="U980" s="122"/>
      <c r="V980" s="122"/>
      <c r="W980" s="122"/>
      <c r="X980" s="122"/>
      <c r="Y980" s="122"/>
      <c r="Z980" s="122"/>
      <c r="AA980" s="122"/>
      <c r="AB980" s="122"/>
    </row>
    <row r="981" spans="1:28" ht="15" customHeight="1">
      <c r="A981" s="122"/>
      <c r="B981" s="122"/>
      <c r="C981" s="122"/>
      <c r="D981" s="122"/>
      <c r="E981" s="122"/>
      <c r="F981" s="122"/>
      <c r="G981" s="122"/>
      <c r="H981" s="122"/>
      <c r="I981" s="122"/>
      <c r="J981" s="122"/>
      <c r="K981" s="122"/>
      <c r="L981" s="122"/>
      <c r="M981" s="122"/>
      <c r="N981" s="122"/>
      <c r="O981" s="122"/>
      <c r="P981" s="122"/>
      <c r="Q981" s="122"/>
      <c r="R981" s="122"/>
      <c r="S981" s="122"/>
      <c r="T981" s="122"/>
      <c r="U981" s="122"/>
      <c r="V981" s="122"/>
      <c r="W981" s="122"/>
      <c r="X981" s="122"/>
      <c r="Y981" s="122"/>
      <c r="Z981" s="122"/>
      <c r="AA981" s="122"/>
      <c r="AB981" s="122"/>
    </row>
    <row r="982" spans="1:28" ht="15" customHeight="1">
      <c r="A982" s="122"/>
      <c r="B982" s="122"/>
      <c r="C982" s="122"/>
      <c r="D982" s="122"/>
      <c r="E982" s="122"/>
      <c r="F982" s="122"/>
      <c r="G982" s="122"/>
      <c r="H982" s="122"/>
      <c r="I982" s="122"/>
      <c r="J982" s="122"/>
      <c r="K982" s="122"/>
      <c r="L982" s="122"/>
      <c r="M982" s="122"/>
      <c r="N982" s="122"/>
      <c r="O982" s="122"/>
      <c r="P982" s="122"/>
      <c r="Q982" s="122"/>
      <c r="R982" s="122"/>
      <c r="S982" s="122"/>
      <c r="T982" s="122"/>
      <c r="U982" s="122"/>
      <c r="V982" s="122"/>
      <c r="W982" s="122"/>
      <c r="X982" s="122"/>
      <c r="Y982" s="122"/>
      <c r="Z982" s="122"/>
      <c r="AA982" s="122"/>
      <c r="AB982" s="122"/>
    </row>
    <row r="983" spans="1:28" ht="15" customHeight="1">
      <c r="A983" s="122"/>
      <c r="B983" s="122"/>
      <c r="C983" s="122"/>
      <c r="D983" s="122"/>
      <c r="E983" s="122"/>
      <c r="F983" s="122"/>
      <c r="G983" s="122"/>
      <c r="H983" s="122"/>
      <c r="I983" s="122"/>
      <c r="J983" s="122"/>
      <c r="K983" s="122"/>
      <c r="L983" s="122"/>
      <c r="M983" s="122"/>
      <c r="N983" s="122"/>
      <c r="O983" s="122"/>
      <c r="P983" s="122"/>
      <c r="Q983" s="122"/>
      <c r="R983" s="122"/>
      <c r="S983" s="122"/>
      <c r="T983" s="122"/>
      <c r="U983" s="122"/>
      <c r="V983" s="122"/>
      <c r="W983" s="122"/>
      <c r="X983" s="122"/>
      <c r="Y983" s="122"/>
      <c r="Z983" s="122"/>
      <c r="AA983" s="122"/>
      <c r="AB983" s="122"/>
    </row>
  </sheetData>
  <mergeCells count="26">
    <mergeCell ref="B71:F71"/>
    <mergeCell ref="B96:E96"/>
    <mergeCell ref="B97:D97"/>
    <mergeCell ref="B75:D75"/>
    <mergeCell ref="B77:F77"/>
    <mergeCell ref="B86:D86"/>
    <mergeCell ref="B88:F88"/>
    <mergeCell ref="B94:D94"/>
    <mergeCell ref="F96:F98"/>
    <mergeCell ref="B98:D98"/>
    <mergeCell ref="B56:F56"/>
    <mergeCell ref="B61:D61"/>
    <mergeCell ref="B62:D62"/>
    <mergeCell ref="B64:F64"/>
    <mergeCell ref="B69:D69"/>
    <mergeCell ref="B54:D54"/>
    <mergeCell ref="B53:D53"/>
    <mergeCell ref="B4:C4"/>
    <mergeCell ref="D5:D12"/>
    <mergeCell ref="B14:C14"/>
    <mergeCell ref="B19:C19"/>
    <mergeCell ref="B22:F23"/>
    <mergeCell ref="B24:F24"/>
    <mergeCell ref="D14:D20"/>
    <mergeCell ref="B32:D32"/>
    <mergeCell ref="B49:D49"/>
  </mergeCells>
  <phoneticPr fontId="20" type="noConversion"/>
  <hyperlinks>
    <hyperlink ref="F26" r:id="rId1" location="polycard_client=search-desktop&amp;be_origin=backend&amp;search_layout=grid&amp;position=7&amp;type=product&amp;float_highlight=last_units&amp;tracking_id=f52f9e4c-9cf8-47b8-b8fa-b23938a6c833&amp;wid=MLA1503052082&amp;sid=search" display="https://www.mercadolibre.com.ar/combo-10-colchones-1-plaza-por-mayor-economico-190x80-13cm/up/MLAU128937870#polycard_client=search-desktop&amp;be_origin=backend&amp;search_layout=grid&amp;position=7&amp;type=product&amp;float_highlight=last_units&amp;tracking_id=f52f9e4c-9cf8-47b8-b8fa-b23938a6c833&amp;wid=MLA1503052082&amp;sid=search" xr:uid="{317BD197-33F5-41D8-B253-07C9CD9D9593}"/>
    <hyperlink ref="F27" r:id="rId2" display="https://www.mercadolibre.com.ar/juego-de-toalla-y-toallon-hotelero-algodon-100-400g-leviblanc/p/MLA63785725?pdp_filters=item_id%3AMLA2744183104&amp;from=gshop&amp;matt_tool=80172593&amp;matt_word=&amp;matt_source=google&amp;matt_campaign_id=23390548790&amp;matt_ad_group_id=189479898143&amp;matt_match_type=&amp;matt_network=g&amp;matt_device=c&amp;matt_creative=789984782293&amp;matt_keyword=&amp;matt_ad_position=&amp;matt_ad_type=pla&amp;matt_merchant_id=735078350&amp;matt_product_id=MLA63785725-product&amp;matt_product_partition_id=2392713116061&amp;matt_target_id=aud-1965625651133:pla-2392713116061&amp;cq_src=google_ads&amp;cq_cmp=23390548790&amp;cq_net=g&amp;cq_plt=gp&amp;cq_med=pla&amp;gad_source=1&amp;gad_campaignid=23390548790&amp;gbraid=0AAAAAD01zQZO_5k0k-_Qy1sBQ-6VYgHEA&amp;gclid=Cj0KCQjwlqTRBhCBARIsANrkrxjWc9End1aUK7zgl69x48OfnaZ5M3ZdGUzCaKq9iafhfbR2tI-eH28aAnX8EALw_wcB" xr:uid="{F91CE3E3-E4E7-46AC-9B94-960E1D00AF2D}"/>
    <hyperlink ref="F28" r:id="rId3" display="https://metroblanc.com.ar/producto/alfombra-salida-de-bano-seclar-750-grs/?utm_term=&amp;utm_campaign=Compras+-+Shopping+Sales+Performance+28/6/23&amp;utm_source=adwords&amp;utm_medium=ppc&amp;hsa_acc=6513142586&amp;hsa_cam=20320539008&amp;hsa_grp=&amp;hsa_ad=&amp;hsa_src=x&amp;hsa_tgt=&amp;hsa_kw=&amp;hsa_mt=&amp;hsa_net=adwords&amp;hsa_ver=3&amp;gad_source=1&amp;gad_campaignid=20320543412&amp;gbraid=0AAAAAD6dP7Fd5xH7xb5Ql7kgV0ANAVnGE&amp;gclid=Cj0KCQjwlqTRBhCBARIsANrkrxi1KlWpCWZcNpl0WYvwYe9s6ovY7IGzFTiRj1174_V_z9GRJ6CYy4saAgOSEALw_wcB" xr:uid="{E7406ADF-C6BC-4912-8127-7FE7A5FA7F96}"/>
    <hyperlink ref="F29" r:id="rId4" display="https://www.tutextil.com.ar/productos/pack-x-10-sabana-plana-144-hilos-1-plaza-c5ewh/?variant=1364518549&amp;pf=mc&amp;gad_source=1&amp;gad_campaignid=23174853313&amp;gbraid=0AAAAADIkhLE5WGX9FFZiWO-aM_ljU0Ka3&amp;gclid=Cj0KCQjwlqTRBhCBARIsANrkrxg9B8S5sb6Hw-j01XChl8hsQnVP3KRJXtlbabF1nMvf5xlinsId1uoaAsk7EALw_wcB" xr:uid="{5A95EDAB-6A19-402F-AD7B-42F85E56721B}"/>
    <hyperlink ref="F30" r:id="rId5" display="https://www.distritoblancomayorista.com.ar/productos/acolchado-liso-reversible-blanco-blanco?variant=379438046&amp;pf=mc&amp;gad_source=1&amp;gad_campaignid=23749744311&amp;gbraid=0AAAAAo4aIORQIhYjfAiIS7Y42QR01Xhrk&amp;gclid=Cj0KCQjwlqTRBhCBARIsANrkrxizIWyto7AczGgV48AD-O1oYvL_sfxari86ci1thOKQF4A6nqHENi0aAoJHEALw_wcB" xr:uid="{45C7234D-3529-4F40-B36E-BEDCA3F4CADF}"/>
    <hyperlink ref="F31" r:id="rId6" display="https://www.mercadolibre.com.ar/almohada-hotelera-economica-somos-fabricantes-macro-blanco/up/MLAU127529514?pdp_filters=item_id%3AMLA1394360203&amp;from=gshop&amp;matt_tool=97413954&amp;matt_word=&amp;matt_source=google&amp;matt_campaign_id=23390548787&amp;matt_ad_group_id=189479898903&amp;matt_match_type=&amp;matt_network=g&amp;matt_device=c&amp;matt_creative=789984782113&amp;matt_keyword=&amp;matt_ad_position=&amp;matt_ad_type=pla&amp;matt_merchant_id=5704694254&amp;matt_product_id=MLAU127529514&amp;matt_product_partition_id=2389561735130&amp;matt_target_id=aud-1965625651133:pla-2389561735130&amp;cq_src=google_ads&amp;cq_cmp=23390548787&amp;cq_net=g&amp;cq_plt=gp&amp;cq_med=pla&amp;gad_source=1&amp;gad_campaignid=23390548787&amp;gbraid=0AAAAAD01zQbbBW6lH8Ih9Dpa9MBZjAGBR&amp;gclid=Cj0KCQjwlqTRBhCBARIsANrkrxh2nWtetz5tuLEV5RdPuqtS2e1F_RJFCW9I_9wQNDMsTTO-eCq049caAubLEALw_wcB" xr:uid="{D3F4EF47-972A-4795-8E03-814A5A92B3D3}"/>
    <hyperlink ref="F46" r:id="rId7" location="polycard_client=recommendations_pdp-pads-right&amp;wid=MLA2037745586&amp;sid=recos&amp;reco_backend=pdp_pads_right_rars_v2_with_default&amp;reco_model=fallback_productos-promocionados&amp;reco_client=pdp-pads-right&amp;reco_item_pos=1&amp;reco_backend_type=low_level&amp;reco_id=149e6154-56c9-4de5-9395-05c3064c54b8&amp;is_advertising=true&amp;ad_domain=PDPDESKTOP_RIGHT&amp;ad_position=2&amp;ad_click_id=OGU3Y2M1NzItM2Y4ZS00ZTMzLWIyOTctOTZkMTVlNDNjODgx" display="https://www.mercadolibre.com.ar/heladera-inverter-midea-blanca-top-mount-340l-color-blanco/p/MLA46213326?pdp_filters=item_id:MLA2037745586#polycard_client=recommendations_pdp-pads-right&amp;wid=MLA2037745586&amp;sid=recos&amp;reco_backend=pdp_pads_right_rars_v2_with_default&amp;reco_model=fallback_productos-promocionados&amp;reco_client=pdp-pads-right&amp;reco_item_pos=1&amp;reco_backend_type=low_level&amp;reco_id=149e6154-56c9-4de5-9395-05c3064c54b8&amp;is_advertising=true&amp;ad_domain=PDPDESKTOP_RIGHT&amp;ad_position=2&amp;ad_click_id=OGU3Y2M1NzItM2Y4ZS00ZTMzLWIyOTctOTZkMTVlNDNjODgx" xr:uid="{467E7C09-79E1-4DD8-B8BB-88383D216BB1}"/>
    <hyperlink ref="F35" r:id="rId8" location="polycard_client=recommendations_vip-pads-right&amp;wid=MLA886467843&amp;sid=recos&amp;reco_backend=pads_ranker_entity_v2_retrieval_system_vip_pads_up&amp;reco_model=fallback_productos-promocionados&amp;reco_client=vip-pads-right&amp;reco_item_pos=3&amp;reco_backend_type=low_level&amp;reco_id=3e20b8f6-a7a3-4a10-817b-5b4be27ff325&amp;is_advertising=true&amp;ad_domain=VIPCORE_RIGHT&amp;ad_position=4&amp;ad_click_id=ZjU0MmIzNzYtNzA0MC00YmFiLThkNmQtZTJmNGU0NDc2NmMx" display="https://www.mercadolibre.com.ar/set-x6-platos-hondos-postre-y-playos-porcelana-verbano-recta/up/MLAU300750121#polycard_client=recommendations_vip-pads-right&amp;wid=MLA886467843&amp;sid=recos&amp;reco_backend=pads_ranker_entity_v2_retrieval_system_vip_pads_up&amp;reco_model=fallback_productos-promocionados&amp;reco_client=vip-pads-right&amp;reco_item_pos=3&amp;reco_backend_type=low_level&amp;reco_id=3e20b8f6-a7a3-4a10-817b-5b4be27ff325&amp;is_advertising=true&amp;ad_domain=VIPCORE_RIGHT&amp;ad_position=4&amp;ad_click_id=ZjU0MmIzNzYtNzA0MC00YmFiLThkNmQtZTJmNGU0NDc2NmMx" xr:uid="{4900AD71-B513-41E5-9BD4-629530808786}"/>
    <hyperlink ref="F36" r:id="rId9" xr:uid="{9D72DD9F-EBF6-4EC5-B2C8-E688CC8DA2E7}"/>
    <hyperlink ref="F37" r:id="rId10" location="polycard_client=search-desktop&amp;be_origin=backend&amp;search_layout=grid&amp;position=7&amp;type=product&amp;tracking_id=22589747-d047-40c3-8da2-4aff66ab612f&amp;wid=MLA2138599298&amp;sid=search" display="https://www.mercadolibre.com.ar/copa-brunello-nadir-vino-390ml-set-x12-unidades-color-transparente/p/MLA23207179#polycard_client=search-desktop&amp;be_origin=backend&amp;search_layout=grid&amp;position=7&amp;type=product&amp;tracking_id=22589747-d047-40c3-8da2-4aff66ab612f&amp;wid=MLA2138599298&amp;sid=search" xr:uid="{87625F3A-DB27-46EB-B878-80A7537EFAD5}"/>
    <hyperlink ref="F38" r:id="rId11" location="polycard_client=search-desktop&amp;be_origin=backend&amp;search_layout=grid&amp;position=1&amp;type=product&amp;tracking_id=7a2e62fc-2376-45cc-bc9b-2a6b15cc67c2&amp;wid=MLA1899463810&amp;sid=search" display="https://www.mercadolibre.com.ar/pack-12-copas-champagne-vidrio-178-ml-aragon-cristar/p/MLA40005998#polycard_client=search-desktop&amp;be_origin=backend&amp;search_layout=grid&amp;position=1&amp;type=product&amp;tracking_id=7a2e62fc-2376-45cc-bc9b-2a6b15cc67c2&amp;wid=MLA1899463810&amp;sid=search" xr:uid="{614B824C-8CE9-4039-ACCA-A75842E348BB}"/>
    <hyperlink ref="F40" r:id="rId12" location="polycard_client=search-desktop&amp;be_origin=backend&amp;search_layout=grid&amp;position=3&amp;type=product&amp;tracking_id=6b0dc0a9-88fc-4876-8287-48b0a2d72a30&amp;wid=MLA1518314428&amp;sid=search" display="https://www.mercadolibre.com.ar/olla-gastronomica-aluminio-n-36-36-l-almandoz-mayorista-color-plateado/p/MLA23688059#polycard_client=search-desktop&amp;be_origin=backend&amp;search_layout=grid&amp;position=3&amp;type=product&amp;tracking_id=6b0dc0a9-88fc-4876-8287-48b0a2d72a30&amp;wid=MLA1518314428&amp;sid=search" xr:uid="{E62BFE36-E0F5-445B-9F7E-FAE694C3A097}"/>
    <hyperlink ref="F39" r:id="rId13" location="polycard_client=search-desktop&amp;be_origin=backend&amp;search_layout=grid&amp;position=10&amp;type=product&amp;tracking_id=1db32b55-8952-417e-9115-4923e5f6b128&amp;wid=MLA1742453401&amp;sid=search" display="https://www.mercadolibre.com.ar/bateria-de-cocina-de-26-piezas-super-cook-lichen-tefal-verde-grisaceo/p/MLA43417520#polycard_client=search-desktop&amp;be_origin=backend&amp;search_layout=grid&amp;position=10&amp;type=product&amp;tracking_id=1db32b55-8952-417e-9115-4923e5f6b128&amp;wid=MLA1742453401&amp;sid=search" xr:uid="{FBA55A3A-6DDA-444C-85DA-213C41A6D1B2}"/>
    <hyperlink ref="F42" r:id="rId14" location="polycard_client=search-desktop&amp;be_origin=backend&amp;search_layout=grid&amp;position=25&amp;type=product&amp;tracking_id=c0ede74d-943b-4739-9587-ad5570fe00d5&amp;wid=MLA3262295200&amp;sid=search" display="https://www.mercadolibre.com.ar/licuadora-de-vaso-ninja-professional-plus-bn701cl-negro/p/MLA65326782#polycard_client=search-desktop&amp;be_origin=backend&amp;search_layout=grid&amp;position=25&amp;type=product&amp;tracking_id=c0ede74d-943b-4739-9587-ad5570fe00d5&amp;wid=MLA3262295200&amp;sid=search" xr:uid="{21412458-6CC8-4AC7-8582-339B25CA6796}"/>
    <hyperlink ref="F41" r:id="rId15" location="polycard_client=search-desktop&amp;be_origin=backend&amp;search_layout=grid&amp;position=23&amp;type=product&amp;tracking_id=dde609c8-3126-48f7-a2b2-19db49f24602&amp;wid=MLA2607232676&amp;sid=search" display="https://www.mercadolibre.com.ar/repasador-x-mayor-top-gourmet-puro-algodon-toalla-pack-x-12u/up/MLAU3630592257#polycard_client=search-desktop&amp;be_origin=backend&amp;search_layout=grid&amp;position=23&amp;type=product&amp;tracking_id=dde609c8-3126-48f7-a2b2-19db49f24602&amp;wid=MLA2607232676&amp;sid=search" xr:uid="{2C42C04A-329F-4D88-AB8A-92E4C5978A3A}"/>
    <hyperlink ref="F43" r:id="rId16" location="polycard_client=search-desktop&amp;be_origin=backend&amp;search_layout=grid&amp;position=12&amp;type=product&amp;tracking_id=8447bd62-b9e9-4134-8c33-9ec6ea494580&amp;wid=MLA1663082494&amp;sid=search" display="https://www.mercadolibre.com.ar/mixer-midea-hb-1100x2ar1-negro-y-acero-inoxidable-50-hz-850w/p/MLA25116448#polycard_client=search-desktop&amp;be_origin=backend&amp;search_layout=grid&amp;position=12&amp;type=product&amp;tracking_id=8447bd62-b9e9-4134-8c33-9ec6ea494580&amp;wid=MLA1663082494&amp;sid=search" xr:uid="{2F1AC349-B328-4D00-A2D8-24486ABEB867}"/>
    <hyperlink ref="F44" r:id="rId17" location="polycard_client=search-desktop&amp;be_origin=backend&amp;search_layout=grid&amp;position=2&amp;type=product&amp;tracking_id=8a577e7f-d452-4550-8466-718f3d61ec95&amp;wid=MLA2055538384&amp;sid=search" display="https://www.mercadolibre.com.ar/pava-electrica-unnic-pantalla-digital-color-tactil-acero-inoxidable-17-l-temperatura-prestablecidas-ideal-para-mate-cafe-te-color-negro/p/MLA47631092#polycard_client=search-desktop&amp;be_origin=backend&amp;search_layout=grid&amp;position=2&amp;type=product&amp;tracking_id=8a577e7f-d452-4550-8466-718f3d61ec95&amp;wid=MLA2055538384&amp;sid=search" xr:uid="{90553A8A-E33D-4EB1-84E7-39023D2D7DC5}"/>
    <hyperlink ref="F34" r:id="rId18" location="polycard_client=search-desktop&amp;be_origin=backend&amp;search_layout=grid&amp;position=24&amp;type=product&amp;tracking_id=82b131a1-e520-47a5-904a-4de5da585c9b&amp;wid=MLA1790200991&amp;sid=search" display="https://www.mercadolibre.com.ar/candy-combo-horno-electr-fidcx602-anafe-electrico-ch64ccb-color-plateado-y-negro/p/MLA25820268#polycard_client=search-desktop&amp;be_origin=backend&amp;search_layout=grid&amp;position=24&amp;type=product&amp;tracking_id=82b131a1-e520-47a5-904a-4de5da585c9b&amp;wid=MLA1790200991&amp;sid=search" xr:uid="{49E9F8F7-E876-42FB-B7F7-F255D388C28A}"/>
    <hyperlink ref="F47" r:id="rId19" xr:uid="{156C72BC-B4ED-483D-BC6A-81EA5BA6CF8F}"/>
    <hyperlink ref="F48" r:id="rId20" location="polycard_client=search-desktop&amp;be_origin=backend&amp;search_layout=grid&amp;position=5&amp;type=product&amp;tracking_id=ea5f361d-9600-4549-80e9-c03e0d72a04e&amp;wid=MLA1948910574&amp;sid=search" display="https://www.mercadolibre.com.ar/matafuego-yukon-5kg-nuevo-abc-iram-tarjeta--soporte--chapa/up/MLAU2666723134#polycard_client=search-desktop&amp;be_origin=backend&amp;search_layout=grid&amp;position=5&amp;type=product&amp;tracking_id=ea5f361d-9600-4549-80e9-c03e0d72a04e&amp;wid=MLA1948910574&amp;sid=search" xr:uid="{AE13CD97-44B9-4A62-9EF4-A383364809AD}"/>
    <hyperlink ref="F81" r:id="rId21" location="polycard_client=search-desktop&amp;be_origin=backend&amp;search_layout=grid&amp;position=3&amp;type=product&amp;float_highlight=last_units&amp;tracking_id=6710e4a5-4d3b-4be5-b3b6-d211233c7629&amp;wid=MLA1474131627&amp;sid=search" display="https://www.mercadolibre.com.ar/kit-reglamentario-auto-vtv-7-parte-matafuego-para-camion-25/up/MLAU2992283778#polycard_client=search-desktop&amp;be_origin=backend&amp;search_layout=grid&amp;position=3&amp;type=product&amp;float_highlight=last_units&amp;tracking_id=6710e4a5-4d3b-4be5-b3b6-d211233c7629&amp;wid=MLA1474131627&amp;sid=search" xr:uid="{871348F9-EBA0-493C-873D-B36F9C62A37E}"/>
    <hyperlink ref="F51" r:id="rId22" location="polycard_client=search-desktop&amp;be_origin=backend&amp;search_layout=grid&amp;position=2&amp;type=product&amp;tracking_id=b6c94fea-09a0-4f3b-980c-b3a7ffb052a7&amp;wid=MLA1550546511&amp;sid=search" display="https://www.mercadolibre.com.ar/tv-de-24-kanji-kj-24tm005-con-pantalla-led-hd/p/MLA18614516#polycard_client=search-desktop&amp;be_origin=backend&amp;search_layout=grid&amp;position=2&amp;type=product&amp;tracking_id=b6c94fea-09a0-4f3b-980c-b3a7ffb052a7&amp;wid=MLA1550546511&amp;sid=search" xr:uid="{5A24F643-5AF8-41AF-80B0-292DD3FD372F}"/>
    <hyperlink ref="F52" r:id="rId23" location="polycard_client=search-desktop&amp;be_origin=backend&amp;search_layout=grid&amp;position=7&amp;type=product&amp;tracking_id=29dd30cb-4f3d-4de7-a3dd-ea9f39effc16&amp;wid=MLA3126871582&amp;sid=search" display="https://www.mercadolibre.com.ar/tv-stick-wi-fi-smart-tv-android-hdmi-tv-box-fire-convertidor-color-negro-tipo-de-control-remoto-estandar/p/MLA41918674#polycard_client=search-desktop&amp;be_origin=backend&amp;search_layout=grid&amp;position=7&amp;type=product&amp;tracking_id=29dd30cb-4f3d-4de7-a3dd-ea9f39effc16&amp;wid=MLA3126871582&amp;sid=search" xr:uid="{B4CF0FF2-50E9-425D-96FE-6976D135C547}"/>
    <hyperlink ref="F45" r:id="rId24" location="polycard_client=search-desktop&amp;be_origin=backend&amp;search_layout=grid&amp;position=4&amp;type=product&amp;tracking_id=052e8e94-2f1c-4199-81cd-40792cc29307&amp;wid=MLA2413609698&amp;sid=search" display="https://www.mercadolibre.com.ar/tostadora-electrica-winco-w835n-negra-negro/p/MLA51241228#polycard_client=search-desktop&amp;be_origin=backend&amp;search_layout=grid&amp;position=4&amp;type=product&amp;tracking_id=052e8e94-2f1c-4199-81cd-40792cc29307&amp;wid=MLA2413609698&amp;sid=search" xr:uid="{D99D3287-0261-4338-96B5-A373F1746606}"/>
    <hyperlink ref="F74" r:id="rId25" xr:uid="{47FD62B1-C173-4413-AF83-1784E359299E}"/>
    <hyperlink ref="F73" r:id="rId26" xr:uid="{6D9D7428-56FF-4B35-92A7-7213F3A6AEFA}"/>
    <hyperlink ref="F58" r:id="rId27" xr:uid="{738A5E7C-B668-46BB-8224-625A18BCBF3B}"/>
    <hyperlink ref="F66" r:id="rId28" xr:uid="{61C0F7F6-CD78-4683-BCE9-4DCF99C36343}"/>
    <hyperlink ref="F68" r:id="rId29" xr:uid="{C0288035-2830-4636-A9FE-F198D54FA14D}"/>
    <hyperlink ref="F67" r:id="rId30" xr:uid="{6540330D-AC8B-4A31-9DD3-8FC0D9ADE556}"/>
    <hyperlink ref="F82" r:id="rId31" xr:uid="{A8A94502-D6BD-45E5-84AF-6D6D7F375E04}"/>
    <hyperlink ref="F80" r:id="rId32" xr:uid="{ED29F274-295F-4B1D-BC2A-BA57D822C23D}"/>
    <hyperlink ref="F59" r:id="rId33" display="https://www.mercadolibre.com.ar/combo-limpieza-hogar-romyl-kit-5-productos/up/MLAU234435111?pdp_filters=item_id%3AMLA1381115500&amp;from=gshop&amp;matt_tool=25256910&amp;matt_word=&amp;matt_source=google&amp;matt_campaign_id=23390548553&amp;matt_ad_group_id=189479849943&amp;matt_match_type=&amp;matt_network=g&amp;matt_device=c&amp;matt_creative=789984777790&amp;matt_keyword=&amp;matt_ad_position=&amp;matt_ad_type=pla&amp;matt_merchant_id=307128460&amp;matt_product_id=MLAU234435111&amp;matt_product_partition_id=2392714357621&amp;matt_target_id=aud-1965625651133:pla-2392714357621&amp;cq_src=google_ads&amp;cq_cmp=23390548553&amp;cq_net=g&amp;cq_plt=gp&amp;cq_med=pla&amp;gad_source=1&amp;gad_campaignid=23390548553&amp;gbraid=0AAAAAD01zQYxFeqY4ikhVctWEyShC9xYq&amp;gclid=Cj0KCQjwo_PRBhDNARIsAEcVALXTMKmkTnO2uAECRoXlFfIPIehhG9ZX5C02_J0d58MZmhSuDim4A3QaAnzaEALw_wcB" xr:uid="{F63558D5-148F-4CA0-AFBC-B41290F9F906}"/>
    <hyperlink ref="F60" r:id="rId34" display="https://encombo.com.ar/combo-limpieza-cif-antigrasa-bolsas-de-residuos-l.html?gad_source=1&amp;gad_campaignid=23433252946&amp;gbraid=0AAAAAqFTTPX186Ot6T1YTXOVA-oQnxRW1&amp;gclid=Cj0KCQjwo_PRBhDNARIsAEcVALXtvNCNqjE9ESEZ4AZuMMnas7TTYRkw4tX1My0atah9oRZaJIO5ReMaArfrEALw_wcB" xr:uid="{09DD5CA4-B499-4A26-9C4F-C78D5E1B8E00}"/>
    <hyperlink ref="F90" r:id="rId35" xr:uid="{96288A6E-7E4A-4B8F-AB5E-A659A8DE372D}"/>
  </hyperlinks>
  <pageMargins left="0.7" right="0.7" top="0.75" bottom="0.75" header="0" footer="0"/>
  <pageSetup orientation="landscape"/>
  <legacy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outlinePr summaryBelow="0" summaryRight="0"/>
  </sheetPr>
  <dimension ref="A1:Y991"/>
  <sheetViews>
    <sheetView topLeftCell="A7" zoomScale="82" workbookViewId="0">
      <selection activeCell="B11" sqref="B11:F11"/>
    </sheetView>
  </sheetViews>
  <sheetFormatPr defaultColWidth="12.7109375" defaultRowHeight="15" customHeight="1"/>
  <cols>
    <col min="1" max="1" width="3.28515625" customWidth="1"/>
    <col min="2" max="2" width="32.42578125" customWidth="1"/>
    <col min="3" max="3" width="31" customWidth="1"/>
    <col min="5" max="5" width="27" customWidth="1"/>
    <col min="6" max="6" width="43.42578125" customWidth="1"/>
    <col min="7" max="7" width="6" customWidth="1"/>
    <col min="8" max="8" width="19.140625" customWidth="1"/>
    <col min="9" max="9" width="47.28515625" customWidth="1"/>
  </cols>
  <sheetData>
    <row r="1" spans="1:25" ht="35.25" customHeight="1">
      <c r="A1" s="28"/>
      <c r="B1" s="28"/>
      <c r="C1" s="28"/>
      <c r="D1" s="28"/>
      <c r="E1" s="28"/>
      <c r="F1" s="28"/>
      <c r="G1" s="28"/>
      <c r="H1" s="51"/>
      <c r="I1" s="51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35.25" customHeight="1">
      <c r="A2" s="28"/>
      <c r="B2" s="164" t="s">
        <v>119</v>
      </c>
      <c r="C2" s="152"/>
      <c r="D2" s="28"/>
      <c r="E2" s="164" t="s">
        <v>120</v>
      </c>
      <c r="F2" s="152"/>
      <c r="G2" s="28"/>
      <c r="H2" s="164" t="s">
        <v>121</v>
      </c>
      <c r="I2" s="152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35.25" customHeight="1">
      <c r="A3" s="28"/>
      <c r="B3" s="52" t="s">
        <v>122</v>
      </c>
      <c r="C3" s="53">
        <v>565500000</v>
      </c>
      <c r="D3" s="28"/>
      <c r="E3" s="52" t="s">
        <v>123</v>
      </c>
      <c r="F3" s="54"/>
      <c r="G3" s="28"/>
      <c r="H3" s="52" t="s">
        <v>124</v>
      </c>
      <c r="I3" s="55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35.25" customHeight="1">
      <c r="A4" s="28"/>
      <c r="B4" s="52" t="s">
        <v>125</v>
      </c>
      <c r="C4" s="53"/>
      <c r="D4" s="28"/>
      <c r="E4" s="52" t="s">
        <v>126</v>
      </c>
      <c r="F4" s="56"/>
      <c r="G4" s="28"/>
      <c r="H4" s="52" t="s">
        <v>127</v>
      </c>
      <c r="I4" s="57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35.25" customHeight="1">
      <c r="A5" s="28"/>
      <c r="B5" s="52" t="s">
        <v>128</v>
      </c>
      <c r="C5" s="53"/>
      <c r="D5" s="28"/>
      <c r="E5" s="52" t="s">
        <v>129</v>
      </c>
      <c r="F5" s="53"/>
      <c r="G5" s="28"/>
      <c r="H5" s="52" t="s">
        <v>130</v>
      </c>
      <c r="I5" s="56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35.25" customHeight="1">
      <c r="A6" s="28"/>
      <c r="B6" s="52" t="s">
        <v>131</v>
      </c>
      <c r="C6" s="53"/>
      <c r="D6" s="28"/>
      <c r="E6" s="52" t="s">
        <v>132</v>
      </c>
      <c r="F6" s="53"/>
      <c r="G6" s="28"/>
      <c r="H6" s="52" t="s">
        <v>133</v>
      </c>
      <c r="I6" s="55">
        <f>SUM(I3:I4)</f>
        <v>0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ht="35.25" customHeight="1">
      <c r="A7" s="28"/>
      <c r="B7" s="52" t="s">
        <v>134</v>
      </c>
      <c r="C7" s="53">
        <v>0</v>
      </c>
      <c r="D7" s="28"/>
      <c r="E7" s="165" t="s">
        <v>135</v>
      </c>
      <c r="F7" s="166"/>
      <c r="G7" s="28"/>
      <c r="H7" s="165" t="s">
        <v>135</v>
      </c>
      <c r="I7" s="16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pans="1:25" ht="35.25" customHeight="1">
      <c r="A8" s="28"/>
      <c r="B8" s="52" t="s">
        <v>136</v>
      </c>
      <c r="C8" s="53">
        <f>SUM(C3:C7)</f>
        <v>565500000</v>
      </c>
      <c r="D8" s="135" t="s">
        <v>4</v>
      </c>
      <c r="E8" s="28"/>
      <c r="F8" s="28"/>
      <c r="G8" s="28"/>
      <c r="H8" s="51"/>
      <c r="I8" s="51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ht="35.25" customHeight="1">
      <c r="A9" s="28"/>
      <c r="B9" s="122"/>
      <c r="C9" s="122"/>
      <c r="D9" s="122"/>
      <c r="E9" s="28"/>
      <c r="F9" s="28"/>
      <c r="G9" s="28"/>
      <c r="H9" s="51"/>
      <c r="I9" s="51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ht="35.25" customHeight="1">
      <c r="A10" s="28"/>
      <c r="B10" s="167" t="s">
        <v>137</v>
      </c>
      <c r="C10" s="167"/>
      <c r="D10" s="168" t="s">
        <v>138</v>
      </c>
      <c r="E10" s="168"/>
      <c r="F10" s="168"/>
      <c r="G10" s="122"/>
      <c r="H10" s="51"/>
      <c r="I10" s="51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5" ht="35.25" customHeight="1">
      <c r="A11" s="28"/>
      <c r="B11" s="28"/>
      <c r="C11" s="28"/>
      <c r="D11" s="28"/>
      <c r="E11" s="122"/>
      <c r="F11" s="28"/>
      <c r="G11" s="122"/>
      <c r="H11" s="51"/>
      <c r="I11" s="51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35.25" customHeight="1">
      <c r="A12" s="28"/>
      <c r="B12" s="28"/>
      <c r="C12" s="28"/>
      <c r="D12" s="28"/>
      <c r="E12" s="28"/>
      <c r="F12" s="28"/>
      <c r="G12" s="122"/>
      <c r="H12" s="51"/>
      <c r="I12" s="51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5" ht="35.25" customHeight="1">
      <c r="A13" s="28"/>
      <c r="B13" s="28"/>
      <c r="C13" s="28"/>
      <c r="D13" s="28"/>
      <c r="E13" s="122"/>
      <c r="F13" s="122"/>
      <c r="G13" s="28"/>
      <c r="H13" s="51"/>
      <c r="I13" s="51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ht="35.25" customHeight="1">
      <c r="A14" s="28"/>
      <c r="B14" s="28"/>
      <c r="C14" s="28"/>
      <c r="D14" s="28"/>
      <c r="E14" s="28"/>
      <c r="F14" s="28"/>
      <c r="G14" s="28"/>
      <c r="H14" s="51"/>
      <c r="I14" s="51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  <row r="15" spans="1:25" ht="35.25" customHeight="1">
      <c r="A15" s="28"/>
      <c r="B15" s="28"/>
      <c r="C15" s="28"/>
      <c r="D15" s="28"/>
      <c r="E15" s="28"/>
      <c r="F15" s="28"/>
      <c r="G15" s="28"/>
      <c r="H15" s="51"/>
      <c r="I15" s="51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spans="1:25" ht="35.25" customHeight="1">
      <c r="A16" s="28"/>
      <c r="B16" s="28"/>
      <c r="C16" s="28"/>
      <c r="D16" s="28"/>
      <c r="E16" s="28"/>
      <c r="F16" s="28"/>
      <c r="G16" s="28"/>
      <c r="H16" s="51"/>
      <c r="I16" s="51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spans="1:25" ht="35.25" customHeight="1">
      <c r="A17" s="28"/>
      <c r="B17" s="28"/>
      <c r="C17" s="28"/>
      <c r="D17" s="28"/>
      <c r="E17" s="28"/>
      <c r="F17" s="28"/>
      <c r="G17" s="28"/>
      <c r="H17" s="51"/>
      <c r="I17" s="51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spans="1:25" ht="35.25" customHeight="1">
      <c r="A18" s="28"/>
      <c r="B18" s="122"/>
      <c r="C18" s="122"/>
      <c r="D18" s="122"/>
      <c r="E18" s="28"/>
      <c r="F18" s="28"/>
      <c r="G18" s="28"/>
      <c r="H18" s="51"/>
      <c r="I18" s="51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spans="1:25" ht="35.25" customHeight="1">
      <c r="A19" s="28"/>
      <c r="B19" s="122"/>
      <c r="C19" s="122"/>
      <c r="D19" s="122"/>
      <c r="E19" s="28"/>
      <c r="F19" s="28"/>
      <c r="G19" s="28"/>
      <c r="H19" s="51"/>
      <c r="I19" s="51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spans="1:25" ht="35.25" customHeight="1">
      <c r="A20" s="28"/>
      <c r="B20" s="122"/>
      <c r="C20" s="122"/>
      <c r="D20" s="122"/>
      <c r="E20" s="28"/>
      <c r="F20" s="28"/>
      <c r="G20" s="28"/>
      <c r="H20" s="51"/>
      <c r="I20" s="51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  <row r="21" spans="1:25" ht="35.25" customHeight="1">
      <c r="A21" s="28"/>
      <c r="B21" s="122"/>
      <c r="C21" s="122"/>
      <c r="D21" s="122"/>
      <c r="E21" s="28"/>
      <c r="F21" s="28"/>
      <c r="G21" s="28"/>
      <c r="H21" s="51"/>
      <c r="I21" s="51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spans="1:25" ht="35.25" customHeight="1">
      <c r="A22" s="28"/>
      <c r="B22" s="122"/>
      <c r="C22" s="122"/>
      <c r="D22" s="122"/>
      <c r="E22" s="28"/>
      <c r="F22" s="28"/>
      <c r="G22" s="28"/>
      <c r="H22" s="51"/>
      <c r="I22" s="51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</row>
    <row r="23" spans="1:25" ht="56.25" customHeight="1">
      <c r="A23" s="28"/>
      <c r="B23" s="122"/>
      <c r="C23" s="122"/>
      <c r="D23" s="122"/>
      <c r="E23" s="28"/>
      <c r="F23" s="28"/>
      <c r="G23" s="28"/>
      <c r="H23" s="51"/>
      <c r="I23" s="51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35.25" customHeight="1">
      <c r="A24" s="28"/>
      <c r="B24" s="28"/>
      <c r="C24" s="28"/>
      <c r="D24" s="28"/>
      <c r="E24" s="28"/>
      <c r="F24" s="28"/>
      <c r="G24" s="28"/>
      <c r="H24" s="51"/>
      <c r="I24" s="51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</row>
    <row r="25" spans="1:25" ht="35.25" customHeight="1">
      <c r="A25" s="28"/>
      <c r="B25" s="28"/>
      <c r="C25" s="28"/>
      <c r="D25" s="28"/>
      <c r="E25" s="28"/>
      <c r="F25" s="28"/>
      <c r="G25" s="28"/>
      <c r="H25" s="51"/>
      <c r="I25" s="51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spans="1:25" ht="35.25" customHeight="1">
      <c r="A26" s="28"/>
      <c r="B26" s="28"/>
      <c r="C26" s="28"/>
      <c r="D26" s="28"/>
      <c r="E26" s="28"/>
      <c r="F26" s="28"/>
      <c r="G26" s="28"/>
      <c r="H26" s="51"/>
      <c r="I26" s="51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spans="1:25" ht="35.25" customHeight="1">
      <c r="A27" s="28"/>
      <c r="B27" s="28"/>
      <c r="C27" s="28"/>
      <c r="D27" s="28"/>
      <c r="E27" s="28"/>
      <c r="F27" s="28"/>
      <c r="G27" s="28"/>
      <c r="H27" s="51"/>
      <c r="I27" s="51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spans="1:25" ht="35.25" customHeight="1">
      <c r="A28" s="28"/>
      <c r="B28" s="28"/>
      <c r="C28" s="28"/>
      <c r="D28" s="28"/>
      <c r="E28" s="28"/>
      <c r="F28" s="28"/>
      <c r="G28" s="28"/>
      <c r="H28" s="51"/>
      <c r="I28" s="51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spans="1:25" ht="35.25" customHeight="1">
      <c r="A29" s="28"/>
      <c r="B29" s="28"/>
      <c r="C29" s="28"/>
      <c r="D29" s="28"/>
      <c r="E29" s="28"/>
      <c r="F29" s="28"/>
      <c r="G29" s="28"/>
      <c r="H29" s="51"/>
      <c r="I29" s="51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5" ht="35.25" customHeight="1">
      <c r="A30" s="28"/>
      <c r="B30" s="28"/>
      <c r="C30" s="28"/>
      <c r="D30" s="28"/>
      <c r="E30" s="28"/>
      <c r="F30" s="28"/>
      <c r="G30" s="28"/>
      <c r="H30" s="51"/>
      <c r="I30" s="51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spans="1:25" ht="35.25" customHeight="1">
      <c r="A31" s="28"/>
      <c r="B31" s="28"/>
      <c r="C31" s="28"/>
      <c r="D31" s="28"/>
      <c r="E31" s="28"/>
      <c r="F31" s="28"/>
      <c r="G31" s="28"/>
      <c r="H31" s="51"/>
      <c r="I31" s="51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1:25" ht="35.25" customHeight="1">
      <c r="A32" s="28"/>
      <c r="B32" s="28"/>
      <c r="C32" s="28"/>
      <c r="D32" s="28"/>
      <c r="E32" s="28"/>
      <c r="F32" s="28"/>
      <c r="G32" s="28"/>
      <c r="H32" s="51"/>
      <c r="I32" s="51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5" ht="35.25" customHeight="1">
      <c r="A33" s="28"/>
      <c r="B33" s="28"/>
      <c r="C33" s="28"/>
      <c r="D33" s="28"/>
      <c r="E33" s="28"/>
      <c r="F33" s="28"/>
      <c r="G33" s="28"/>
      <c r="H33" s="51"/>
      <c r="I33" s="51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1:25" ht="35.25" customHeight="1">
      <c r="A34" s="28"/>
      <c r="B34" s="28"/>
      <c r="C34" s="28"/>
      <c r="D34" s="28"/>
      <c r="E34" s="28"/>
      <c r="F34" s="28"/>
      <c r="G34" s="28"/>
      <c r="H34" s="51"/>
      <c r="I34" s="51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1:25" ht="35.25" customHeight="1">
      <c r="A35" s="28"/>
      <c r="B35" s="28"/>
      <c r="C35" s="28"/>
      <c r="D35" s="28"/>
      <c r="E35" s="28"/>
      <c r="F35" s="28"/>
      <c r="G35" s="28"/>
      <c r="H35" s="51"/>
      <c r="I35" s="51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 ht="35.25" customHeight="1">
      <c r="A36" s="28"/>
      <c r="B36" s="28"/>
      <c r="C36" s="28"/>
      <c r="D36" s="28"/>
      <c r="E36" s="28"/>
      <c r="F36" s="28"/>
      <c r="G36" s="28"/>
      <c r="H36" s="51"/>
      <c r="I36" s="51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1:25" ht="35.25" customHeight="1">
      <c r="A37" s="28"/>
      <c r="B37" s="28"/>
      <c r="C37" s="28"/>
      <c r="D37" s="28"/>
      <c r="E37" s="28"/>
      <c r="F37" s="28"/>
      <c r="G37" s="28"/>
      <c r="H37" s="51"/>
      <c r="I37" s="51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1:25" ht="35.25" customHeight="1">
      <c r="A38" s="28"/>
      <c r="B38" s="28"/>
      <c r="C38" s="28"/>
      <c r="D38" s="28"/>
      <c r="E38" s="28"/>
      <c r="F38" s="28"/>
      <c r="G38" s="28"/>
      <c r="H38" s="51"/>
      <c r="I38" s="51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25" ht="35.25" customHeight="1">
      <c r="A39" s="28"/>
      <c r="B39" s="28"/>
      <c r="C39" s="28"/>
      <c r="D39" s="28"/>
      <c r="E39" s="28"/>
      <c r="F39" s="28"/>
      <c r="G39" s="28"/>
      <c r="H39" s="51"/>
      <c r="I39" s="51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ht="35.25" customHeight="1">
      <c r="A40" s="28"/>
      <c r="B40" s="28"/>
      <c r="C40" s="28"/>
      <c r="D40" s="28"/>
      <c r="E40" s="28"/>
      <c r="F40" s="28"/>
      <c r="G40" s="28"/>
      <c r="H40" s="51"/>
      <c r="I40" s="51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 ht="35.25" customHeight="1">
      <c r="A41" s="28"/>
      <c r="B41" s="28"/>
      <c r="C41" s="28"/>
      <c r="D41" s="28"/>
      <c r="E41" s="28"/>
      <c r="F41" s="28"/>
      <c r="G41" s="28"/>
      <c r="H41" s="51"/>
      <c r="I41" s="51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1:25" ht="35.25" customHeight="1">
      <c r="A42" s="28"/>
      <c r="B42" s="28"/>
      <c r="C42" s="28"/>
      <c r="D42" s="28"/>
      <c r="E42" s="28"/>
      <c r="F42" s="28"/>
      <c r="G42" s="28"/>
      <c r="H42" s="51"/>
      <c r="I42" s="51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1:25" ht="35.25" customHeight="1">
      <c r="A43" s="28"/>
      <c r="B43" s="28"/>
      <c r="C43" s="28"/>
      <c r="D43" s="28"/>
      <c r="E43" s="28"/>
      <c r="F43" s="28"/>
      <c r="G43" s="28"/>
      <c r="H43" s="51"/>
      <c r="I43" s="51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ht="35.25" customHeight="1">
      <c r="A44" s="28"/>
      <c r="B44" s="28"/>
      <c r="C44" s="28"/>
      <c r="D44" s="28"/>
      <c r="E44" s="28"/>
      <c r="F44" s="28"/>
      <c r="G44" s="28"/>
      <c r="H44" s="51"/>
      <c r="I44" s="51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1:25" ht="35.25" customHeight="1">
      <c r="A45" s="28"/>
      <c r="B45" s="28"/>
      <c r="C45" s="28"/>
      <c r="D45" s="28"/>
      <c r="E45" s="28"/>
      <c r="F45" s="28"/>
      <c r="G45" s="28"/>
      <c r="H45" s="51"/>
      <c r="I45" s="51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25" ht="35.25" customHeight="1">
      <c r="A46" s="28"/>
      <c r="B46" s="28"/>
      <c r="C46" s="28"/>
      <c r="D46" s="28"/>
      <c r="E46" s="28"/>
      <c r="F46" s="28"/>
      <c r="G46" s="28"/>
      <c r="H46" s="51"/>
      <c r="I46" s="51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1:25" ht="35.25" customHeight="1">
      <c r="A47" s="28"/>
      <c r="B47" s="28"/>
      <c r="C47" s="28"/>
      <c r="D47" s="28"/>
      <c r="E47" s="28"/>
      <c r="F47" s="28"/>
      <c r="G47" s="28"/>
      <c r="H47" s="51"/>
      <c r="I47" s="51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1:25" ht="35.25" customHeight="1">
      <c r="A48" s="28"/>
      <c r="B48" s="28"/>
      <c r="C48" s="28"/>
      <c r="D48" s="28"/>
      <c r="E48" s="28"/>
      <c r="F48" s="28"/>
      <c r="G48" s="28"/>
      <c r="H48" s="51"/>
      <c r="I48" s="51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1:25" ht="35.25" customHeight="1">
      <c r="A49" s="28"/>
      <c r="B49" s="28"/>
      <c r="C49" s="28"/>
      <c r="D49" s="28"/>
      <c r="E49" s="28"/>
      <c r="F49" s="28"/>
      <c r="G49" s="28"/>
      <c r="H49" s="51"/>
      <c r="I49" s="51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1:25" ht="35.25" customHeight="1">
      <c r="A50" s="28"/>
      <c r="B50" s="28"/>
      <c r="C50" s="28"/>
      <c r="D50" s="28"/>
      <c r="E50" s="28"/>
      <c r="F50" s="28"/>
      <c r="G50" s="28"/>
      <c r="H50" s="51"/>
      <c r="I50" s="51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1:25" ht="35.25" customHeight="1">
      <c r="A51" s="28"/>
      <c r="B51" s="28"/>
      <c r="C51" s="28"/>
      <c r="D51" s="28"/>
      <c r="E51" s="28"/>
      <c r="F51" s="28"/>
      <c r="G51" s="28"/>
      <c r="H51" s="51"/>
      <c r="I51" s="51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1:25" ht="35.25" customHeight="1">
      <c r="A52" s="28"/>
      <c r="B52" s="28"/>
      <c r="C52" s="28"/>
      <c r="D52" s="28"/>
      <c r="E52" s="28"/>
      <c r="F52" s="28"/>
      <c r="G52" s="28"/>
      <c r="H52" s="51"/>
      <c r="I52" s="51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1:25" ht="35.25" customHeight="1">
      <c r="A53" s="28"/>
      <c r="B53" s="28"/>
      <c r="C53" s="28"/>
      <c r="D53" s="28"/>
      <c r="E53" s="28"/>
      <c r="F53" s="28"/>
      <c r="G53" s="28"/>
      <c r="H53" s="51"/>
      <c r="I53" s="51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1:25" ht="35.25" customHeight="1">
      <c r="A54" s="28"/>
      <c r="B54" s="28"/>
      <c r="C54" s="28"/>
      <c r="D54" s="28"/>
      <c r="E54" s="28"/>
      <c r="F54" s="28"/>
      <c r="G54" s="28"/>
      <c r="H54" s="51"/>
      <c r="I54" s="51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spans="1:25" ht="35.25" customHeight="1">
      <c r="A55" s="28"/>
      <c r="B55" s="28"/>
      <c r="C55" s="28"/>
      <c r="D55" s="28"/>
      <c r="E55" s="28"/>
      <c r="F55" s="28"/>
      <c r="G55" s="28"/>
      <c r="H55" s="51"/>
      <c r="I55" s="51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spans="1:25" ht="35.25" customHeight="1">
      <c r="A56" s="28"/>
      <c r="B56" s="28"/>
      <c r="C56" s="28"/>
      <c r="D56" s="28"/>
      <c r="E56" s="28"/>
      <c r="F56" s="28"/>
      <c r="G56" s="28"/>
      <c r="H56" s="51"/>
      <c r="I56" s="51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spans="1:25" ht="35.25" customHeight="1">
      <c r="A57" s="28"/>
      <c r="B57" s="28"/>
      <c r="C57" s="28"/>
      <c r="D57" s="28"/>
      <c r="E57" s="28"/>
      <c r="F57" s="28"/>
      <c r="G57" s="28"/>
      <c r="H57" s="51"/>
      <c r="I57" s="51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spans="1:25" ht="35.25" customHeight="1">
      <c r="A58" s="28"/>
      <c r="B58" s="28"/>
      <c r="C58" s="28"/>
      <c r="D58" s="28"/>
      <c r="E58" s="28"/>
      <c r="F58" s="28"/>
      <c r="G58" s="28"/>
      <c r="H58" s="51"/>
      <c r="I58" s="51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spans="1:25" ht="35.25" customHeight="1">
      <c r="A59" s="28"/>
      <c r="B59" s="28"/>
      <c r="C59" s="28"/>
      <c r="D59" s="28"/>
      <c r="E59" s="28"/>
      <c r="F59" s="28"/>
      <c r="G59" s="28"/>
      <c r="H59" s="51"/>
      <c r="I59" s="51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  <row r="60" spans="1:25" ht="35.25" customHeight="1">
      <c r="A60" s="28"/>
      <c r="B60" s="28"/>
      <c r="C60" s="28"/>
      <c r="D60" s="28"/>
      <c r="E60" s="28"/>
      <c r="F60" s="28"/>
      <c r="G60" s="28"/>
      <c r="H60" s="51"/>
      <c r="I60" s="51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</row>
    <row r="61" spans="1:25" ht="35.25" customHeight="1">
      <c r="A61" s="28"/>
      <c r="B61" s="28"/>
      <c r="C61" s="28"/>
      <c r="D61" s="28"/>
      <c r="E61" s="28"/>
      <c r="F61" s="28"/>
      <c r="G61" s="28"/>
      <c r="H61" s="51"/>
      <c r="I61" s="51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</row>
    <row r="62" spans="1:25" ht="35.25" customHeight="1">
      <c r="A62" s="28"/>
      <c r="B62" s="28"/>
      <c r="C62" s="28"/>
      <c r="D62" s="28"/>
      <c r="E62" s="28"/>
      <c r="F62" s="28"/>
      <c r="G62" s="28"/>
      <c r="H62" s="51"/>
      <c r="I62" s="51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</row>
    <row r="63" spans="1:25" ht="35.25" customHeight="1">
      <c r="A63" s="28"/>
      <c r="B63" s="28"/>
      <c r="C63" s="28"/>
      <c r="D63" s="28"/>
      <c r="E63" s="28"/>
      <c r="F63" s="28"/>
      <c r="G63" s="28"/>
      <c r="H63" s="51"/>
      <c r="I63" s="51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</row>
    <row r="64" spans="1:25" ht="35.25" customHeight="1">
      <c r="A64" s="28"/>
      <c r="B64" s="28"/>
      <c r="C64" s="28"/>
      <c r="D64" s="28"/>
      <c r="E64" s="28"/>
      <c r="F64" s="28"/>
      <c r="G64" s="28"/>
      <c r="H64" s="51"/>
      <c r="I64" s="51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</row>
    <row r="65" spans="1:25" ht="35.25" customHeight="1">
      <c r="A65" s="28"/>
      <c r="B65" s="28"/>
      <c r="C65" s="28"/>
      <c r="D65" s="28"/>
      <c r="E65" s="28"/>
      <c r="F65" s="28"/>
      <c r="G65" s="28"/>
      <c r="H65" s="51"/>
      <c r="I65" s="51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</row>
    <row r="66" spans="1:25" ht="35.25" customHeight="1">
      <c r="A66" s="28"/>
      <c r="B66" s="28"/>
      <c r="C66" s="28"/>
      <c r="D66" s="28"/>
      <c r="E66" s="28"/>
      <c r="F66" s="28"/>
      <c r="G66" s="28"/>
      <c r="H66" s="51"/>
      <c r="I66" s="51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</row>
    <row r="67" spans="1:25" ht="35.25" customHeight="1">
      <c r="A67" s="28"/>
      <c r="B67" s="28"/>
      <c r="C67" s="28"/>
      <c r="D67" s="28"/>
      <c r="E67" s="28"/>
      <c r="F67" s="28"/>
      <c r="G67" s="28"/>
      <c r="H67" s="51"/>
      <c r="I67" s="51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</row>
    <row r="68" spans="1:25" ht="35.25" customHeight="1">
      <c r="A68" s="28"/>
      <c r="B68" s="28"/>
      <c r="C68" s="28"/>
      <c r="D68" s="28"/>
      <c r="E68" s="28"/>
      <c r="F68" s="28"/>
      <c r="G68" s="28"/>
      <c r="H68" s="51"/>
      <c r="I68" s="51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35.25" customHeight="1">
      <c r="A69" s="28"/>
      <c r="B69" s="28"/>
      <c r="C69" s="28"/>
      <c r="D69" s="28"/>
      <c r="E69" s="28"/>
      <c r="F69" s="28"/>
      <c r="G69" s="28"/>
      <c r="H69" s="51"/>
      <c r="I69" s="51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</row>
    <row r="70" spans="1:25" ht="35.25" customHeight="1">
      <c r="A70" s="28"/>
      <c r="B70" s="28"/>
      <c r="C70" s="28"/>
      <c r="D70" s="28"/>
      <c r="E70" s="28"/>
      <c r="F70" s="28"/>
      <c r="G70" s="28"/>
      <c r="H70" s="51"/>
      <c r="I70" s="51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</row>
    <row r="71" spans="1:25" ht="35.25" customHeight="1">
      <c r="A71" s="28"/>
      <c r="B71" s="28"/>
      <c r="C71" s="28"/>
      <c r="D71" s="28"/>
      <c r="E71" s="28"/>
      <c r="F71" s="28"/>
      <c r="G71" s="28"/>
      <c r="H71" s="51"/>
      <c r="I71" s="51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</row>
    <row r="72" spans="1:25" ht="35.25" customHeight="1">
      <c r="A72" s="28"/>
      <c r="B72" s="28"/>
      <c r="C72" s="28"/>
      <c r="D72" s="28"/>
      <c r="E72" s="28"/>
      <c r="F72" s="28"/>
      <c r="G72" s="28"/>
      <c r="H72" s="51"/>
      <c r="I72" s="51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</row>
    <row r="73" spans="1:25" ht="35.25" customHeight="1">
      <c r="A73" s="28"/>
      <c r="B73" s="28"/>
      <c r="C73" s="28"/>
      <c r="D73" s="28"/>
      <c r="E73" s="28"/>
      <c r="F73" s="28"/>
      <c r="G73" s="28"/>
      <c r="H73" s="51"/>
      <c r="I73" s="51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</row>
    <row r="74" spans="1:25" ht="35.25" customHeight="1">
      <c r="A74" s="28"/>
      <c r="B74" s="28"/>
      <c r="C74" s="28"/>
      <c r="D74" s="28"/>
      <c r="E74" s="28"/>
      <c r="F74" s="28"/>
      <c r="G74" s="28"/>
      <c r="H74" s="51"/>
      <c r="I74" s="51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spans="1:25" ht="35.25" customHeight="1">
      <c r="A75" s="28"/>
      <c r="B75" s="28"/>
      <c r="C75" s="28"/>
      <c r="D75" s="28"/>
      <c r="E75" s="28"/>
      <c r="F75" s="28"/>
      <c r="G75" s="28"/>
      <c r="H75" s="51"/>
      <c r="I75" s="51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ht="35.25" customHeight="1">
      <c r="A76" s="28"/>
      <c r="B76" s="28"/>
      <c r="C76" s="28"/>
      <c r="D76" s="28"/>
      <c r="E76" s="28"/>
      <c r="F76" s="28"/>
      <c r="G76" s="28"/>
      <c r="H76" s="51"/>
      <c r="I76" s="51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ht="35.25" customHeight="1">
      <c r="A77" s="28"/>
      <c r="B77" s="28"/>
      <c r="C77" s="28"/>
      <c r="D77" s="28"/>
      <c r="E77" s="28"/>
      <c r="F77" s="28"/>
      <c r="G77" s="28"/>
      <c r="H77" s="51"/>
      <c r="I77" s="51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</row>
    <row r="78" spans="1:25" ht="35.25" customHeight="1">
      <c r="A78" s="28"/>
      <c r="B78" s="28"/>
      <c r="C78" s="28"/>
      <c r="D78" s="28"/>
      <c r="E78" s="28"/>
      <c r="F78" s="28"/>
      <c r="G78" s="28"/>
      <c r="H78" s="51"/>
      <c r="I78" s="51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</row>
    <row r="79" spans="1:25" ht="35.25" customHeight="1">
      <c r="A79" s="28"/>
      <c r="B79" s="28"/>
      <c r="C79" s="28"/>
      <c r="D79" s="28"/>
      <c r="E79" s="28"/>
      <c r="F79" s="28"/>
      <c r="G79" s="28"/>
      <c r="H79" s="51"/>
      <c r="I79" s="51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</row>
    <row r="80" spans="1:25" ht="35.25" customHeight="1">
      <c r="A80" s="28"/>
      <c r="B80" s="28"/>
      <c r="C80" s="28"/>
      <c r="D80" s="28"/>
      <c r="E80" s="28"/>
      <c r="F80" s="28"/>
      <c r="G80" s="28"/>
      <c r="H80" s="51"/>
      <c r="I80" s="51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</row>
    <row r="81" spans="1:25" ht="35.25" customHeight="1">
      <c r="A81" s="28"/>
      <c r="B81" s="28"/>
      <c r="C81" s="28"/>
      <c r="D81" s="28"/>
      <c r="E81" s="28"/>
      <c r="F81" s="28"/>
      <c r="G81" s="28"/>
      <c r="H81" s="51"/>
      <c r="I81" s="51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</row>
    <row r="82" spans="1:25" ht="35.25" customHeight="1">
      <c r="A82" s="28"/>
      <c r="B82" s="28"/>
      <c r="C82" s="28"/>
      <c r="D82" s="28"/>
      <c r="E82" s="28"/>
      <c r="F82" s="28"/>
      <c r="G82" s="28"/>
      <c r="H82" s="51"/>
      <c r="I82" s="51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</row>
    <row r="83" spans="1:25" ht="35.25" customHeight="1">
      <c r="A83" s="28"/>
      <c r="B83" s="28"/>
      <c r="C83" s="28"/>
      <c r="D83" s="28"/>
      <c r="E83" s="28"/>
      <c r="F83" s="28"/>
      <c r="G83" s="28"/>
      <c r="H83" s="51"/>
      <c r="I83" s="51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</row>
    <row r="84" spans="1:25" ht="35.25" customHeight="1">
      <c r="A84" s="28"/>
      <c r="B84" s="28"/>
      <c r="C84" s="28"/>
      <c r="D84" s="28"/>
      <c r="E84" s="28"/>
      <c r="F84" s="28"/>
      <c r="G84" s="28"/>
      <c r="H84" s="51"/>
      <c r="I84" s="51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</row>
    <row r="85" spans="1:25" ht="35.25" customHeight="1">
      <c r="A85" s="28"/>
      <c r="B85" s="28"/>
      <c r="C85" s="28"/>
      <c r="D85" s="28"/>
      <c r="E85" s="28"/>
      <c r="F85" s="28"/>
      <c r="G85" s="28"/>
      <c r="H85" s="51"/>
      <c r="I85" s="51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</row>
    <row r="86" spans="1:25" ht="35.25" customHeight="1">
      <c r="A86" s="28"/>
      <c r="B86" s="28"/>
      <c r="C86" s="28"/>
      <c r="D86" s="28"/>
      <c r="E86" s="28"/>
      <c r="F86" s="28"/>
      <c r="G86" s="28"/>
      <c r="H86" s="51"/>
      <c r="I86" s="51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</row>
    <row r="87" spans="1:25" ht="35.25" customHeight="1">
      <c r="A87" s="28"/>
      <c r="B87" s="28"/>
      <c r="C87" s="28"/>
      <c r="D87" s="28"/>
      <c r="E87" s="28"/>
      <c r="F87" s="28"/>
      <c r="G87" s="28"/>
      <c r="H87" s="51"/>
      <c r="I87" s="51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</row>
    <row r="88" spans="1:25" ht="35.25" customHeight="1">
      <c r="A88" s="28"/>
      <c r="B88" s="28"/>
      <c r="C88" s="28"/>
      <c r="D88" s="28"/>
      <c r="E88" s="28"/>
      <c r="F88" s="28"/>
      <c r="G88" s="28"/>
      <c r="H88" s="51"/>
      <c r="I88" s="51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</row>
    <row r="89" spans="1:25" ht="35.25" customHeight="1">
      <c r="A89" s="28"/>
      <c r="B89" s="28"/>
      <c r="C89" s="28"/>
      <c r="D89" s="28"/>
      <c r="E89" s="28"/>
      <c r="F89" s="28"/>
      <c r="G89" s="28"/>
      <c r="H89" s="51"/>
      <c r="I89" s="51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</row>
    <row r="90" spans="1:25" ht="35.25" customHeight="1">
      <c r="A90" s="28"/>
      <c r="B90" s="28"/>
      <c r="C90" s="28"/>
      <c r="D90" s="28"/>
      <c r="E90" s="28"/>
      <c r="F90" s="28"/>
      <c r="G90" s="28"/>
      <c r="H90" s="51"/>
      <c r="I90" s="51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</row>
    <row r="91" spans="1:25" ht="35.25" customHeight="1">
      <c r="A91" s="28"/>
      <c r="B91" s="28"/>
      <c r="C91" s="28"/>
      <c r="D91" s="28"/>
      <c r="E91" s="28"/>
      <c r="F91" s="28"/>
      <c r="G91" s="28"/>
      <c r="H91" s="51"/>
      <c r="I91" s="51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</row>
    <row r="92" spans="1:25" ht="35.25" customHeight="1">
      <c r="A92" s="28"/>
      <c r="B92" s="28"/>
      <c r="C92" s="28"/>
      <c r="D92" s="28"/>
      <c r="E92" s="28"/>
      <c r="F92" s="28"/>
      <c r="G92" s="28"/>
      <c r="H92" s="51"/>
      <c r="I92" s="51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</row>
    <row r="93" spans="1:25" ht="35.25" customHeight="1">
      <c r="A93" s="28"/>
      <c r="B93" s="28"/>
      <c r="C93" s="28"/>
      <c r="D93" s="28"/>
      <c r="E93" s="28"/>
      <c r="F93" s="28"/>
      <c r="G93" s="28"/>
      <c r="H93" s="51"/>
      <c r="I93" s="51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</row>
    <row r="94" spans="1:25" ht="35.25" customHeight="1">
      <c r="A94" s="28"/>
      <c r="B94" s="28"/>
      <c r="C94" s="28"/>
      <c r="D94" s="28"/>
      <c r="E94" s="28"/>
      <c r="F94" s="28"/>
      <c r="G94" s="28"/>
      <c r="H94" s="51"/>
      <c r="I94" s="51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</row>
    <row r="95" spans="1:25" ht="35.25" customHeight="1">
      <c r="A95" s="28"/>
      <c r="B95" s="28"/>
      <c r="C95" s="28"/>
      <c r="D95" s="28"/>
      <c r="E95" s="28"/>
      <c r="F95" s="28"/>
      <c r="G95" s="28"/>
      <c r="H95" s="51"/>
      <c r="I95" s="51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</row>
    <row r="96" spans="1:25" ht="35.25" customHeight="1">
      <c r="A96" s="28"/>
      <c r="B96" s="28"/>
      <c r="C96" s="28"/>
      <c r="D96" s="28"/>
      <c r="E96" s="28"/>
      <c r="F96" s="28"/>
      <c r="G96" s="28"/>
      <c r="H96" s="51"/>
      <c r="I96" s="51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</row>
    <row r="97" spans="1:25" ht="35.25" customHeight="1">
      <c r="A97" s="28"/>
      <c r="B97" s="28"/>
      <c r="C97" s="28"/>
      <c r="D97" s="28"/>
      <c r="E97" s="28"/>
      <c r="F97" s="28"/>
      <c r="G97" s="28"/>
      <c r="H97" s="51"/>
      <c r="I97" s="51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</row>
    <row r="98" spans="1:25" ht="35.25" customHeight="1">
      <c r="A98" s="28"/>
      <c r="B98" s="28"/>
      <c r="C98" s="28"/>
      <c r="D98" s="28"/>
      <c r="E98" s="28"/>
      <c r="F98" s="28"/>
      <c r="G98" s="28"/>
      <c r="H98" s="51"/>
      <c r="I98" s="51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</row>
    <row r="99" spans="1:25" ht="35.25" customHeight="1">
      <c r="A99" s="28"/>
      <c r="B99" s="28"/>
      <c r="C99" s="28"/>
      <c r="D99" s="28"/>
      <c r="E99" s="28"/>
      <c r="F99" s="28"/>
      <c r="G99" s="28"/>
      <c r="H99" s="51"/>
      <c r="I99" s="51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</row>
    <row r="100" spans="1:25" ht="35.25" customHeight="1">
      <c r="A100" s="28"/>
      <c r="B100" s="28"/>
      <c r="C100" s="28"/>
      <c r="D100" s="28"/>
      <c r="E100" s="28"/>
      <c r="F100" s="28"/>
      <c r="G100" s="28"/>
      <c r="H100" s="51"/>
      <c r="I100" s="51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</row>
    <row r="101" spans="1:25" ht="35.25" customHeight="1">
      <c r="A101" s="28"/>
      <c r="B101" s="28"/>
      <c r="C101" s="28"/>
      <c r="D101" s="28"/>
      <c r="E101" s="28"/>
      <c r="F101" s="28"/>
      <c r="G101" s="28"/>
      <c r="H101" s="51"/>
      <c r="I101" s="51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</row>
    <row r="102" spans="1:25" ht="35.25" customHeight="1">
      <c r="A102" s="28"/>
      <c r="B102" s="28"/>
      <c r="C102" s="28"/>
      <c r="D102" s="28"/>
      <c r="E102" s="28"/>
      <c r="F102" s="28"/>
      <c r="G102" s="28"/>
      <c r="H102" s="51"/>
      <c r="I102" s="51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</row>
    <row r="103" spans="1:25" ht="35.25" customHeight="1">
      <c r="A103" s="28"/>
      <c r="B103" s="28"/>
      <c r="C103" s="28"/>
      <c r="D103" s="28"/>
      <c r="E103" s="28"/>
      <c r="F103" s="28"/>
      <c r="G103" s="28"/>
      <c r="H103" s="51"/>
      <c r="I103" s="51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</row>
    <row r="104" spans="1:25" ht="35.25" customHeight="1">
      <c r="A104" s="28"/>
      <c r="B104" s="28"/>
      <c r="C104" s="28"/>
      <c r="D104" s="28"/>
      <c r="E104" s="28"/>
      <c r="F104" s="28"/>
      <c r="G104" s="28"/>
      <c r="H104" s="51"/>
      <c r="I104" s="51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</row>
    <row r="105" spans="1:25" ht="35.25" customHeight="1">
      <c r="A105" s="28"/>
      <c r="B105" s="28"/>
      <c r="C105" s="28"/>
      <c r="D105" s="28"/>
      <c r="E105" s="28"/>
      <c r="F105" s="28"/>
      <c r="G105" s="28"/>
      <c r="H105" s="51"/>
      <c r="I105" s="51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</row>
    <row r="106" spans="1:25" ht="35.25" customHeight="1">
      <c r="A106" s="28"/>
      <c r="B106" s="28"/>
      <c r="C106" s="28"/>
      <c r="D106" s="28"/>
      <c r="E106" s="28"/>
      <c r="F106" s="28"/>
      <c r="G106" s="28"/>
      <c r="H106" s="51"/>
      <c r="I106" s="51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</row>
    <row r="107" spans="1:25" ht="35.25" customHeight="1">
      <c r="A107" s="28"/>
      <c r="B107" s="28"/>
      <c r="C107" s="28"/>
      <c r="D107" s="28"/>
      <c r="E107" s="28"/>
      <c r="F107" s="28"/>
      <c r="G107" s="28"/>
      <c r="H107" s="51"/>
      <c r="I107" s="51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</row>
    <row r="108" spans="1:25" ht="35.25" customHeight="1">
      <c r="A108" s="28"/>
      <c r="B108" s="28"/>
      <c r="C108" s="28"/>
      <c r="D108" s="28"/>
      <c r="E108" s="28"/>
      <c r="F108" s="28"/>
      <c r="G108" s="28"/>
      <c r="H108" s="51"/>
      <c r="I108" s="51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</row>
    <row r="109" spans="1:25" ht="35.25" customHeight="1">
      <c r="A109" s="28"/>
      <c r="B109" s="28"/>
      <c r="C109" s="28"/>
      <c r="D109" s="28"/>
      <c r="E109" s="28"/>
      <c r="F109" s="28"/>
      <c r="G109" s="28"/>
      <c r="H109" s="51"/>
      <c r="I109" s="51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</row>
    <row r="110" spans="1:25" ht="35.25" customHeight="1">
      <c r="A110" s="28"/>
      <c r="B110" s="28"/>
      <c r="C110" s="28"/>
      <c r="D110" s="28"/>
      <c r="E110" s="28"/>
      <c r="F110" s="28"/>
      <c r="G110" s="28"/>
      <c r="H110" s="51"/>
      <c r="I110" s="51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</row>
    <row r="111" spans="1:25" ht="35.25" customHeight="1">
      <c r="A111" s="28"/>
      <c r="B111" s="28"/>
      <c r="C111" s="28"/>
      <c r="D111" s="28"/>
      <c r="E111" s="28"/>
      <c r="F111" s="28"/>
      <c r="G111" s="28"/>
      <c r="H111" s="51"/>
      <c r="I111" s="51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</row>
    <row r="112" spans="1:25" ht="35.25" customHeight="1">
      <c r="A112" s="28"/>
      <c r="B112" s="28"/>
      <c r="C112" s="28"/>
      <c r="D112" s="28"/>
      <c r="E112" s="28"/>
      <c r="F112" s="28"/>
      <c r="G112" s="28"/>
      <c r="H112" s="51"/>
      <c r="I112" s="51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</row>
    <row r="113" spans="1:25" ht="35.25" customHeight="1">
      <c r="A113" s="28"/>
      <c r="B113" s="28"/>
      <c r="C113" s="28"/>
      <c r="D113" s="28"/>
      <c r="E113" s="28"/>
      <c r="F113" s="28"/>
      <c r="G113" s="28"/>
      <c r="H113" s="51"/>
      <c r="I113" s="51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</row>
    <row r="114" spans="1:25" ht="35.25" customHeight="1">
      <c r="A114" s="28"/>
      <c r="B114" s="28"/>
      <c r="C114" s="28"/>
      <c r="D114" s="28"/>
      <c r="E114" s="28"/>
      <c r="F114" s="28"/>
      <c r="G114" s="28"/>
      <c r="H114" s="51"/>
      <c r="I114" s="51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</row>
    <row r="115" spans="1:25" ht="35.25" customHeight="1">
      <c r="A115" s="28"/>
      <c r="B115" s="28"/>
      <c r="C115" s="28"/>
      <c r="D115" s="28"/>
      <c r="E115" s="28"/>
      <c r="F115" s="28"/>
      <c r="G115" s="28"/>
      <c r="H115" s="51"/>
      <c r="I115" s="51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</row>
    <row r="116" spans="1:25" ht="35.25" customHeight="1">
      <c r="A116" s="28"/>
      <c r="B116" s="28"/>
      <c r="C116" s="28"/>
      <c r="D116" s="28"/>
      <c r="E116" s="28"/>
      <c r="F116" s="28"/>
      <c r="G116" s="28"/>
      <c r="H116" s="51"/>
      <c r="I116" s="51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</row>
    <row r="117" spans="1:25" ht="35.25" customHeight="1">
      <c r="A117" s="28"/>
      <c r="B117" s="28"/>
      <c r="C117" s="28"/>
      <c r="D117" s="28"/>
      <c r="E117" s="28"/>
      <c r="F117" s="28"/>
      <c r="G117" s="28"/>
      <c r="H117" s="51"/>
      <c r="I117" s="51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</row>
    <row r="118" spans="1:25" ht="35.25" customHeight="1">
      <c r="A118" s="28"/>
      <c r="B118" s="28"/>
      <c r="C118" s="28"/>
      <c r="D118" s="28"/>
      <c r="E118" s="28"/>
      <c r="F118" s="28"/>
      <c r="G118" s="28"/>
      <c r="H118" s="51"/>
      <c r="I118" s="51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</row>
    <row r="119" spans="1:25" ht="35.25" customHeight="1">
      <c r="A119" s="28"/>
      <c r="B119" s="28"/>
      <c r="C119" s="28"/>
      <c r="D119" s="28"/>
      <c r="E119" s="28"/>
      <c r="F119" s="28"/>
      <c r="G119" s="28"/>
      <c r="H119" s="51"/>
      <c r="I119" s="51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</row>
    <row r="120" spans="1:25" ht="35.25" customHeight="1">
      <c r="A120" s="28"/>
      <c r="B120" s="28"/>
      <c r="C120" s="28"/>
      <c r="D120" s="28"/>
      <c r="E120" s="28"/>
      <c r="F120" s="28"/>
      <c r="G120" s="28"/>
      <c r="H120" s="51"/>
      <c r="I120" s="51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</row>
    <row r="121" spans="1:25" ht="35.25" customHeight="1">
      <c r="A121" s="28"/>
      <c r="B121" s="28"/>
      <c r="C121" s="28"/>
      <c r="D121" s="28"/>
      <c r="E121" s="28"/>
      <c r="F121" s="28"/>
      <c r="G121" s="28"/>
      <c r="H121" s="51"/>
      <c r="I121" s="51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</row>
    <row r="122" spans="1:25" ht="35.25" customHeight="1">
      <c r="A122" s="28"/>
      <c r="B122" s="28"/>
      <c r="C122" s="28"/>
      <c r="D122" s="28"/>
      <c r="E122" s="28"/>
      <c r="F122" s="28"/>
      <c r="G122" s="28"/>
      <c r="H122" s="51"/>
      <c r="I122" s="51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</row>
    <row r="123" spans="1:25" ht="35.25" customHeight="1">
      <c r="A123" s="28"/>
      <c r="B123" s="28"/>
      <c r="C123" s="28"/>
      <c r="D123" s="28"/>
      <c r="E123" s="28"/>
      <c r="F123" s="28"/>
      <c r="G123" s="28"/>
      <c r="H123" s="51"/>
      <c r="I123" s="51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</row>
    <row r="124" spans="1:25" ht="35.25" customHeight="1">
      <c r="A124" s="28"/>
      <c r="B124" s="28"/>
      <c r="C124" s="28"/>
      <c r="D124" s="28"/>
      <c r="E124" s="28"/>
      <c r="F124" s="28"/>
      <c r="G124" s="28"/>
      <c r="H124" s="51"/>
      <c r="I124" s="51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</row>
    <row r="125" spans="1:25" ht="35.25" customHeight="1">
      <c r="A125" s="28"/>
      <c r="B125" s="28"/>
      <c r="C125" s="28"/>
      <c r="D125" s="28"/>
      <c r="E125" s="28"/>
      <c r="F125" s="28"/>
      <c r="G125" s="28"/>
      <c r="H125" s="51"/>
      <c r="I125" s="51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</row>
    <row r="126" spans="1:25" ht="35.25" customHeight="1">
      <c r="A126" s="28"/>
      <c r="B126" s="28"/>
      <c r="C126" s="28"/>
      <c r="D126" s="28"/>
      <c r="E126" s="28"/>
      <c r="F126" s="28"/>
      <c r="G126" s="28"/>
      <c r="H126" s="51"/>
      <c r="I126" s="51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</row>
    <row r="127" spans="1:25" ht="35.25" customHeight="1">
      <c r="A127" s="28"/>
      <c r="B127" s="28"/>
      <c r="C127" s="28"/>
      <c r="D127" s="28"/>
      <c r="E127" s="28"/>
      <c r="F127" s="28"/>
      <c r="G127" s="28"/>
      <c r="H127" s="51"/>
      <c r="I127" s="51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</row>
    <row r="128" spans="1:25" ht="35.25" customHeight="1">
      <c r="A128" s="28"/>
      <c r="B128" s="28"/>
      <c r="C128" s="28"/>
      <c r="D128" s="28"/>
      <c r="E128" s="28"/>
      <c r="F128" s="28"/>
      <c r="G128" s="28"/>
      <c r="H128" s="51"/>
      <c r="I128" s="51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</row>
    <row r="129" spans="1:25" ht="35.25" customHeight="1">
      <c r="A129" s="28"/>
      <c r="B129" s="28"/>
      <c r="C129" s="28"/>
      <c r="D129" s="28"/>
      <c r="E129" s="28"/>
      <c r="F129" s="28"/>
      <c r="G129" s="28"/>
      <c r="H129" s="51"/>
      <c r="I129" s="51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</row>
    <row r="130" spans="1:25" ht="35.25" customHeight="1">
      <c r="A130" s="28"/>
      <c r="B130" s="28"/>
      <c r="C130" s="28"/>
      <c r="D130" s="28"/>
      <c r="E130" s="28"/>
      <c r="F130" s="28"/>
      <c r="G130" s="28"/>
      <c r="H130" s="51"/>
      <c r="I130" s="51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</row>
    <row r="131" spans="1:25" ht="35.25" customHeight="1">
      <c r="A131" s="28"/>
      <c r="B131" s="28"/>
      <c r="C131" s="28"/>
      <c r="D131" s="28"/>
      <c r="E131" s="28"/>
      <c r="F131" s="28"/>
      <c r="G131" s="28"/>
      <c r="H131" s="51"/>
      <c r="I131" s="51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</row>
    <row r="132" spans="1:25" ht="35.25" customHeight="1">
      <c r="A132" s="28"/>
      <c r="B132" s="28"/>
      <c r="C132" s="28"/>
      <c r="D132" s="28"/>
      <c r="E132" s="28"/>
      <c r="F132" s="28"/>
      <c r="G132" s="28"/>
      <c r="H132" s="51"/>
      <c r="I132" s="51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35.25" customHeight="1">
      <c r="A133" s="28"/>
      <c r="B133" s="28"/>
      <c r="C133" s="28"/>
      <c r="D133" s="28"/>
      <c r="E133" s="28"/>
      <c r="F133" s="28"/>
      <c r="G133" s="28"/>
      <c r="H133" s="51"/>
      <c r="I133" s="51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</row>
    <row r="134" spans="1:25" ht="35.25" customHeight="1">
      <c r="A134" s="28"/>
      <c r="B134" s="28"/>
      <c r="C134" s="28"/>
      <c r="D134" s="28"/>
      <c r="E134" s="28"/>
      <c r="F134" s="28"/>
      <c r="G134" s="28"/>
      <c r="H134" s="51"/>
      <c r="I134" s="51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</row>
    <row r="135" spans="1:25" ht="35.25" customHeight="1">
      <c r="A135" s="28"/>
      <c r="B135" s="28"/>
      <c r="C135" s="28"/>
      <c r="D135" s="28"/>
      <c r="E135" s="28"/>
      <c r="F135" s="28"/>
      <c r="G135" s="28"/>
      <c r="H135" s="51"/>
      <c r="I135" s="51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</row>
    <row r="136" spans="1:25" ht="35.25" customHeight="1">
      <c r="A136" s="28"/>
      <c r="B136" s="28"/>
      <c r="C136" s="28"/>
      <c r="D136" s="28"/>
      <c r="E136" s="28"/>
      <c r="F136" s="28"/>
      <c r="G136" s="28"/>
      <c r="H136" s="51"/>
      <c r="I136" s="51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</row>
    <row r="137" spans="1:25" ht="35.25" customHeight="1">
      <c r="A137" s="28"/>
      <c r="B137" s="28"/>
      <c r="C137" s="28"/>
      <c r="D137" s="28"/>
      <c r="E137" s="28"/>
      <c r="F137" s="28"/>
      <c r="G137" s="28"/>
      <c r="H137" s="51"/>
      <c r="I137" s="51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</row>
    <row r="138" spans="1:25" ht="35.25" customHeight="1">
      <c r="A138" s="28"/>
      <c r="B138" s="28"/>
      <c r="C138" s="28"/>
      <c r="D138" s="28"/>
      <c r="E138" s="28"/>
      <c r="F138" s="28"/>
      <c r="G138" s="28"/>
      <c r="H138" s="51"/>
      <c r="I138" s="51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</row>
    <row r="139" spans="1:25" ht="35.25" customHeight="1">
      <c r="A139" s="28"/>
      <c r="B139" s="28"/>
      <c r="C139" s="28"/>
      <c r="D139" s="28"/>
      <c r="E139" s="28"/>
      <c r="F139" s="28"/>
      <c r="G139" s="28"/>
      <c r="H139" s="51"/>
      <c r="I139" s="51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</row>
    <row r="140" spans="1:25" ht="35.25" customHeight="1">
      <c r="A140" s="28"/>
      <c r="B140" s="28"/>
      <c r="C140" s="28"/>
      <c r="D140" s="28"/>
      <c r="E140" s="28"/>
      <c r="F140" s="28"/>
      <c r="G140" s="28"/>
      <c r="H140" s="51"/>
      <c r="I140" s="51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</row>
    <row r="141" spans="1:25" ht="35.25" customHeight="1">
      <c r="A141" s="28"/>
      <c r="B141" s="28"/>
      <c r="C141" s="28"/>
      <c r="D141" s="28"/>
      <c r="E141" s="28"/>
      <c r="F141" s="28"/>
      <c r="G141" s="28"/>
      <c r="H141" s="51"/>
      <c r="I141" s="51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</row>
    <row r="142" spans="1:25" ht="35.25" customHeight="1">
      <c r="A142" s="28"/>
      <c r="B142" s="28"/>
      <c r="C142" s="28"/>
      <c r="D142" s="28"/>
      <c r="E142" s="28"/>
      <c r="F142" s="28"/>
      <c r="G142" s="28"/>
      <c r="H142" s="51"/>
      <c r="I142" s="51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</row>
    <row r="143" spans="1:25" ht="35.25" customHeight="1">
      <c r="A143" s="28"/>
      <c r="B143" s="28"/>
      <c r="C143" s="28"/>
      <c r="D143" s="28"/>
      <c r="E143" s="28"/>
      <c r="F143" s="28"/>
      <c r="G143" s="28"/>
      <c r="H143" s="51"/>
      <c r="I143" s="51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</row>
    <row r="144" spans="1:25" ht="35.25" customHeight="1">
      <c r="A144" s="28"/>
      <c r="B144" s="28"/>
      <c r="C144" s="28"/>
      <c r="D144" s="28"/>
      <c r="E144" s="28"/>
      <c r="F144" s="28"/>
      <c r="G144" s="28"/>
      <c r="H144" s="51"/>
      <c r="I144" s="51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</row>
    <row r="145" spans="1:25" ht="35.25" customHeight="1">
      <c r="A145" s="28"/>
      <c r="B145" s="28"/>
      <c r="C145" s="28"/>
      <c r="D145" s="28"/>
      <c r="E145" s="28"/>
      <c r="F145" s="28"/>
      <c r="G145" s="28"/>
      <c r="H145" s="51"/>
      <c r="I145" s="51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</row>
    <row r="146" spans="1:25" ht="35.25" customHeight="1">
      <c r="A146" s="28"/>
      <c r="B146" s="28"/>
      <c r="C146" s="28"/>
      <c r="D146" s="28"/>
      <c r="E146" s="28"/>
      <c r="F146" s="28"/>
      <c r="G146" s="28"/>
      <c r="H146" s="51"/>
      <c r="I146" s="51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</row>
    <row r="147" spans="1:25" ht="35.25" customHeight="1">
      <c r="A147" s="28"/>
      <c r="B147" s="28"/>
      <c r="C147" s="28"/>
      <c r="D147" s="28"/>
      <c r="E147" s="28"/>
      <c r="F147" s="28"/>
      <c r="G147" s="28"/>
      <c r="H147" s="51"/>
      <c r="I147" s="51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</row>
    <row r="148" spans="1:25" ht="35.25" customHeight="1">
      <c r="A148" s="28"/>
      <c r="B148" s="28"/>
      <c r="C148" s="28"/>
      <c r="D148" s="28"/>
      <c r="E148" s="28"/>
      <c r="F148" s="28"/>
      <c r="G148" s="28"/>
      <c r="H148" s="51"/>
      <c r="I148" s="51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</row>
    <row r="149" spans="1:25" ht="35.25" customHeight="1">
      <c r="A149" s="28"/>
      <c r="B149" s="28"/>
      <c r="C149" s="28"/>
      <c r="D149" s="28"/>
      <c r="E149" s="28"/>
      <c r="F149" s="28"/>
      <c r="G149" s="28"/>
      <c r="H149" s="51"/>
      <c r="I149" s="51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</row>
    <row r="150" spans="1:25" ht="35.25" customHeight="1">
      <c r="A150" s="28"/>
      <c r="B150" s="28"/>
      <c r="C150" s="28"/>
      <c r="D150" s="28"/>
      <c r="E150" s="28"/>
      <c r="F150" s="28"/>
      <c r="G150" s="28"/>
      <c r="H150" s="51"/>
      <c r="I150" s="51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</row>
    <row r="151" spans="1:25" ht="35.25" customHeight="1">
      <c r="A151" s="28"/>
      <c r="B151" s="28"/>
      <c r="C151" s="28"/>
      <c r="D151" s="28"/>
      <c r="E151" s="28"/>
      <c r="F151" s="28"/>
      <c r="G151" s="28"/>
      <c r="H151" s="51"/>
      <c r="I151" s="51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</row>
    <row r="152" spans="1:25" ht="35.25" customHeight="1">
      <c r="A152" s="28"/>
      <c r="B152" s="28"/>
      <c r="C152" s="28"/>
      <c r="D152" s="28"/>
      <c r="E152" s="28"/>
      <c r="F152" s="28"/>
      <c r="G152" s="28"/>
      <c r="H152" s="51"/>
      <c r="I152" s="51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</row>
    <row r="153" spans="1:25" ht="35.25" customHeight="1">
      <c r="A153" s="28"/>
      <c r="B153" s="28"/>
      <c r="C153" s="28"/>
      <c r="D153" s="28"/>
      <c r="E153" s="28"/>
      <c r="F153" s="28"/>
      <c r="G153" s="28"/>
      <c r="H153" s="51"/>
      <c r="I153" s="51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</row>
    <row r="154" spans="1:25" ht="35.25" customHeight="1">
      <c r="A154" s="28"/>
      <c r="B154" s="28"/>
      <c r="C154" s="28"/>
      <c r="D154" s="28"/>
      <c r="E154" s="28"/>
      <c r="F154" s="28"/>
      <c r="G154" s="28"/>
      <c r="H154" s="51"/>
      <c r="I154" s="51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</row>
    <row r="155" spans="1:25" ht="35.25" customHeight="1">
      <c r="A155" s="28"/>
      <c r="B155" s="28"/>
      <c r="C155" s="28"/>
      <c r="D155" s="28"/>
      <c r="E155" s="28"/>
      <c r="F155" s="28"/>
      <c r="G155" s="28"/>
      <c r="H155" s="51"/>
      <c r="I155" s="51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</row>
    <row r="156" spans="1:25" ht="35.25" customHeight="1">
      <c r="A156" s="28"/>
      <c r="B156" s="28"/>
      <c r="C156" s="28"/>
      <c r="D156" s="28"/>
      <c r="E156" s="28"/>
      <c r="F156" s="28"/>
      <c r="G156" s="28"/>
      <c r="H156" s="51"/>
      <c r="I156" s="51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</row>
    <row r="157" spans="1:25" ht="35.25" customHeight="1">
      <c r="A157" s="28"/>
      <c r="B157" s="28"/>
      <c r="C157" s="28"/>
      <c r="D157" s="28"/>
      <c r="E157" s="28"/>
      <c r="F157" s="28"/>
      <c r="G157" s="28"/>
      <c r="H157" s="51"/>
      <c r="I157" s="51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</row>
    <row r="158" spans="1:25" ht="35.25" customHeight="1">
      <c r="A158" s="28"/>
      <c r="B158" s="28"/>
      <c r="C158" s="28"/>
      <c r="D158" s="28"/>
      <c r="E158" s="28"/>
      <c r="F158" s="28"/>
      <c r="G158" s="28"/>
      <c r="H158" s="51"/>
      <c r="I158" s="51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</row>
    <row r="159" spans="1:25" ht="35.25" customHeight="1">
      <c r="A159" s="28"/>
      <c r="B159" s="28"/>
      <c r="C159" s="28"/>
      <c r="D159" s="28"/>
      <c r="E159" s="28"/>
      <c r="F159" s="28"/>
      <c r="G159" s="28"/>
      <c r="H159" s="51"/>
      <c r="I159" s="51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</row>
    <row r="160" spans="1:25" ht="35.25" customHeight="1">
      <c r="A160" s="28"/>
      <c r="B160" s="28"/>
      <c r="C160" s="28"/>
      <c r="D160" s="28"/>
      <c r="E160" s="28"/>
      <c r="F160" s="28"/>
      <c r="G160" s="28"/>
      <c r="H160" s="51"/>
      <c r="I160" s="51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</row>
    <row r="161" spans="1:25" ht="35.25" customHeight="1">
      <c r="A161" s="28"/>
      <c r="B161" s="28"/>
      <c r="C161" s="28"/>
      <c r="D161" s="28"/>
      <c r="E161" s="28"/>
      <c r="F161" s="28"/>
      <c r="G161" s="28"/>
      <c r="H161" s="51"/>
      <c r="I161" s="51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</row>
    <row r="162" spans="1:25" ht="35.25" customHeight="1">
      <c r="A162" s="28"/>
      <c r="B162" s="28"/>
      <c r="C162" s="28"/>
      <c r="D162" s="28"/>
      <c r="E162" s="28"/>
      <c r="F162" s="28"/>
      <c r="G162" s="28"/>
      <c r="H162" s="51"/>
      <c r="I162" s="51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</row>
    <row r="163" spans="1:25" ht="35.25" customHeight="1">
      <c r="A163" s="28"/>
      <c r="B163" s="28"/>
      <c r="C163" s="28"/>
      <c r="D163" s="28"/>
      <c r="E163" s="28"/>
      <c r="F163" s="28"/>
      <c r="G163" s="28"/>
      <c r="H163" s="51"/>
      <c r="I163" s="51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</row>
    <row r="164" spans="1:25" ht="35.25" customHeight="1">
      <c r="A164" s="28"/>
      <c r="B164" s="28"/>
      <c r="C164" s="28"/>
      <c r="D164" s="28"/>
      <c r="E164" s="28"/>
      <c r="F164" s="28"/>
      <c r="G164" s="28"/>
      <c r="H164" s="51"/>
      <c r="I164" s="51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</row>
    <row r="165" spans="1:25" ht="35.25" customHeight="1">
      <c r="A165" s="28"/>
      <c r="B165" s="28"/>
      <c r="C165" s="28"/>
      <c r="D165" s="28"/>
      <c r="E165" s="28"/>
      <c r="F165" s="28"/>
      <c r="G165" s="28"/>
      <c r="H165" s="51"/>
      <c r="I165" s="51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</row>
    <row r="166" spans="1:25" ht="35.25" customHeight="1">
      <c r="A166" s="28"/>
      <c r="B166" s="28"/>
      <c r="C166" s="28"/>
      <c r="D166" s="28"/>
      <c r="E166" s="28"/>
      <c r="F166" s="28"/>
      <c r="G166" s="28"/>
      <c r="H166" s="51"/>
      <c r="I166" s="51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</row>
    <row r="167" spans="1:25" ht="35.25" customHeight="1">
      <c r="A167" s="28"/>
      <c r="B167" s="28"/>
      <c r="C167" s="28"/>
      <c r="D167" s="28"/>
      <c r="E167" s="28"/>
      <c r="F167" s="28"/>
      <c r="G167" s="28"/>
      <c r="H167" s="51"/>
      <c r="I167" s="51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</row>
    <row r="168" spans="1:25" ht="35.25" customHeight="1">
      <c r="A168" s="28"/>
      <c r="B168" s="28"/>
      <c r="C168" s="28"/>
      <c r="D168" s="28"/>
      <c r="E168" s="28"/>
      <c r="F168" s="28"/>
      <c r="G168" s="28"/>
      <c r="H168" s="51"/>
      <c r="I168" s="51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</row>
    <row r="169" spans="1:25" ht="35.25" customHeight="1">
      <c r="A169" s="28"/>
      <c r="B169" s="28"/>
      <c r="C169" s="28"/>
      <c r="D169" s="28"/>
      <c r="E169" s="28"/>
      <c r="F169" s="28"/>
      <c r="G169" s="28"/>
      <c r="H169" s="51"/>
      <c r="I169" s="51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</row>
    <row r="170" spans="1:25" ht="35.25" customHeight="1">
      <c r="A170" s="28"/>
      <c r="B170" s="28"/>
      <c r="C170" s="28"/>
      <c r="D170" s="28"/>
      <c r="E170" s="28"/>
      <c r="F170" s="28"/>
      <c r="G170" s="28"/>
      <c r="H170" s="51"/>
      <c r="I170" s="51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</row>
    <row r="171" spans="1:25" ht="35.25" customHeight="1">
      <c r="A171" s="28"/>
      <c r="B171" s="28"/>
      <c r="C171" s="28"/>
      <c r="D171" s="28"/>
      <c r="E171" s="28"/>
      <c r="F171" s="28"/>
      <c r="G171" s="28"/>
      <c r="H171" s="51"/>
      <c r="I171" s="51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</row>
    <row r="172" spans="1:25" ht="35.25" customHeight="1">
      <c r="A172" s="28"/>
      <c r="B172" s="28"/>
      <c r="C172" s="28"/>
      <c r="D172" s="28"/>
      <c r="E172" s="28"/>
      <c r="F172" s="28"/>
      <c r="G172" s="28"/>
      <c r="H172" s="51"/>
      <c r="I172" s="51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</row>
    <row r="173" spans="1:25" ht="35.25" customHeight="1">
      <c r="A173" s="28"/>
      <c r="B173" s="28"/>
      <c r="C173" s="28"/>
      <c r="D173" s="28"/>
      <c r="E173" s="28"/>
      <c r="F173" s="28"/>
      <c r="G173" s="28"/>
      <c r="H173" s="51"/>
      <c r="I173" s="51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</row>
    <row r="174" spans="1:25" ht="35.25" customHeight="1">
      <c r="A174" s="28"/>
      <c r="B174" s="28"/>
      <c r="C174" s="28"/>
      <c r="D174" s="28"/>
      <c r="E174" s="28"/>
      <c r="F174" s="28"/>
      <c r="G174" s="28"/>
      <c r="H174" s="51"/>
      <c r="I174" s="51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</row>
    <row r="175" spans="1:25" ht="35.25" customHeight="1">
      <c r="A175" s="28"/>
      <c r="B175" s="28"/>
      <c r="C175" s="28"/>
      <c r="D175" s="28"/>
      <c r="E175" s="28"/>
      <c r="F175" s="28"/>
      <c r="G175" s="28"/>
      <c r="H175" s="51"/>
      <c r="I175" s="51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</row>
    <row r="176" spans="1:25" ht="35.25" customHeight="1">
      <c r="A176" s="28"/>
      <c r="B176" s="28"/>
      <c r="C176" s="28"/>
      <c r="D176" s="28"/>
      <c r="E176" s="28"/>
      <c r="F176" s="28"/>
      <c r="G176" s="28"/>
      <c r="H176" s="51"/>
      <c r="I176" s="51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</row>
    <row r="177" spans="1:25" ht="35.25" customHeight="1">
      <c r="A177" s="28"/>
      <c r="B177" s="28"/>
      <c r="C177" s="28"/>
      <c r="D177" s="28"/>
      <c r="E177" s="28"/>
      <c r="F177" s="28"/>
      <c r="G177" s="28"/>
      <c r="H177" s="51"/>
      <c r="I177" s="51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</row>
    <row r="178" spans="1:25" ht="35.25" customHeight="1">
      <c r="A178" s="28"/>
      <c r="B178" s="28"/>
      <c r="C178" s="28"/>
      <c r="D178" s="28"/>
      <c r="E178" s="28"/>
      <c r="F178" s="28"/>
      <c r="G178" s="28"/>
      <c r="H178" s="51"/>
      <c r="I178" s="51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</row>
    <row r="179" spans="1:25" ht="35.25" customHeight="1">
      <c r="A179" s="28"/>
      <c r="B179" s="28"/>
      <c r="C179" s="28"/>
      <c r="D179" s="28"/>
      <c r="E179" s="28"/>
      <c r="F179" s="28"/>
      <c r="G179" s="28"/>
      <c r="H179" s="51"/>
      <c r="I179" s="51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</row>
    <row r="180" spans="1:25" ht="35.25" customHeight="1">
      <c r="A180" s="28"/>
      <c r="B180" s="28"/>
      <c r="C180" s="28"/>
      <c r="D180" s="28"/>
      <c r="E180" s="28"/>
      <c r="F180" s="28"/>
      <c r="G180" s="28"/>
      <c r="H180" s="51"/>
      <c r="I180" s="51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</row>
    <row r="181" spans="1:25" ht="35.25" customHeight="1">
      <c r="A181" s="28"/>
      <c r="B181" s="28"/>
      <c r="C181" s="28"/>
      <c r="D181" s="28"/>
      <c r="E181" s="28"/>
      <c r="F181" s="28"/>
      <c r="G181" s="28"/>
      <c r="H181" s="51"/>
      <c r="I181" s="51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</row>
    <row r="182" spans="1:25" ht="35.25" customHeight="1">
      <c r="A182" s="28"/>
      <c r="B182" s="28"/>
      <c r="C182" s="28"/>
      <c r="D182" s="28"/>
      <c r="E182" s="28"/>
      <c r="F182" s="28"/>
      <c r="G182" s="28"/>
      <c r="H182" s="51"/>
      <c r="I182" s="51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</row>
    <row r="183" spans="1:25" ht="35.25" customHeight="1">
      <c r="A183" s="28"/>
      <c r="B183" s="28"/>
      <c r="C183" s="28"/>
      <c r="D183" s="28"/>
      <c r="E183" s="28"/>
      <c r="F183" s="28"/>
      <c r="G183" s="28"/>
      <c r="H183" s="51"/>
      <c r="I183" s="51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</row>
    <row r="184" spans="1:25" ht="35.25" customHeight="1">
      <c r="A184" s="28"/>
      <c r="B184" s="28"/>
      <c r="C184" s="28"/>
      <c r="D184" s="28"/>
      <c r="E184" s="28"/>
      <c r="F184" s="28"/>
      <c r="G184" s="28"/>
      <c r="H184" s="51"/>
      <c r="I184" s="51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</row>
    <row r="185" spans="1:25" ht="35.25" customHeight="1">
      <c r="A185" s="28"/>
      <c r="B185" s="28"/>
      <c r="C185" s="28"/>
      <c r="D185" s="28"/>
      <c r="E185" s="28"/>
      <c r="F185" s="28"/>
      <c r="G185" s="28"/>
      <c r="H185" s="51"/>
      <c r="I185" s="51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</row>
    <row r="186" spans="1:25" ht="35.25" customHeight="1">
      <c r="A186" s="28"/>
      <c r="B186" s="28"/>
      <c r="C186" s="28"/>
      <c r="D186" s="28"/>
      <c r="E186" s="28"/>
      <c r="F186" s="28"/>
      <c r="G186" s="28"/>
      <c r="H186" s="51"/>
      <c r="I186" s="51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</row>
    <row r="187" spans="1:25" ht="35.25" customHeight="1">
      <c r="A187" s="28"/>
      <c r="B187" s="28"/>
      <c r="C187" s="28"/>
      <c r="D187" s="28"/>
      <c r="E187" s="28"/>
      <c r="F187" s="28"/>
      <c r="G187" s="28"/>
      <c r="H187" s="51"/>
      <c r="I187" s="51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</row>
    <row r="188" spans="1:25" ht="35.25" customHeight="1">
      <c r="A188" s="28"/>
      <c r="B188" s="28"/>
      <c r="C188" s="28"/>
      <c r="D188" s="28"/>
      <c r="E188" s="28"/>
      <c r="F188" s="28"/>
      <c r="G188" s="28"/>
      <c r="H188" s="51"/>
      <c r="I188" s="51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</row>
    <row r="189" spans="1:25" ht="35.25" customHeight="1">
      <c r="A189" s="28"/>
      <c r="B189" s="28"/>
      <c r="C189" s="28"/>
      <c r="D189" s="28"/>
      <c r="E189" s="28"/>
      <c r="F189" s="28"/>
      <c r="G189" s="28"/>
      <c r="H189" s="51"/>
      <c r="I189" s="51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</row>
    <row r="190" spans="1:25" ht="35.25" customHeight="1">
      <c r="A190" s="28"/>
      <c r="B190" s="28"/>
      <c r="C190" s="28"/>
      <c r="D190" s="28"/>
      <c r="E190" s="28"/>
      <c r="F190" s="28"/>
      <c r="G190" s="28"/>
      <c r="H190" s="51"/>
      <c r="I190" s="51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</row>
    <row r="191" spans="1:25" ht="35.25" customHeight="1">
      <c r="A191" s="28"/>
      <c r="B191" s="28"/>
      <c r="C191" s="28"/>
      <c r="D191" s="28"/>
      <c r="E191" s="28"/>
      <c r="F191" s="28"/>
      <c r="G191" s="28"/>
      <c r="H191" s="51"/>
      <c r="I191" s="51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</row>
    <row r="192" spans="1:25" ht="35.25" customHeight="1">
      <c r="A192" s="28"/>
      <c r="B192" s="28"/>
      <c r="C192" s="28"/>
      <c r="D192" s="28"/>
      <c r="E192" s="28"/>
      <c r="F192" s="28"/>
      <c r="G192" s="28"/>
      <c r="H192" s="51"/>
      <c r="I192" s="51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</row>
    <row r="193" spans="1:25" ht="35.25" customHeight="1">
      <c r="A193" s="28"/>
      <c r="B193" s="28"/>
      <c r="C193" s="28"/>
      <c r="D193" s="28"/>
      <c r="E193" s="28"/>
      <c r="F193" s="28"/>
      <c r="G193" s="28"/>
      <c r="H193" s="51"/>
      <c r="I193" s="51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</row>
    <row r="194" spans="1:25" ht="35.25" customHeight="1">
      <c r="A194" s="28"/>
      <c r="B194" s="28"/>
      <c r="C194" s="28"/>
      <c r="D194" s="28"/>
      <c r="E194" s="28"/>
      <c r="F194" s="28"/>
      <c r="G194" s="28"/>
      <c r="H194" s="51"/>
      <c r="I194" s="51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</row>
    <row r="195" spans="1:25" ht="35.25" customHeight="1">
      <c r="A195" s="28"/>
      <c r="B195" s="28"/>
      <c r="C195" s="28"/>
      <c r="D195" s="28"/>
      <c r="E195" s="28"/>
      <c r="F195" s="28"/>
      <c r="G195" s="28"/>
      <c r="H195" s="51"/>
      <c r="I195" s="51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</row>
    <row r="196" spans="1:25" ht="35.25" customHeight="1">
      <c r="A196" s="28"/>
      <c r="B196" s="28"/>
      <c r="C196" s="28"/>
      <c r="D196" s="28"/>
      <c r="E196" s="28"/>
      <c r="F196" s="28"/>
      <c r="G196" s="28"/>
      <c r="H196" s="51"/>
      <c r="I196" s="51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35.25" customHeight="1">
      <c r="A197" s="28"/>
      <c r="B197" s="28"/>
      <c r="C197" s="28"/>
      <c r="D197" s="28"/>
      <c r="E197" s="28"/>
      <c r="F197" s="28"/>
      <c r="G197" s="28"/>
      <c r="H197" s="51"/>
      <c r="I197" s="51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</row>
    <row r="198" spans="1:25" ht="35.25" customHeight="1">
      <c r="A198" s="28"/>
      <c r="B198" s="28"/>
      <c r="C198" s="28"/>
      <c r="D198" s="28"/>
      <c r="E198" s="28"/>
      <c r="F198" s="28"/>
      <c r="G198" s="28"/>
      <c r="H198" s="51"/>
      <c r="I198" s="51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</row>
    <row r="199" spans="1:25" ht="35.25" customHeight="1">
      <c r="A199" s="28"/>
      <c r="B199" s="28"/>
      <c r="C199" s="28"/>
      <c r="D199" s="28"/>
      <c r="E199" s="28"/>
      <c r="F199" s="28"/>
      <c r="G199" s="28"/>
      <c r="H199" s="51"/>
      <c r="I199" s="51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</row>
    <row r="200" spans="1:25" ht="35.25" customHeight="1">
      <c r="A200" s="28"/>
      <c r="B200" s="28"/>
      <c r="C200" s="28"/>
      <c r="D200" s="28"/>
      <c r="E200" s="28"/>
      <c r="F200" s="28"/>
      <c r="G200" s="28"/>
      <c r="H200" s="51"/>
      <c r="I200" s="51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</row>
    <row r="201" spans="1:25" ht="35.25" customHeight="1">
      <c r="A201" s="28"/>
      <c r="B201" s="28"/>
      <c r="C201" s="28"/>
      <c r="D201" s="28"/>
      <c r="E201" s="28"/>
      <c r="F201" s="28"/>
      <c r="G201" s="28"/>
      <c r="H201" s="51"/>
      <c r="I201" s="51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</row>
    <row r="202" spans="1:25" ht="35.25" customHeight="1">
      <c r="A202" s="28"/>
      <c r="B202" s="28"/>
      <c r="C202" s="28"/>
      <c r="D202" s="28"/>
      <c r="E202" s="28"/>
      <c r="F202" s="28"/>
      <c r="G202" s="28"/>
      <c r="H202" s="51"/>
      <c r="I202" s="51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</row>
    <row r="203" spans="1:25" ht="35.25" customHeight="1">
      <c r="A203" s="28"/>
      <c r="B203" s="28"/>
      <c r="C203" s="28"/>
      <c r="D203" s="28"/>
      <c r="E203" s="28"/>
      <c r="F203" s="28"/>
      <c r="G203" s="28"/>
      <c r="H203" s="51"/>
      <c r="I203" s="51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</row>
    <row r="204" spans="1:25" ht="35.25" customHeight="1">
      <c r="A204" s="28"/>
      <c r="B204" s="28"/>
      <c r="C204" s="28"/>
      <c r="D204" s="28"/>
      <c r="E204" s="28"/>
      <c r="F204" s="28"/>
      <c r="G204" s="28"/>
      <c r="H204" s="51"/>
      <c r="I204" s="51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</row>
    <row r="205" spans="1:25" ht="35.25" customHeight="1">
      <c r="A205" s="28"/>
      <c r="B205" s="28"/>
      <c r="C205" s="28"/>
      <c r="D205" s="28"/>
      <c r="E205" s="28"/>
      <c r="F205" s="28"/>
      <c r="G205" s="28"/>
      <c r="H205" s="51"/>
      <c r="I205" s="51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</row>
    <row r="206" spans="1:25" ht="35.25" customHeight="1">
      <c r="A206" s="28"/>
      <c r="B206" s="28"/>
      <c r="C206" s="28"/>
      <c r="D206" s="28"/>
      <c r="E206" s="28"/>
      <c r="F206" s="28"/>
      <c r="G206" s="28"/>
      <c r="H206" s="51"/>
      <c r="I206" s="51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</row>
    <row r="207" spans="1:25" ht="35.25" customHeight="1">
      <c r="A207" s="28"/>
      <c r="B207" s="28"/>
      <c r="C207" s="28"/>
      <c r="D207" s="28"/>
      <c r="E207" s="28"/>
      <c r="F207" s="28"/>
      <c r="G207" s="28"/>
      <c r="H207" s="51"/>
      <c r="I207" s="51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</row>
    <row r="208" spans="1:25" ht="35.25" customHeight="1">
      <c r="A208" s="28"/>
      <c r="B208" s="28"/>
      <c r="C208" s="28"/>
      <c r="D208" s="28"/>
      <c r="E208" s="28"/>
      <c r="F208" s="28"/>
      <c r="G208" s="28"/>
      <c r="H208" s="51"/>
      <c r="I208" s="51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</row>
    <row r="209" spans="1:25" ht="35.25" customHeight="1">
      <c r="A209" s="28"/>
      <c r="B209" s="28"/>
      <c r="C209" s="28"/>
      <c r="D209" s="28"/>
      <c r="E209" s="28"/>
      <c r="F209" s="28"/>
      <c r="G209" s="28"/>
      <c r="H209" s="51"/>
      <c r="I209" s="51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</row>
    <row r="210" spans="1:25" ht="35.25" customHeight="1">
      <c r="A210" s="28"/>
      <c r="B210" s="28"/>
      <c r="C210" s="28"/>
      <c r="D210" s="28"/>
      <c r="E210" s="28"/>
      <c r="F210" s="28"/>
      <c r="G210" s="28"/>
      <c r="H210" s="51"/>
      <c r="I210" s="51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</row>
    <row r="211" spans="1:25" ht="35.25" customHeight="1">
      <c r="A211" s="28"/>
      <c r="B211" s="28"/>
      <c r="C211" s="28"/>
      <c r="D211" s="28"/>
      <c r="E211" s="28"/>
      <c r="F211" s="28"/>
      <c r="G211" s="28"/>
      <c r="H211" s="51"/>
      <c r="I211" s="51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</row>
    <row r="212" spans="1:25" ht="35.25" customHeight="1">
      <c r="A212" s="28"/>
      <c r="B212" s="28"/>
      <c r="C212" s="28"/>
      <c r="D212" s="28"/>
      <c r="E212" s="28"/>
      <c r="F212" s="28"/>
      <c r="G212" s="28"/>
      <c r="H212" s="51"/>
      <c r="I212" s="51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</row>
    <row r="213" spans="1:25" ht="35.25" customHeight="1">
      <c r="A213" s="28"/>
      <c r="B213" s="28"/>
      <c r="C213" s="28"/>
      <c r="D213" s="28"/>
      <c r="E213" s="28"/>
      <c r="F213" s="28"/>
      <c r="G213" s="28"/>
      <c r="H213" s="51"/>
      <c r="I213" s="51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</row>
    <row r="214" spans="1:25" ht="35.25" customHeight="1">
      <c r="A214" s="28"/>
      <c r="B214" s="28"/>
      <c r="C214" s="28"/>
      <c r="D214" s="28"/>
      <c r="E214" s="28"/>
      <c r="F214" s="28"/>
      <c r="G214" s="28"/>
      <c r="H214" s="51"/>
      <c r="I214" s="51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</row>
    <row r="215" spans="1:25" ht="35.25" customHeight="1">
      <c r="A215" s="28"/>
      <c r="B215" s="28"/>
      <c r="C215" s="28"/>
      <c r="D215" s="28"/>
      <c r="E215" s="28"/>
      <c r="F215" s="28"/>
      <c r="G215" s="28"/>
      <c r="H215" s="51"/>
      <c r="I215" s="51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</row>
    <row r="216" spans="1:25" ht="35.25" customHeight="1">
      <c r="A216" s="28"/>
      <c r="B216" s="28"/>
      <c r="C216" s="28"/>
      <c r="D216" s="28"/>
      <c r="E216" s="28"/>
      <c r="F216" s="28"/>
      <c r="G216" s="28"/>
      <c r="H216" s="51"/>
      <c r="I216" s="51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</row>
    <row r="217" spans="1:25" ht="35.25" customHeight="1">
      <c r="A217" s="28"/>
      <c r="B217" s="28"/>
      <c r="C217" s="28"/>
      <c r="D217" s="28"/>
      <c r="E217" s="28"/>
      <c r="F217" s="28"/>
      <c r="G217" s="28"/>
      <c r="H217" s="51"/>
      <c r="I217" s="51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</row>
    <row r="218" spans="1:25" ht="35.25" customHeight="1">
      <c r="A218" s="28"/>
      <c r="B218" s="28"/>
      <c r="C218" s="28"/>
      <c r="D218" s="28"/>
      <c r="E218" s="28"/>
      <c r="F218" s="28"/>
      <c r="G218" s="28"/>
      <c r="H218" s="51"/>
      <c r="I218" s="51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</row>
    <row r="219" spans="1:25" ht="35.25" customHeight="1">
      <c r="A219" s="28"/>
      <c r="B219" s="28"/>
      <c r="C219" s="28"/>
      <c r="D219" s="28"/>
      <c r="E219" s="28"/>
      <c r="F219" s="28"/>
      <c r="G219" s="28"/>
      <c r="H219" s="51"/>
      <c r="I219" s="51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</row>
    <row r="220" spans="1:25" ht="35.25" customHeight="1">
      <c r="A220" s="28"/>
      <c r="B220" s="28"/>
      <c r="C220" s="28"/>
      <c r="D220" s="28"/>
      <c r="E220" s="28"/>
      <c r="F220" s="28"/>
      <c r="G220" s="28"/>
      <c r="H220" s="51"/>
      <c r="I220" s="51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</row>
    <row r="221" spans="1:25" ht="35.25" customHeight="1">
      <c r="A221" s="28"/>
      <c r="B221" s="28"/>
      <c r="C221" s="28"/>
      <c r="D221" s="28"/>
      <c r="E221" s="28"/>
      <c r="F221" s="28"/>
      <c r="G221" s="28"/>
      <c r="H221" s="51"/>
      <c r="I221" s="51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</row>
    <row r="222" spans="1:25" ht="35.25" customHeight="1">
      <c r="A222" s="28"/>
      <c r="B222" s="28"/>
      <c r="C222" s="28"/>
      <c r="D222" s="28"/>
      <c r="E222" s="28"/>
      <c r="F222" s="28"/>
      <c r="G222" s="28"/>
      <c r="H222" s="51"/>
      <c r="I222" s="51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</row>
    <row r="223" spans="1:25" ht="35.25" customHeight="1">
      <c r="A223" s="28"/>
      <c r="B223" s="28"/>
      <c r="C223" s="28"/>
      <c r="D223" s="28"/>
      <c r="E223" s="28"/>
      <c r="F223" s="28"/>
      <c r="G223" s="28"/>
      <c r="H223" s="51"/>
      <c r="I223" s="51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</row>
    <row r="224" spans="1:25" ht="35.25" customHeight="1">
      <c r="A224" s="28"/>
      <c r="B224" s="28"/>
      <c r="C224" s="28"/>
      <c r="D224" s="28"/>
      <c r="E224" s="28"/>
      <c r="F224" s="28"/>
      <c r="G224" s="28"/>
      <c r="H224" s="51"/>
      <c r="I224" s="51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</row>
    <row r="225" spans="1:25" ht="35.25" customHeight="1">
      <c r="A225" s="28"/>
      <c r="B225" s="28"/>
      <c r="C225" s="28"/>
      <c r="D225" s="28"/>
      <c r="E225" s="28"/>
      <c r="F225" s="28"/>
      <c r="G225" s="28"/>
      <c r="H225" s="51"/>
      <c r="I225" s="51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</row>
    <row r="226" spans="1:25" ht="35.25" customHeight="1">
      <c r="A226" s="28"/>
      <c r="B226" s="28"/>
      <c r="C226" s="28"/>
      <c r="D226" s="28"/>
      <c r="E226" s="28"/>
      <c r="F226" s="28"/>
      <c r="G226" s="28"/>
      <c r="H226" s="51"/>
      <c r="I226" s="51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</row>
    <row r="227" spans="1:25" ht="35.25" customHeight="1">
      <c r="A227" s="28"/>
      <c r="B227" s="28"/>
      <c r="C227" s="28"/>
      <c r="D227" s="28"/>
      <c r="E227" s="28"/>
      <c r="F227" s="28"/>
      <c r="G227" s="28"/>
      <c r="H227" s="51"/>
      <c r="I227" s="51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</row>
    <row r="228" spans="1:25" ht="35.25" customHeight="1">
      <c r="A228" s="28"/>
      <c r="B228" s="28"/>
      <c r="C228" s="28"/>
      <c r="D228" s="28"/>
      <c r="E228" s="28"/>
      <c r="F228" s="28"/>
      <c r="G228" s="28"/>
      <c r="H228" s="51"/>
      <c r="I228" s="51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</row>
    <row r="229" spans="1:25" ht="35.25" customHeight="1">
      <c r="A229" s="28"/>
      <c r="B229" s="28"/>
      <c r="C229" s="28"/>
      <c r="D229" s="28"/>
      <c r="E229" s="28"/>
      <c r="F229" s="28"/>
      <c r="G229" s="28"/>
      <c r="H229" s="51"/>
      <c r="I229" s="51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</row>
    <row r="230" spans="1:25" ht="35.25" customHeight="1">
      <c r="A230" s="28"/>
      <c r="B230" s="28"/>
      <c r="C230" s="28"/>
      <c r="D230" s="28"/>
      <c r="E230" s="28"/>
      <c r="F230" s="28"/>
      <c r="G230" s="28"/>
      <c r="H230" s="51"/>
      <c r="I230" s="51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</row>
    <row r="231" spans="1:25" ht="35.25" customHeight="1">
      <c r="A231" s="28"/>
      <c r="B231" s="28"/>
      <c r="C231" s="28"/>
      <c r="D231" s="28"/>
      <c r="E231" s="28"/>
      <c r="F231" s="28"/>
      <c r="G231" s="28"/>
      <c r="H231" s="51"/>
      <c r="I231" s="51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</row>
    <row r="232" spans="1:25" ht="35.25" customHeight="1">
      <c r="A232" s="28"/>
      <c r="B232" s="28"/>
      <c r="C232" s="28"/>
      <c r="D232" s="28"/>
      <c r="E232" s="28"/>
      <c r="F232" s="28"/>
      <c r="G232" s="28"/>
      <c r="H232" s="51"/>
      <c r="I232" s="51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</row>
    <row r="233" spans="1:25" ht="35.25" customHeight="1">
      <c r="A233" s="28"/>
      <c r="B233" s="28"/>
      <c r="C233" s="28"/>
      <c r="D233" s="28"/>
      <c r="E233" s="28"/>
      <c r="F233" s="28"/>
      <c r="G233" s="28"/>
      <c r="H233" s="51"/>
      <c r="I233" s="51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</row>
    <row r="234" spans="1:25" ht="35.25" customHeight="1">
      <c r="A234" s="28"/>
      <c r="B234" s="28"/>
      <c r="C234" s="28"/>
      <c r="D234" s="28"/>
      <c r="E234" s="28"/>
      <c r="F234" s="28"/>
      <c r="G234" s="28"/>
      <c r="H234" s="51"/>
      <c r="I234" s="51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</row>
    <row r="235" spans="1:25" ht="35.25" customHeight="1">
      <c r="A235" s="28"/>
      <c r="B235" s="28"/>
      <c r="C235" s="28"/>
      <c r="D235" s="28"/>
      <c r="E235" s="28"/>
      <c r="F235" s="28"/>
      <c r="G235" s="28"/>
      <c r="H235" s="51"/>
      <c r="I235" s="51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</row>
    <row r="236" spans="1:25" ht="35.25" customHeight="1">
      <c r="A236" s="28"/>
      <c r="B236" s="28"/>
      <c r="C236" s="28"/>
      <c r="D236" s="28"/>
      <c r="E236" s="28"/>
      <c r="F236" s="28"/>
      <c r="G236" s="28"/>
      <c r="H236" s="51"/>
      <c r="I236" s="51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</row>
    <row r="237" spans="1:25" ht="35.25" customHeight="1">
      <c r="A237" s="28"/>
      <c r="B237" s="28"/>
      <c r="C237" s="28"/>
      <c r="D237" s="28"/>
      <c r="E237" s="28"/>
      <c r="F237" s="28"/>
      <c r="G237" s="28"/>
      <c r="H237" s="51"/>
      <c r="I237" s="51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</row>
    <row r="238" spans="1:25" ht="35.25" customHeight="1">
      <c r="A238" s="28"/>
      <c r="B238" s="28"/>
      <c r="C238" s="28"/>
      <c r="D238" s="28"/>
      <c r="E238" s="28"/>
      <c r="F238" s="28"/>
      <c r="G238" s="28"/>
      <c r="H238" s="51"/>
      <c r="I238" s="51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</row>
    <row r="239" spans="1:25" ht="35.25" customHeight="1">
      <c r="A239" s="28"/>
      <c r="B239" s="28"/>
      <c r="C239" s="28"/>
      <c r="D239" s="28"/>
      <c r="E239" s="28"/>
      <c r="F239" s="28"/>
      <c r="G239" s="28"/>
      <c r="H239" s="51"/>
      <c r="I239" s="51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</row>
    <row r="240" spans="1:25" ht="35.25" customHeight="1">
      <c r="A240" s="28"/>
      <c r="B240" s="28"/>
      <c r="C240" s="28"/>
      <c r="D240" s="28"/>
      <c r="E240" s="28"/>
      <c r="F240" s="28"/>
      <c r="G240" s="28"/>
      <c r="H240" s="51"/>
      <c r="I240" s="51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</row>
    <row r="241" spans="1:25" ht="35.25" customHeight="1">
      <c r="A241" s="28"/>
      <c r="B241" s="28"/>
      <c r="C241" s="28"/>
      <c r="D241" s="28"/>
      <c r="E241" s="28"/>
      <c r="F241" s="28"/>
      <c r="G241" s="28"/>
      <c r="H241" s="51"/>
      <c r="I241" s="51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</row>
    <row r="242" spans="1:25" ht="35.25" customHeight="1">
      <c r="A242" s="28"/>
      <c r="B242" s="28"/>
      <c r="C242" s="28"/>
      <c r="D242" s="28"/>
      <c r="E242" s="28"/>
      <c r="F242" s="28"/>
      <c r="G242" s="28"/>
      <c r="H242" s="51"/>
      <c r="I242" s="51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</row>
    <row r="243" spans="1:25" ht="35.25" customHeight="1">
      <c r="A243" s="28"/>
      <c r="B243" s="28"/>
      <c r="C243" s="28"/>
      <c r="D243" s="28"/>
      <c r="E243" s="28"/>
      <c r="F243" s="28"/>
      <c r="G243" s="28"/>
      <c r="H243" s="51"/>
      <c r="I243" s="51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</row>
    <row r="244" spans="1:25" ht="35.25" customHeight="1">
      <c r="A244" s="28"/>
      <c r="B244" s="28"/>
      <c r="C244" s="28"/>
      <c r="D244" s="28"/>
      <c r="E244" s="28"/>
      <c r="F244" s="28"/>
      <c r="G244" s="28"/>
      <c r="H244" s="51"/>
      <c r="I244" s="51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</row>
    <row r="245" spans="1:25" ht="35.25" customHeight="1">
      <c r="A245" s="28"/>
      <c r="B245" s="28"/>
      <c r="C245" s="28"/>
      <c r="D245" s="28"/>
      <c r="E245" s="28"/>
      <c r="F245" s="28"/>
      <c r="G245" s="28"/>
      <c r="H245" s="51"/>
      <c r="I245" s="51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</row>
    <row r="246" spans="1:25" ht="35.25" customHeight="1">
      <c r="A246" s="28"/>
      <c r="B246" s="28"/>
      <c r="C246" s="28"/>
      <c r="D246" s="28"/>
      <c r="E246" s="28"/>
      <c r="F246" s="28"/>
      <c r="G246" s="28"/>
      <c r="H246" s="51"/>
      <c r="I246" s="51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</row>
    <row r="247" spans="1:25" ht="35.25" customHeight="1">
      <c r="A247" s="28"/>
      <c r="B247" s="28"/>
      <c r="C247" s="28"/>
      <c r="D247" s="28"/>
      <c r="E247" s="28"/>
      <c r="F247" s="28"/>
      <c r="G247" s="28"/>
      <c r="H247" s="51"/>
      <c r="I247" s="51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</row>
    <row r="248" spans="1:25" ht="35.25" customHeight="1">
      <c r="A248" s="28"/>
      <c r="B248" s="28"/>
      <c r="C248" s="28"/>
      <c r="D248" s="28"/>
      <c r="E248" s="28"/>
      <c r="F248" s="28"/>
      <c r="G248" s="28"/>
      <c r="H248" s="51"/>
      <c r="I248" s="51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</row>
    <row r="249" spans="1:25" ht="35.25" customHeight="1">
      <c r="A249" s="28"/>
      <c r="B249" s="28"/>
      <c r="C249" s="28"/>
      <c r="D249" s="28"/>
      <c r="E249" s="28"/>
      <c r="F249" s="28"/>
      <c r="G249" s="28"/>
      <c r="H249" s="51"/>
      <c r="I249" s="51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</row>
    <row r="250" spans="1:25" ht="35.25" customHeight="1">
      <c r="A250" s="28"/>
      <c r="B250" s="28"/>
      <c r="C250" s="28"/>
      <c r="D250" s="28"/>
      <c r="E250" s="28"/>
      <c r="F250" s="28"/>
      <c r="G250" s="28"/>
      <c r="H250" s="51"/>
      <c r="I250" s="51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</row>
    <row r="251" spans="1:25" ht="35.25" customHeight="1">
      <c r="A251" s="28"/>
      <c r="B251" s="28"/>
      <c r="C251" s="28"/>
      <c r="D251" s="28"/>
      <c r="E251" s="28"/>
      <c r="F251" s="28"/>
      <c r="G251" s="28"/>
      <c r="H251" s="51"/>
      <c r="I251" s="51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</row>
    <row r="252" spans="1:25" ht="35.25" customHeight="1">
      <c r="A252" s="28"/>
      <c r="B252" s="28"/>
      <c r="C252" s="28"/>
      <c r="D252" s="28"/>
      <c r="E252" s="28"/>
      <c r="F252" s="28"/>
      <c r="G252" s="28"/>
      <c r="H252" s="51"/>
      <c r="I252" s="51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</row>
    <row r="253" spans="1:25" ht="35.25" customHeight="1">
      <c r="A253" s="28"/>
      <c r="B253" s="28"/>
      <c r="C253" s="28"/>
      <c r="D253" s="28"/>
      <c r="E253" s="28"/>
      <c r="F253" s="28"/>
      <c r="G253" s="28"/>
      <c r="H253" s="51"/>
      <c r="I253" s="51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</row>
    <row r="254" spans="1:25" ht="35.25" customHeight="1">
      <c r="A254" s="28"/>
      <c r="B254" s="28"/>
      <c r="C254" s="28"/>
      <c r="D254" s="28"/>
      <c r="E254" s="28"/>
      <c r="F254" s="28"/>
      <c r="G254" s="28"/>
      <c r="H254" s="51"/>
      <c r="I254" s="51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</row>
    <row r="255" spans="1:25" ht="35.25" customHeight="1">
      <c r="A255" s="28"/>
      <c r="B255" s="28"/>
      <c r="C255" s="28"/>
      <c r="D255" s="28"/>
      <c r="E255" s="28"/>
      <c r="F255" s="28"/>
      <c r="G255" s="28"/>
      <c r="H255" s="51"/>
      <c r="I255" s="51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</row>
    <row r="256" spans="1:25" ht="35.25" customHeight="1">
      <c r="A256" s="28"/>
      <c r="B256" s="28"/>
      <c r="C256" s="28"/>
      <c r="D256" s="28"/>
      <c r="E256" s="28"/>
      <c r="F256" s="28"/>
      <c r="G256" s="28"/>
      <c r="H256" s="51"/>
      <c r="I256" s="51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</row>
    <row r="257" spans="1:25" ht="35.25" customHeight="1">
      <c r="A257" s="28"/>
      <c r="B257" s="28"/>
      <c r="C257" s="28"/>
      <c r="D257" s="28"/>
      <c r="E257" s="28"/>
      <c r="F257" s="28"/>
      <c r="G257" s="28"/>
      <c r="H257" s="51"/>
      <c r="I257" s="51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</row>
    <row r="258" spans="1:25" ht="35.25" customHeight="1">
      <c r="A258" s="28"/>
      <c r="B258" s="28"/>
      <c r="C258" s="28"/>
      <c r="D258" s="28"/>
      <c r="E258" s="28"/>
      <c r="F258" s="28"/>
      <c r="G258" s="28"/>
      <c r="H258" s="51"/>
      <c r="I258" s="51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</row>
    <row r="259" spans="1:25" ht="35.25" customHeight="1">
      <c r="A259" s="28"/>
      <c r="B259" s="28"/>
      <c r="C259" s="28"/>
      <c r="D259" s="28"/>
      <c r="E259" s="28"/>
      <c r="F259" s="28"/>
      <c r="G259" s="28"/>
      <c r="H259" s="51"/>
      <c r="I259" s="51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</row>
    <row r="260" spans="1:25" ht="35.25" customHeight="1">
      <c r="A260" s="28"/>
      <c r="B260" s="28"/>
      <c r="C260" s="28"/>
      <c r="D260" s="28"/>
      <c r="E260" s="28"/>
      <c r="F260" s="28"/>
      <c r="G260" s="28"/>
      <c r="H260" s="51"/>
      <c r="I260" s="51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35.25" customHeight="1">
      <c r="A261" s="28"/>
      <c r="B261" s="28"/>
      <c r="C261" s="28"/>
      <c r="D261" s="28"/>
      <c r="E261" s="28"/>
      <c r="F261" s="28"/>
      <c r="G261" s="28"/>
      <c r="H261" s="51"/>
      <c r="I261" s="51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</row>
    <row r="262" spans="1:25" ht="35.25" customHeight="1">
      <c r="A262" s="28"/>
      <c r="B262" s="28"/>
      <c r="C262" s="28"/>
      <c r="D262" s="28"/>
      <c r="E262" s="28"/>
      <c r="F262" s="28"/>
      <c r="G262" s="28"/>
      <c r="H262" s="51"/>
      <c r="I262" s="51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</row>
    <row r="263" spans="1:25" ht="35.25" customHeight="1">
      <c r="A263" s="28"/>
      <c r="B263" s="28"/>
      <c r="C263" s="28"/>
      <c r="D263" s="28"/>
      <c r="E263" s="28"/>
      <c r="F263" s="28"/>
      <c r="G263" s="28"/>
      <c r="H263" s="51"/>
      <c r="I263" s="51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</row>
    <row r="264" spans="1:25" ht="35.25" customHeight="1">
      <c r="A264" s="28"/>
      <c r="B264" s="28"/>
      <c r="C264" s="28"/>
      <c r="D264" s="28"/>
      <c r="E264" s="28"/>
      <c r="F264" s="28"/>
      <c r="G264" s="28"/>
      <c r="H264" s="51"/>
      <c r="I264" s="51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</row>
    <row r="265" spans="1:25" ht="35.25" customHeight="1">
      <c r="A265" s="28"/>
      <c r="B265" s="28"/>
      <c r="C265" s="28"/>
      <c r="D265" s="28"/>
      <c r="E265" s="28"/>
      <c r="F265" s="28"/>
      <c r="G265" s="28"/>
      <c r="H265" s="51"/>
      <c r="I265" s="51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</row>
    <row r="266" spans="1:25" ht="35.25" customHeight="1">
      <c r="A266" s="28"/>
      <c r="B266" s="28"/>
      <c r="C266" s="28"/>
      <c r="D266" s="28"/>
      <c r="E266" s="28"/>
      <c r="F266" s="28"/>
      <c r="G266" s="28"/>
      <c r="H266" s="51"/>
      <c r="I266" s="51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</row>
    <row r="267" spans="1:25" ht="35.25" customHeight="1">
      <c r="A267" s="28"/>
      <c r="B267" s="28"/>
      <c r="C267" s="28"/>
      <c r="D267" s="28"/>
      <c r="E267" s="28"/>
      <c r="F267" s="28"/>
      <c r="G267" s="28"/>
      <c r="H267" s="51"/>
      <c r="I267" s="51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</row>
    <row r="268" spans="1:25" ht="35.25" customHeight="1">
      <c r="A268" s="28"/>
      <c r="B268" s="28"/>
      <c r="C268" s="28"/>
      <c r="D268" s="28"/>
      <c r="E268" s="28"/>
      <c r="F268" s="28"/>
      <c r="G268" s="28"/>
      <c r="H268" s="51"/>
      <c r="I268" s="51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</row>
    <row r="269" spans="1:25" ht="35.25" customHeight="1">
      <c r="A269" s="28"/>
      <c r="B269" s="28"/>
      <c r="C269" s="28"/>
      <c r="D269" s="28"/>
      <c r="E269" s="28"/>
      <c r="F269" s="28"/>
      <c r="G269" s="28"/>
      <c r="H269" s="51"/>
      <c r="I269" s="51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</row>
    <row r="270" spans="1:25" ht="35.25" customHeight="1">
      <c r="A270" s="28"/>
      <c r="B270" s="28"/>
      <c r="C270" s="28"/>
      <c r="D270" s="28"/>
      <c r="E270" s="28"/>
      <c r="F270" s="28"/>
      <c r="G270" s="28"/>
      <c r="H270" s="51"/>
      <c r="I270" s="51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</row>
    <row r="271" spans="1:25" ht="35.25" customHeight="1">
      <c r="A271" s="28"/>
      <c r="B271" s="28"/>
      <c r="C271" s="28"/>
      <c r="D271" s="28"/>
      <c r="E271" s="28"/>
      <c r="F271" s="28"/>
      <c r="G271" s="28"/>
      <c r="H271" s="51"/>
      <c r="I271" s="51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</row>
    <row r="272" spans="1:25" ht="35.25" customHeight="1">
      <c r="A272" s="28"/>
      <c r="B272" s="28"/>
      <c r="C272" s="28"/>
      <c r="D272" s="28"/>
      <c r="E272" s="28"/>
      <c r="F272" s="28"/>
      <c r="G272" s="28"/>
      <c r="H272" s="51"/>
      <c r="I272" s="51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</row>
    <row r="273" spans="1:25" ht="35.25" customHeight="1">
      <c r="A273" s="28"/>
      <c r="B273" s="28"/>
      <c r="C273" s="28"/>
      <c r="D273" s="28"/>
      <c r="E273" s="28"/>
      <c r="F273" s="28"/>
      <c r="G273" s="28"/>
      <c r="H273" s="51"/>
      <c r="I273" s="51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</row>
    <row r="274" spans="1:25" ht="35.25" customHeight="1">
      <c r="A274" s="28"/>
      <c r="B274" s="28"/>
      <c r="C274" s="28"/>
      <c r="D274" s="28"/>
      <c r="E274" s="28"/>
      <c r="F274" s="28"/>
      <c r="G274" s="28"/>
      <c r="H274" s="51"/>
      <c r="I274" s="51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</row>
    <row r="275" spans="1:25" ht="35.25" customHeight="1">
      <c r="A275" s="28"/>
      <c r="B275" s="28"/>
      <c r="C275" s="28"/>
      <c r="D275" s="28"/>
      <c r="E275" s="28"/>
      <c r="F275" s="28"/>
      <c r="G275" s="28"/>
      <c r="H275" s="51"/>
      <c r="I275" s="51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</row>
    <row r="276" spans="1:25" ht="35.25" customHeight="1">
      <c r="A276" s="28"/>
      <c r="B276" s="28"/>
      <c r="C276" s="28"/>
      <c r="D276" s="28"/>
      <c r="E276" s="28"/>
      <c r="F276" s="28"/>
      <c r="G276" s="28"/>
      <c r="H276" s="51"/>
      <c r="I276" s="51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</row>
    <row r="277" spans="1:25" ht="35.25" customHeight="1">
      <c r="A277" s="28"/>
      <c r="B277" s="28"/>
      <c r="C277" s="28"/>
      <c r="D277" s="28"/>
      <c r="E277" s="28"/>
      <c r="F277" s="28"/>
      <c r="G277" s="28"/>
      <c r="H277" s="51"/>
      <c r="I277" s="51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</row>
    <row r="278" spans="1:25" ht="35.25" customHeight="1">
      <c r="A278" s="28"/>
      <c r="B278" s="28"/>
      <c r="C278" s="28"/>
      <c r="D278" s="28"/>
      <c r="E278" s="28"/>
      <c r="F278" s="28"/>
      <c r="G278" s="28"/>
      <c r="H278" s="51"/>
      <c r="I278" s="51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</row>
    <row r="279" spans="1:25" ht="35.25" customHeight="1">
      <c r="A279" s="28"/>
      <c r="B279" s="28"/>
      <c r="C279" s="28"/>
      <c r="D279" s="28"/>
      <c r="E279" s="28"/>
      <c r="F279" s="28"/>
      <c r="G279" s="28"/>
      <c r="H279" s="51"/>
      <c r="I279" s="51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</row>
    <row r="280" spans="1:25" ht="35.25" customHeight="1">
      <c r="A280" s="28"/>
      <c r="B280" s="28"/>
      <c r="C280" s="28"/>
      <c r="D280" s="28"/>
      <c r="E280" s="28"/>
      <c r="F280" s="28"/>
      <c r="G280" s="28"/>
      <c r="H280" s="51"/>
      <c r="I280" s="51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</row>
    <row r="281" spans="1:25" ht="35.25" customHeight="1">
      <c r="A281" s="28"/>
      <c r="B281" s="28"/>
      <c r="C281" s="28"/>
      <c r="D281" s="28"/>
      <c r="E281" s="28"/>
      <c r="F281" s="28"/>
      <c r="G281" s="28"/>
      <c r="H281" s="51"/>
      <c r="I281" s="51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</row>
    <row r="282" spans="1:25" ht="35.25" customHeight="1">
      <c r="A282" s="28"/>
      <c r="B282" s="28"/>
      <c r="C282" s="28"/>
      <c r="D282" s="28"/>
      <c r="E282" s="28"/>
      <c r="F282" s="28"/>
      <c r="G282" s="28"/>
      <c r="H282" s="51"/>
      <c r="I282" s="51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</row>
    <row r="283" spans="1:25" ht="35.25" customHeight="1">
      <c r="A283" s="28"/>
      <c r="B283" s="28"/>
      <c r="C283" s="28"/>
      <c r="D283" s="28"/>
      <c r="E283" s="28"/>
      <c r="F283" s="28"/>
      <c r="G283" s="28"/>
      <c r="H283" s="51"/>
      <c r="I283" s="51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</row>
    <row r="284" spans="1:25" ht="35.25" customHeight="1">
      <c r="A284" s="28"/>
      <c r="B284" s="28"/>
      <c r="C284" s="28"/>
      <c r="D284" s="28"/>
      <c r="E284" s="28"/>
      <c r="F284" s="28"/>
      <c r="G284" s="28"/>
      <c r="H284" s="51"/>
      <c r="I284" s="51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</row>
    <row r="285" spans="1:25" ht="35.25" customHeight="1">
      <c r="A285" s="28"/>
      <c r="B285" s="28"/>
      <c r="C285" s="28"/>
      <c r="D285" s="28"/>
      <c r="E285" s="28"/>
      <c r="F285" s="28"/>
      <c r="G285" s="28"/>
      <c r="H285" s="51"/>
      <c r="I285" s="51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</row>
    <row r="286" spans="1:25" ht="35.25" customHeight="1">
      <c r="A286" s="28"/>
      <c r="B286" s="28"/>
      <c r="C286" s="28"/>
      <c r="D286" s="28"/>
      <c r="E286" s="28"/>
      <c r="F286" s="28"/>
      <c r="G286" s="28"/>
      <c r="H286" s="51"/>
      <c r="I286" s="51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</row>
    <row r="287" spans="1:25" ht="35.25" customHeight="1">
      <c r="A287" s="28"/>
      <c r="B287" s="28"/>
      <c r="C287" s="28"/>
      <c r="D287" s="28"/>
      <c r="E287" s="28"/>
      <c r="F287" s="28"/>
      <c r="G287" s="28"/>
      <c r="H287" s="51"/>
      <c r="I287" s="51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</row>
    <row r="288" spans="1:25" ht="35.25" customHeight="1">
      <c r="A288" s="28"/>
      <c r="B288" s="28"/>
      <c r="C288" s="28"/>
      <c r="D288" s="28"/>
      <c r="E288" s="28"/>
      <c r="F288" s="28"/>
      <c r="G288" s="28"/>
      <c r="H288" s="51"/>
      <c r="I288" s="51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</row>
    <row r="289" spans="1:25" ht="35.25" customHeight="1">
      <c r="A289" s="28"/>
      <c r="B289" s="28"/>
      <c r="C289" s="28"/>
      <c r="D289" s="28"/>
      <c r="E289" s="28"/>
      <c r="F289" s="28"/>
      <c r="G289" s="28"/>
      <c r="H289" s="51"/>
      <c r="I289" s="51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</row>
    <row r="290" spans="1:25" ht="35.25" customHeight="1">
      <c r="A290" s="28"/>
      <c r="B290" s="28"/>
      <c r="C290" s="28"/>
      <c r="D290" s="28"/>
      <c r="E290" s="28"/>
      <c r="F290" s="28"/>
      <c r="G290" s="28"/>
      <c r="H290" s="51"/>
      <c r="I290" s="51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</row>
    <row r="291" spans="1:25" ht="35.25" customHeight="1">
      <c r="A291" s="28"/>
      <c r="B291" s="28"/>
      <c r="C291" s="28"/>
      <c r="D291" s="28"/>
      <c r="E291" s="28"/>
      <c r="F291" s="28"/>
      <c r="G291" s="28"/>
      <c r="H291" s="51"/>
      <c r="I291" s="51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</row>
    <row r="292" spans="1:25" ht="35.25" customHeight="1">
      <c r="A292" s="28"/>
      <c r="B292" s="28"/>
      <c r="C292" s="28"/>
      <c r="D292" s="28"/>
      <c r="E292" s="28"/>
      <c r="F292" s="28"/>
      <c r="G292" s="28"/>
      <c r="H292" s="51"/>
      <c r="I292" s="51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</row>
    <row r="293" spans="1:25" ht="35.25" customHeight="1">
      <c r="A293" s="28"/>
      <c r="B293" s="28"/>
      <c r="C293" s="28"/>
      <c r="D293" s="28"/>
      <c r="E293" s="28"/>
      <c r="F293" s="28"/>
      <c r="G293" s="28"/>
      <c r="H293" s="51"/>
      <c r="I293" s="51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</row>
    <row r="294" spans="1:25" ht="35.25" customHeight="1">
      <c r="A294" s="28"/>
      <c r="B294" s="28"/>
      <c r="C294" s="28"/>
      <c r="D294" s="28"/>
      <c r="E294" s="28"/>
      <c r="F294" s="28"/>
      <c r="G294" s="28"/>
      <c r="H294" s="51"/>
      <c r="I294" s="51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</row>
    <row r="295" spans="1:25" ht="35.25" customHeight="1">
      <c r="A295" s="28"/>
      <c r="B295" s="28"/>
      <c r="C295" s="28"/>
      <c r="D295" s="28"/>
      <c r="E295" s="28"/>
      <c r="F295" s="28"/>
      <c r="G295" s="28"/>
      <c r="H295" s="51"/>
      <c r="I295" s="51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</row>
    <row r="296" spans="1:25" ht="35.25" customHeight="1">
      <c r="A296" s="28"/>
      <c r="B296" s="28"/>
      <c r="C296" s="28"/>
      <c r="D296" s="28"/>
      <c r="E296" s="28"/>
      <c r="F296" s="28"/>
      <c r="G296" s="28"/>
      <c r="H296" s="51"/>
      <c r="I296" s="51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</row>
    <row r="297" spans="1:25" ht="35.25" customHeight="1">
      <c r="A297" s="28"/>
      <c r="B297" s="28"/>
      <c r="C297" s="28"/>
      <c r="D297" s="28"/>
      <c r="E297" s="28"/>
      <c r="F297" s="28"/>
      <c r="G297" s="28"/>
      <c r="H297" s="51"/>
      <c r="I297" s="51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</row>
    <row r="298" spans="1:25" ht="35.25" customHeight="1">
      <c r="A298" s="28"/>
      <c r="B298" s="28"/>
      <c r="C298" s="28"/>
      <c r="D298" s="28"/>
      <c r="E298" s="28"/>
      <c r="F298" s="28"/>
      <c r="G298" s="28"/>
      <c r="H298" s="51"/>
      <c r="I298" s="51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</row>
    <row r="299" spans="1:25" ht="35.25" customHeight="1">
      <c r="A299" s="28"/>
      <c r="B299" s="28"/>
      <c r="C299" s="28"/>
      <c r="D299" s="28"/>
      <c r="E299" s="28"/>
      <c r="F299" s="28"/>
      <c r="G299" s="28"/>
      <c r="H299" s="51"/>
      <c r="I299" s="51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</row>
    <row r="300" spans="1:25" ht="35.25" customHeight="1">
      <c r="A300" s="28"/>
      <c r="B300" s="28"/>
      <c r="C300" s="28"/>
      <c r="D300" s="28"/>
      <c r="E300" s="28"/>
      <c r="F300" s="28"/>
      <c r="G300" s="28"/>
      <c r="H300" s="51"/>
      <c r="I300" s="51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</row>
    <row r="301" spans="1:25" ht="35.25" customHeight="1">
      <c r="A301" s="28"/>
      <c r="B301" s="28"/>
      <c r="C301" s="28"/>
      <c r="D301" s="28"/>
      <c r="E301" s="28"/>
      <c r="F301" s="28"/>
      <c r="G301" s="28"/>
      <c r="H301" s="51"/>
      <c r="I301" s="51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</row>
    <row r="302" spans="1:25" ht="35.25" customHeight="1">
      <c r="A302" s="28"/>
      <c r="B302" s="28"/>
      <c r="C302" s="28"/>
      <c r="D302" s="28"/>
      <c r="E302" s="28"/>
      <c r="F302" s="28"/>
      <c r="G302" s="28"/>
      <c r="H302" s="51"/>
      <c r="I302" s="51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</row>
    <row r="303" spans="1:25" ht="35.25" customHeight="1">
      <c r="A303" s="28"/>
      <c r="B303" s="28"/>
      <c r="C303" s="28"/>
      <c r="D303" s="28"/>
      <c r="E303" s="28"/>
      <c r="F303" s="28"/>
      <c r="G303" s="28"/>
      <c r="H303" s="51"/>
      <c r="I303" s="51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</row>
    <row r="304" spans="1:25" ht="35.25" customHeight="1">
      <c r="A304" s="28"/>
      <c r="B304" s="28"/>
      <c r="C304" s="28"/>
      <c r="D304" s="28"/>
      <c r="E304" s="28"/>
      <c r="F304" s="28"/>
      <c r="G304" s="28"/>
      <c r="H304" s="51"/>
      <c r="I304" s="51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</row>
    <row r="305" spans="1:25" ht="35.25" customHeight="1">
      <c r="A305" s="28"/>
      <c r="B305" s="28"/>
      <c r="C305" s="28"/>
      <c r="D305" s="28"/>
      <c r="E305" s="28"/>
      <c r="F305" s="28"/>
      <c r="G305" s="28"/>
      <c r="H305" s="51"/>
      <c r="I305" s="51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</row>
    <row r="306" spans="1:25" ht="35.25" customHeight="1">
      <c r="A306" s="28"/>
      <c r="B306" s="28"/>
      <c r="C306" s="28"/>
      <c r="D306" s="28"/>
      <c r="E306" s="28"/>
      <c r="F306" s="28"/>
      <c r="G306" s="28"/>
      <c r="H306" s="51"/>
      <c r="I306" s="51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</row>
    <row r="307" spans="1:25" ht="35.25" customHeight="1">
      <c r="A307" s="28"/>
      <c r="B307" s="28"/>
      <c r="C307" s="28"/>
      <c r="D307" s="28"/>
      <c r="E307" s="28"/>
      <c r="F307" s="28"/>
      <c r="G307" s="28"/>
      <c r="H307" s="51"/>
      <c r="I307" s="51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</row>
    <row r="308" spans="1:25" ht="35.25" customHeight="1">
      <c r="A308" s="28"/>
      <c r="B308" s="28"/>
      <c r="C308" s="28"/>
      <c r="D308" s="28"/>
      <c r="E308" s="28"/>
      <c r="F308" s="28"/>
      <c r="G308" s="28"/>
      <c r="H308" s="51"/>
      <c r="I308" s="51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</row>
    <row r="309" spans="1:25" ht="35.25" customHeight="1">
      <c r="A309" s="28"/>
      <c r="B309" s="28"/>
      <c r="C309" s="28"/>
      <c r="D309" s="28"/>
      <c r="E309" s="28"/>
      <c r="F309" s="28"/>
      <c r="G309" s="28"/>
      <c r="H309" s="51"/>
      <c r="I309" s="51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</row>
    <row r="310" spans="1:25" ht="35.25" customHeight="1">
      <c r="A310" s="28"/>
      <c r="B310" s="28"/>
      <c r="C310" s="28"/>
      <c r="D310" s="28"/>
      <c r="E310" s="28"/>
      <c r="F310" s="28"/>
      <c r="G310" s="28"/>
      <c r="H310" s="51"/>
      <c r="I310" s="51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</row>
    <row r="311" spans="1:25" ht="35.25" customHeight="1">
      <c r="A311" s="28"/>
      <c r="B311" s="28"/>
      <c r="C311" s="28"/>
      <c r="D311" s="28"/>
      <c r="E311" s="28"/>
      <c r="F311" s="28"/>
      <c r="G311" s="28"/>
      <c r="H311" s="51"/>
      <c r="I311" s="51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</row>
    <row r="312" spans="1:25" ht="35.25" customHeight="1">
      <c r="A312" s="28"/>
      <c r="B312" s="28"/>
      <c r="C312" s="28"/>
      <c r="D312" s="28"/>
      <c r="E312" s="28"/>
      <c r="F312" s="28"/>
      <c r="G312" s="28"/>
      <c r="H312" s="51"/>
      <c r="I312" s="51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</row>
    <row r="313" spans="1:25" ht="35.25" customHeight="1">
      <c r="A313" s="28"/>
      <c r="B313" s="28"/>
      <c r="C313" s="28"/>
      <c r="D313" s="28"/>
      <c r="E313" s="28"/>
      <c r="F313" s="28"/>
      <c r="G313" s="28"/>
      <c r="H313" s="51"/>
      <c r="I313" s="51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</row>
    <row r="314" spans="1:25" ht="35.25" customHeight="1">
      <c r="A314" s="28"/>
      <c r="B314" s="28"/>
      <c r="C314" s="28"/>
      <c r="D314" s="28"/>
      <c r="E314" s="28"/>
      <c r="F314" s="28"/>
      <c r="G314" s="28"/>
      <c r="H314" s="51"/>
      <c r="I314" s="51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</row>
    <row r="315" spans="1:25" ht="35.25" customHeight="1">
      <c r="A315" s="28"/>
      <c r="B315" s="28"/>
      <c r="C315" s="28"/>
      <c r="D315" s="28"/>
      <c r="E315" s="28"/>
      <c r="F315" s="28"/>
      <c r="G315" s="28"/>
      <c r="H315" s="51"/>
      <c r="I315" s="51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</row>
    <row r="316" spans="1:25" ht="35.25" customHeight="1">
      <c r="A316" s="28"/>
      <c r="B316" s="28"/>
      <c r="C316" s="28"/>
      <c r="D316" s="28"/>
      <c r="E316" s="28"/>
      <c r="F316" s="28"/>
      <c r="G316" s="28"/>
      <c r="H316" s="51"/>
      <c r="I316" s="51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</row>
    <row r="317" spans="1:25" ht="35.25" customHeight="1">
      <c r="A317" s="28"/>
      <c r="B317" s="28"/>
      <c r="C317" s="28"/>
      <c r="D317" s="28"/>
      <c r="E317" s="28"/>
      <c r="F317" s="28"/>
      <c r="G317" s="28"/>
      <c r="H317" s="51"/>
      <c r="I317" s="51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</row>
    <row r="318" spans="1:25" ht="35.25" customHeight="1">
      <c r="A318" s="28"/>
      <c r="B318" s="28"/>
      <c r="C318" s="28"/>
      <c r="D318" s="28"/>
      <c r="E318" s="28"/>
      <c r="F318" s="28"/>
      <c r="G318" s="28"/>
      <c r="H318" s="51"/>
      <c r="I318" s="51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</row>
    <row r="319" spans="1:25" ht="35.25" customHeight="1">
      <c r="A319" s="28"/>
      <c r="B319" s="28"/>
      <c r="C319" s="28"/>
      <c r="D319" s="28"/>
      <c r="E319" s="28"/>
      <c r="F319" s="28"/>
      <c r="G319" s="28"/>
      <c r="H319" s="51"/>
      <c r="I319" s="51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</row>
    <row r="320" spans="1:25" ht="35.25" customHeight="1">
      <c r="A320" s="28"/>
      <c r="B320" s="28"/>
      <c r="C320" s="28"/>
      <c r="D320" s="28"/>
      <c r="E320" s="28"/>
      <c r="F320" s="28"/>
      <c r="G320" s="28"/>
      <c r="H320" s="51"/>
      <c r="I320" s="51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</row>
    <row r="321" spans="1:25" ht="35.25" customHeight="1">
      <c r="A321" s="28"/>
      <c r="B321" s="28"/>
      <c r="C321" s="28"/>
      <c r="D321" s="28"/>
      <c r="E321" s="28"/>
      <c r="F321" s="28"/>
      <c r="G321" s="28"/>
      <c r="H321" s="51"/>
      <c r="I321" s="51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</row>
    <row r="322" spans="1:25" ht="35.25" customHeight="1">
      <c r="A322" s="28"/>
      <c r="B322" s="28"/>
      <c r="C322" s="28"/>
      <c r="D322" s="28"/>
      <c r="E322" s="28"/>
      <c r="F322" s="28"/>
      <c r="G322" s="28"/>
      <c r="H322" s="51"/>
      <c r="I322" s="51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</row>
    <row r="323" spans="1:25" ht="35.25" customHeight="1">
      <c r="A323" s="28"/>
      <c r="B323" s="28"/>
      <c r="C323" s="28"/>
      <c r="D323" s="28"/>
      <c r="E323" s="28"/>
      <c r="F323" s="28"/>
      <c r="G323" s="28"/>
      <c r="H323" s="51"/>
      <c r="I323" s="51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</row>
    <row r="324" spans="1:25" ht="35.25" customHeight="1">
      <c r="A324" s="28"/>
      <c r="B324" s="28"/>
      <c r="C324" s="28"/>
      <c r="D324" s="28"/>
      <c r="E324" s="28"/>
      <c r="F324" s="28"/>
      <c r="G324" s="28"/>
      <c r="H324" s="51"/>
      <c r="I324" s="51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35.25" customHeight="1">
      <c r="A325" s="28"/>
      <c r="B325" s="28"/>
      <c r="C325" s="28"/>
      <c r="D325" s="28"/>
      <c r="E325" s="28"/>
      <c r="F325" s="28"/>
      <c r="G325" s="28"/>
      <c r="H325" s="51"/>
      <c r="I325" s="51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</row>
    <row r="326" spans="1:25" ht="35.25" customHeight="1">
      <c r="A326" s="28"/>
      <c r="B326" s="28"/>
      <c r="C326" s="28"/>
      <c r="D326" s="28"/>
      <c r="E326" s="28"/>
      <c r="F326" s="28"/>
      <c r="G326" s="28"/>
      <c r="H326" s="51"/>
      <c r="I326" s="51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</row>
    <row r="327" spans="1:25" ht="35.25" customHeight="1">
      <c r="A327" s="28"/>
      <c r="B327" s="28"/>
      <c r="C327" s="28"/>
      <c r="D327" s="28"/>
      <c r="E327" s="28"/>
      <c r="F327" s="28"/>
      <c r="G327" s="28"/>
      <c r="H327" s="51"/>
      <c r="I327" s="51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</row>
    <row r="328" spans="1:25" ht="35.25" customHeight="1">
      <c r="A328" s="28"/>
      <c r="B328" s="28"/>
      <c r="C328" s="28"/>
      <c r="D328" s="28"/>
      <c r="E328" s="28"/>
      <c r="F328" s="28"/>
      <c r="G328" s="28"/>
      <c r="H328" s="51"/>
      <c r="I328" s="51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</row>
    <row r="329" spans="1:25" ht="35.25" customHeight="1">
      <c r="A329" s="28"/>
      <c r="B329" s="28"/>
      <c r="C329" s="28"/>
      <c r="D329" s="28"/>
      <c r="E329" s="28"/>
      <c r="F329" s="28"/>
      <c r="G329" s="28"/>
      <c r="H329" s="51"/>
      <c r="I329" s="51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</row>
    <row r="330" spans="1:25" ht="35.25" customHeight="1">
      <c r="A330" s="28"/>
      <c r="B330" s="28"/>
      <c r="C330" s="28"/>
      <c r="D330" s="28"/>
      <c r="E330" s="28"/>
      <c r="F330" s="28"/>
      <c r="G330" s="28"/>
      <c r="H330" s="51"/>
      <c r="I330" s="51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</row>
    <row r="331" spans="1:25" ht="35.25" customHeight="1">
      <c r="A331" s="28"/>
      <c r="B331" s="28"/>
      <c r="C331" s="28"/>
      <c r="D331" s="28"/>
      <c r="E331" s="28"/>
      <c r="F331" s="28"/>
      <c r="G331" s="28"/>
      <c r="H331" s="51"/>
      <c r="I331" s="51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</row>
    <row r="332" spans="1:25" ht="35.25" customHeight="1">
      <c r="A332" s="28"/>
      <c r="B332" s="28"/>
      <c r="C332" s="28"/>
      <c r="D332" s="28"/>
      <c r="E332" s="28"/>
      <c r="F332" s="28"/>
      <c r="G332" s="28"/>
      <c r="H332" s="51"/>
      <c r="I332" s="51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</row>
    <row r="333" spans="1:25" ht="35.25" customHeight="1">
      <c r="A333" s="28"/>
      <c r="B333" s="28"/>
      <c r="C333" s="28"/>
      <c r="D333" s="28"/>
      <c r="E333" s="28"/>
      <c r="F333" s="28"/>
      <c r="G333" s="28"/>
      <c r="H333" s="51"/>
      <c r="I333" s="51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</row>
    <row r="334" spans="1:25" ht="35.25" customHeight="1">
      <c r="A334" s="28"/>
      <c r="B334" s="28"/>
      <c r="C334" s="28"/>
      <c r="D334" s="28"/>
      <c r="E334" s="28"/>
      <c r="F334" s="28"/>
      <c r="G334" s="28"/>
      <c r="H334" s="51"/>
      <c r="I334" s="51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</row>
    <row r="335" spans="1:25" ht="35.25" customHeight="1">
      <c r="A335" s="28"/>
      <c r="B335" s="28"/>
      <c r="C335" s="28"/>
      <c r="D335" s="28"/>
      <c r="E335" s="28"/>
      <c r="F335" s="28"/>
      <c r="G335" s="28"/>
      <c r="H335" s="51"/>
      <c r="I335" s="51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</row>
    <row r="336" spans="1:25" ht="35.25" customHeight="1">
      <c r="A336" s="28"/>
      <c r="B336" s="28"/>
      <c r="C336" s="28"/>
      <c r="D336" s="28"/>
      <c r="E336" s="28"/>
      <c r="F336" s="28"/>
      <c r="G336" s="28"/>
      <c r="H336" s="51"/>
      <c r="I336" s="51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</row>
    <row r="337" spans="1:25" ht="35.25" customHeight="1">
      <c r="A337" s="28"/>
      <c r="B337" s="28"/>
      <c r="C337" s="28"/>
      <c r="D337" s="28"/>
      <c r="E337" s="28"/>
      <c r="F337" s="28"/>
      <c r="G337" s="28"/>
      <c r="H337" s="51"/>
      <c r="I337" s="51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</row>
    <row r="338" spans="1:25" ht="35.25" customHeight="1">
      <c r="A338" s="28"/>
      <c r="B338" s="28"/>
      <c r="C338" s="28"/>
      <c r="D338" s="28"/>
      <c r="E338" s="28"/>
      <c r="F338" s="28"/>
      <c r="G338" s="28"/>
      <c r="H338" s="51"/>
      <c r="I338" s="51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</row>
    <row r="339" spans="1:25" ht="35.25" customHeight="1">
      <c r="A339" s="28"/>
      <c r="B339" s="28"/>
      <c r="C339" s="28"/>
      <c r="D339" s="28"/>
      <c r="E339" s="28"/>
      <c r="F339" s="28"/>
      <c r="G339" s="28"/>
      <c r="H339" s="51"/>
      <c r="I339" s="51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</row>
    <row r="340" spans="1:25" ht="35.25" customHeight="1">
      <c r="A340" s="28"/>
      <c r="B340" s="28"/>
      <c r="C340" s="28"/>
      <c r="D340" s="28"/>
      <c r="E340" s="28"/>
      <c r="F340" s="28"/>
      <c r="G340" s="28"/>
      <c r="H340" s="51"/>
      <c r="I340" s="51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</row>
    <row r="341" spans="1:25" ht="35.25" customHeight="1">
      <c r="A341" s="28"/>
      <c r="B341" s="28"/>
      <c r="C341" s="28"/>
      <c r="D341" s="28"/>
      <c r="E341" s="28"/>
      <c r="F341" s="28"/>
      <c r="G341" s="28"/>
      <c r="H341" s="51"/>
      <c r="I341" s="51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</row>
    <row r="342" spans="1:25" ht="35.25" customHeight="1">
      <c r="A342" s="28"/>
      <c r="B342" s="28"/>
      <c r="C342" s="28"/>
      <c r="D342" s="28"/>
      <c r="E342" s="28"/>
      <c r="F342" s="28"/>
      <c r="G342" s="28"/>
      <c r="H342" s="51"/>
      <c r="I342" s="51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</row>
    <row r="343" spans="1:25" ht="35.25" customHeight="1">
      <c r="A343" s="28"/>
      <c r="B343" s="28"/>
      <c r="C343" s="28"/>
      <c r="D343" s="28"/>
      <c r="E343" s="28"/>
      <c r="F343" s="28"/>
      <c r="G343" s="28"/>
      <c r="H343" s="51"/>
      <c r="I343" s="51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</row>
    <row r="344" spans="1:25" ht="35.25" customHeight="1">
      <c r="A344" s="28"/>
      <c r="B344" s="28"/>
      <c r="C344" s="28"/>
      <c r="D344" s="28"/>
      <c r="E344" s="28"/>
      <c r="F344" s="28"/>
      <c r="G344" s="28"/>
      <c r="H344" s="51"/>
      <c r="I344" s="51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</row>
    <row r="345" spans="1:25" ht="35.25" customHeight="1">
      <c r="A345" s="28"/>
      <c r="B345" s="28"/>
      <c r="C345" s="28"/>
      <c r="D345" s="28"/>
      <c r="E345" s="28"/>
      <c r="F345" s="28"/>
      <c r="G345" s="28"/>
      <c r="H345" s="51"/>
      <c r="I345" s="51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</row>
    <row r="346" spans="1:25" ht="35.25" customHeight="1">
      <c r="A346" s="28"/>
      <c r="B346" s="28"/>
      <c r="C346" s="28"/>
      <c r="D346" s="28"/>
      <c r="E346" s="28"/>
      <c r="F346" s="28"/>
      <c r="G346" s="28"/>
      <c r="H346" s="51"/>
      <c r="I346" s="51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</row>
    <row r="347" spans="1:25" ht="35.25" customHeight="1">
      <c r="A347" s="28"/>
      <c r="B347" s="28"/>
      <c r="C347" s="28"/>
      <c r="D347" s="28"/>
      <c r="E347" s="28"/>
      <c r="F347" s="28"/>
      <c r="G347" s="28"/>
      <c r="H347" s="51"/>
      <c r="I347" s="51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</row>
    <row r="348" spans="1:25" ht="35.25" customHeight="1">
      <c r="A348" s="28"/>
      <c r="B348" s="28"/>
      <c r="C348" s="28"/>
      <c r="D348" s="28"/>
      <c r="E348" s="28"/>
      <c r="F348" s="28"/>
      <c r="G348" s="28"/>
      <c r="H348" s="51"/>
      <c r="I348" s="51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</row>
    <row r="349" spans="1:25" ht="35.25" customHeight="1">
      <c r="A349" s="28"/>
      <c r="B349" s="28"/>
      <c r="C349" s="28"/>
      <c r="D349" s="28"/>
      <c r="E349" s="28"/>
      <c r="F349" s="28"/>
      <c r="G349" s="28"/>
      <c r="H349" s="51"/>
      <c r="I349" s="51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</row>
    <row r="350" spans="1:25" ht="35.25" customHeight="1">
      <c r="A350" s="28"/>
      <c r="B350" s="28"/>
      <c r="C350" s="28"/>
      <c r="D350" s="28"/>
      <c r="E350" s="28"/>
      <c r="F350" s="28"/>
      <c r="G350" s="28"/>
      <c r="H350" s="51"/>
      <c r="I350" s="51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</row>
    <row r="351" spans="1:25" ht="35.25" customHeight="1">
      <c r="A351" s="28"/>
      <c r="B351" s="28"/>
      <c r="C351" s="28"/>
      <c r="D351" s="28"/>
      <c r="E351" s="28"/>
      <c r="F351" s="28"/>
      <c r="G351" s="28"/>
      <c r="H351" s="51"/>
      <c r="I351" s="51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</row>
    <row r="352" spans="1:25" ht="35.25" customHeight="1">
      <c r="A352" s="28"/>
      <c r="B352" s="28"/>
      <c r="C352" s="28"/>
      <c r="D352" s="28"/>
      <c r="E352" s="28"/>
      <c r="F352" s="28"/>
      <c r="G352" s="28"/>
      <c r="H352" s="51"/>
      <c r="I352" s="51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</row>
    <row r="353" spans="1:25" ht="35.25" customHeight="1">
      <c r="A353" s="28"/>
      <c r="B353" s="28"/>
      <c r="C353" s="28"/>
      <c r="D353" s="28"/>
      <c r="E353" s="28"/>
      <c r="F353" s="28"/>
      <c r="G353" s="28"/>
      <c r="H353" s="51"/>
      <c r="I353" s="51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</row>
    <row r="354" spans="1:25" ht="35.25" customHeight="1">
      <c r="A354" s="28"/>
      <c r="B354" s="28"/>
      <c r="C354" s="28"/>
      <c r="D354" s="28"/>
      <c r="E354" s="28"/>
      <c r="F354" s="28"/>
      <c r="G354" s="28"/>
      <c r="H354" s="51"/>
      <c r="I354" s="51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</row>
    <row r="355" spans="1:25" ht="35.25" customHeight="1">
      <c r="A355" s="28"/>
      <c r="B355" s="28"/>
      <c r="C355" s="28"/>
      <c r="D355" s="28"/>
      <c r="E355" s="28"/>
      <c r="F355" s="28"/>
      <c r="G355" s="28"/>
      <c r="H355" s="51"/>
      <c r="I355" s="51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</row>
    <row r="356" spans="1:25" ht="35.25" customHeight="1">
      <c r="A356" s="28"/>
      <c r="B356" s="28"/>
      <c r="C356" s="28"/>
      <c r="D356" s="28"/>
      <c r="E356" s="28"/>
      <c r="F356" s="28"/>
      <c r="G356" s="28"/>
      <c r="H356" s="51"/>
      <c r="I356" s="51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</row>
    <row r="357" spans="1:25" ht="35.25" customHeight="1">
      <c r="A357" s="28"/>
      <c r="B357" s="28"/>
      <c r="C357" s="28"/>
      <c r="D357" s="28"/>
      <c r="E357" s="28"/>
      <c r="F357" s="28"/>
      <c r="G357" s="28"/>
      <c r="H357" s="51"/>
      <c r="I357" s="51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</row>
    <row r="358" spans="1:25" ht="35.25" customHeight="1">
      <c r="A358" s="28"/>
      <c r="B358" s="28"/>
      <c r="C358" s="28"/>
      <c r="D358" s="28"/>
      <c r="E358" s="28"/>
      <c r="F358" s="28"/>
      <c r="G358" s="28"/>
      <c r="H358" s="51"/>
      <c r="I358" s="51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</row>
    <row r="359" spans="1:25" ht="35.25" customHeight="1">
      <c r="A359" s="28"/>
      <c r="B359" s="28"/>
      <c r="C359" s="28"/>
      <c r="D359" s="28"/>
      <c r="E359" s="28"/>
      <c r="F359" s="28"/>
      <c r="G359" s="28"/>
      <c r="H359" s="51"/>
      <c r="I359" s="51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</row>
    <row r="360" spans="1:25" ht="35.25" customHeight="1">
      <c r="A360" s="28"/>
      <c r="B360" s="28"/>
      <c r="C360" s="28"/>
      <c r="D360" s="28"/>
      <c r="E360" s="28"/>
      <c r="F360" s="28"/>
      <c r="G360" s="28"/>
      <c r="H360" s="51"/>
      <c r="I360" s="51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</row>
    <row r="361" spans="1:25" ht="35.25" customHeight="1">
      <c r="A361" s="28"/>
      <c r="B361" s="28"/>
      <c r="C361" s="28"/>
      <c r="D361" s="28"/>
      <c r="E361" s="28"/>
      <c r="F361" s="28"/>
      <c r="G361" s="28"/>
      <c r="H361" s="51"/>
      <c r="I361" s="51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</row>
    <row r="362" spans="1:25" ht="35.25" customHeight="1">
      <c r="A362" s="28"/>
      <c r="B362" s="28"/>
      <c r="C362" s="28"/>
      <c r="D362" s="28"/>
      <c r="E362" s="28"/>
      <c r="F362" s="28"/>
      <c r="G362" s="28"/>
      <c r="H362" s="51"/>
      <c r="I362" s="51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</row>
    <row r="363" spans="1:25" ht="35.25" customHeight="1">
      <c r="A363" s="28"/>
      <c r="B363" s="28"/>
      <c r="C363" s="28"/>
      <c r="D363" s="28"/>
      <c r="E363" s="28"/>
      <c r="F363" s="28"/>
      <c r="G363" s="28"/>
      <c r="H363" s="51"/>
      <c r="I363" s="51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</row>
    <row r="364" spans="1:25" ht="35.25" customHeight="1">
      <c r="A364" s="28"/>
      <c r="B364" s="28"/>
      <c r="C364" s="28"/>
      <c r="D364" s="28"/>
      <c r="E364" s="28"/>
      <c r="F364" s="28"/>
      <c r="G364" s="28"/>
      <c r="H364" s="51"/>
      <c r="I364" s="51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</row>
    <row r="365" spans="1:25" ht="35.25" customHeight="1">
      <c r="A365" s="28"/>
      <c r="B365" s="28"/>
      <c r="C365" s="28"/>
      <c r="D365" s="28"/>
      <c r="E365" s="28"/>
      <c r="F365" s="28"/>
      <c r="G365" s="28"/>
      <c r="H365" s="51"/>
      <c r="I365" s="51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</row>
    <row r="366" spans="1:25" ht="35.25" customHeight="1">
      <c r="A366" s="28"/>
      <c r="B366" s="28"/>
      <c r="C366" s="28"/>
      <c r="D366" s="28"/>
      <c r="E366" s="28"/>
      <c r="F366" s="28"/>
      <c r="G366" s="28"/>
      <c r="H366" s="51"/>
      <c r="I366" s="51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</row>
    <row r="367" spans="1:25" ht="35.25" customHeight="1">
      <c r="A367" s="28"/>
      <c r="B367" s="28"/>
      <c r="C367" s="28"/>
      <c r="D367" s="28"/>
      <c r="E367" s="28"/>
      <c r="F367" s="28"/>
      <c r="G367" s="28"/>
      <c r="H367" s="51"/>
      <c r="I367" s="51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</row>
    <row r="368" spans="1:25" ht="35.25" customHeight="1">
      <c r="A368" s="28"/>
      <c r="B368" s="28"/>
      <c r="C368" s="28"/>
      <c r="D368" s="28"/>
      <c r="E368" s="28"/>
      <c r="F368" s="28"/>
      <c r="G368" s="28"/>
      <c r="H368" s="51"/>
      <c r="I368" s="51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</row>
    <row r="369" spans="1:25" ht="35.25" customHeight="1">
      <c r="A369" s="28"/>
      <c r="B369" s="28"/>
      <c r="C369" s="28"/>
      <c r="D369" s="28"/>
      <c r="E369" s="28"/>
      <c r="F369" s="28"/>
      <c r="G369" s="28"/>
      <c r="H369" s="51"/>
      <c r="I369" s="51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</row>
    <row r="370" spans="1:25" ht="35.25" customHeight="1">
      <c r="A370" s="28"/>
      <c r="B370" s="28"/>
      <c r="C370" s="28"/>
      <c r="D370" s="28"/>
      <c r="E370" s="28"/>
      <c r="F370" s="28"/>
      <c r="G370" s="28"/>
      <c r="H370" s="51"/>
      <c r="I370" s="51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</row>
    <row r="371" spans="1:25" ht="35.25" customHeight="1">
      <c r="A371" s="28"/>
      <c r="B371" s="28"/>
      <c r="C371" s="28"/>
      <c r="D371" s="28"/>
      <c r="E371" s="28"/>
      <c r="F371" s="28"/>
      <c r="G371" s="28"/>
      <c r="H371" s="51"/>
      <c r="I371" s="51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</row>
    <row r="372" spans="1:25" ht="35.25" customHeight="1">
      <c r="A372" s="28"/>
      <c r="B372" s="28"/>
      <c r="C372" s="28"/>
      <c r="D372" s="28"/>
      <c r="E372" s="28"/>
      <c r="F372" s="28"/>
      <c r="G372" s="28"/>
      <c r="H372" s="51"/>
      <c r="I372" s="51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</row>
    <row r="373" spans="1:25" ht="35.25" customHeight="1">
      <c r="A373" s="28"/>
      <c r="B373" s="28"/>
      <c r="C373" s="28"/>
      <c r="D373" s="28"/>
      <c r="E373" s="28"/>
      <c r="F373" s="28"/>
      <c r="G373" s="28"/>
      <c r="H373" s="51"/>
      <c r="I373" s="51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</row>
    <row r="374" spans="1:25" ht="35.25" customHeight="1">
      <c r="A374" s="28"/>
      <c r="B374" s="28"/>
      <c r="C374" s="28"/>
      <c r="D374" s="28"/>
      <c r="E374" s="28"/>
      <c r="F374" s="28"/>
      <c r="G374" s="28"/>
      <c r="H374" s="51"/>
      <c r="I374" s="51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</row>
    <row r="375" spans="1:25" ht="35.25" customHeight="1">
      <c r="A375" s="28"/>
      <c r="B375" s="28"/>
      <c r="C375" s="28"/>
      <c r="D375" s="28"/>
      <c r="E375" s="28"/>
      <c r="F375" s="28"/>
      <c r="G375" s="28"/>
      <c r="H375" s="51"/>
      <c r="I375" s="51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</row>
    <row r="376" spans="1:25" ht="35.25" customHeight="1">
      <c r="A376" s="28"/>
      <c r="B376" s="28"/>
      <c r="C376" s="28"/>
      <c r="D376" s="28"/>
      <c r="E376" s="28"/>
      <c r="F376" s="28"/>
      <c r="G376" s="28"/>
      <c r="H376" s="51"/>
      <c r="I376" s="51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</row>
    <row r="377" spans="1:25" ht="35.25" customHeight="1">
      <c r="A377" s="28"/>
      <c r="B377" s="28"/>
      <c r="C377" s="28"/>
      <c r="D377" s="28"/>
      <c r="E377" s="28"/>
      <c r="F377" s="28"/>
      <c r="G377" s="28"/>
      <c r="H377" s="51"/>
      <c r="I377" s="51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</row>
    <row r="378" spans="1:25" ht="35.25" customHeight="1">
      <c r="A378" s="28"/>
      <c r="B378" s="28"/>
      <c r="C378" s="28"/>
      <c r="D378" s="28"/>
      <c r="E378" s="28"/>
      <c r="F378" s="28"/>
      <c r="G378" s="28"/>
      <c r="H378" s="51"/>
      <c r="I378" s="51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</row>
    <row r="379" spans="1:25" ht="35.25" customHeight="1">
      <c r="A379" s="28"/>
      <c r="B379" s="28"/>
      <c r="C379" s="28"/>
      <c r="D379" s="28"/>
      <c r="E379" s="28"/>
      <c r="F379" s="28"/>
      <c r="G379" s="28"/>
      <c r="H379" s="51"/>
      <c r="I379" s="51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</row>
    <row r="380" spans="1:25" ht="35.25" customHeight="1">
      <c r="A380" s="28"/>
      <c r="B380" s="28"/>
      <c r="C380" s="28"/>
      <c r="D380" s="28"/>
      <c r="E380" s="28"/>
      <c r="F380" s="28"/>
      <c r="G380" s="28"/>
      <c r="H380" s="51"/>
      <c r="I380" s="51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</row>
    <row r="381" spans="1:25" ht="35.25" customHeight="1">
      <c r="A381" s="28"/>
      <c r="B381" s="28"/>
      <c r="C381" s="28"/>
      <c r="D381" s="28"/>
      <c r="E381" s="28"/>
      <c r="F381" s="28"/>
      <c r="G381" s="28"/>
      <c r="H381" s="51"/>
      <c r="I381" s="51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</row>
    <row r="382" spans="1:25" ht="35.25" customHeight="1">
      <c r="A382" s="28"/>
      <c r="B382" s="28"/>
      <c r="C382" s="28"/>
      <c r="D382" s="28"/>
      <c r="E382" s="28"/>
      <c r="F382" s="28"/>
      <c r="G382" s="28"/>
      <c r="H382" s="51"/>
      <c r="I382" s="51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</row>
    <row r="383" spans="1:25" ht="35.25" customHeight="1">
      <c r="A383" s="28"/>
      <c r="B383" s="28"/>
      <c r="C383" s="28"/>
      <c r="D383" s="28"/>
      <c r="E383" s="28"/>
      <c r="F383" s="28"/>
      <c r="G383" s="28"/>
      <c r="H383" s="51"/>
      <c r="I383" s="51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</row>
    <row r="384" spans="1:25" ht="35.25" customHeight="1">
      <c r="A384" s="28"/>
      <c r="B384" s="28"/>
      <c r="C384" s="28"/>
      <c r="D384" s="28"/>
      <c r="E384" s="28"/>
      <c r="F384" s="28"/>
      <c r="G384" s="28"/>
      <c r="H384" s="51"/>
      <c r="I384" s="51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</row>
    <row r="385" spans="1:25" ht="35.25" customHeight="1">
      <c r="A385" s="28"/>
      <c r="B385" s="28"/>
      <c r="C385" s="28"/>
      <c r="D385" s="28"/>
      <c r="E385" s="28"/>
      <c r="F385" s="28"/>
      <c r="G385" s="28"/>
      <c r="H385" s="51"/>
      <c r="I385" s="51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</row>
    <row r="386" spans="1:25" ht="35.25" customHeight="1">
      <c r="A386" s="28"/>
      <c r="B386" s="28"/>
      <c r="C386" s="28"/>
      <c r="D386" s="28"/>
      <c r="E386" s="28"/>
      <c r="F386" s="28"/>
      <c r="G386" s="28"/>
      <c r="H386" s="51"/>
      <c r="I386" s="51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</row>
    <row r="387" spans="1:25" ht="35.25" customHeight="1">
      <c r="A387" s="28"/>
      <c r="B387" s="28"/>
      <c r="C387" s="28"/>
      <c r="D387" s="28"/>
      <c r="E387" s="28"/>
      <c r="F387" s="28"/>
      <c r="G387" s="28"/>
      <c r="H387" s="51"/>
      <c r="I387" s="51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</row>
    <row r="388" spans="1:25" ht="35.25" customHeight="1">
      <c r="A388" s="28"/>
      <c r="B388" s="28"/>
      <c r="C388" s="28"/>
      <c r="D388" s="28"/>
      <c r="E388" s="28"/>
      <c r="F388" s="28"/>
      <c r="G388" s="28"/>
      <c r="H388" s="51"/>
      <c r="I388" s="51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35.25" customHeight="1">
      <c r="A389" s="28"/>
      <c r="B389" s="28"/>
      <c r="C389" s="28"/>
      <c r="D389" s="28"/>
      <c r="E389" s="28"/>
      <c r="F389" s="28"/>
      <c r="G389" s="28"/>
      <c r="H389" s="51"/>
      <c r="I389" s="51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</row>
    <row r="390" spans="1:25" ht="35.25" customHeight="1">
      <c r="A390" s="28"/>
      <c r="B390" s="28"/>
      <c r="C390" s="28"/>
      <c r="D390" s="28"/>
      <c r="E390" s="28"/>
      <c r="F390" s="28"/>
      <c r="G390" s="28"/>
      <c r="H390" s="51"/>
      <c r="I390" s="51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</row>
    <row r="391" spans="1:25" ht="35.25" customHeight="1">
      <c r="A391" s="28"/>
      <c r="B391" s="28"/>
      <c r="C391" s="28"/>
      <c r="D391" s="28"/>
      <c r="E391" s="28"/>
      <c r="F391" s="28"/>
      <c r="G391" s="28"/>
      <c r="H391" s="51"/>
      <c r="I391" s="51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</row>
    <row r="392" spans="1:25" ht="35.25" customHeight="1">
      <c r="A392" s="28"/>
      <c r="B392" s="28"/>
      <c r="C392" s="28"/>
      <c r="D392" s="28"/>
      <c r="E392" s="28"/>
      <c r="F392" s="28"/>
      <c r="G392" s="28"/>
      <c r="H392" s="51"/>
      <c r="I392" s="51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</row>
    <row r="393" spans="1:25" ht="35.25" customHeight="1">
      <c r="A393" s="28"/>
      <c r="B393" s="28"/>
      <c r="C393" s="28"/>
      <c r="D393" s="28"/>
      <c r="E393" s="28"/>
      <c r="F393" s="28"/>
      <c r="G393" s="28"/>
      <c r="H393" s="51"/>
      <c r="I393" s="51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</row>
    <row r="394" spans="1:25" ht="35.25" customHeight="1">
      <c r="A394" s="28"/>
      <c r="B394" s="28"/>
      <c r="C394" s="28"/>
      <c r="D394" s="28"/>
      <c r="E394" s="28"/>
      <c r="F394" s="28"/>
      <c r="G394" s="28"/>
      <c r="H394" s="51"/>
      <c r="I394" s="51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</row>
    <row r="395" spans="1:25" ht="35.25" customHeight="1">
      <c r="A395" s="28"/>
      <c r="B395" s="28"/>
      <c r="C395" s="28"/>
      <c r="D395" s="28"/>
      <c r="E395" s="28"/>
      <c r="F395" s="28"/>
      <c r="G395" s="28"/>
      <c r="H395" s="51"/>
      <c r="I395" s="51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</row>
    <row r="396" spans="1:25" ht="35.25" customHeight="1">
      <c r="A396" s="28"/>
      <c r="B396" s="28"/>
      <c r="C396" s="28"/>
      <c r="D396" s="28"/>
      <c r="E396" s="28"/>
      <c r="F396" s="28"/>
      <c r="G396" s="28"/>
      <c r="H396" s="51"/>
      <c r="I396" s="51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</row>
    <row r="397" spans="1:25" ht="35.25" customHeight="1">
      <c r="A397" s="28"/>
      <c r="B397" s="28"/>
      <c r="C397" s="28"/>
      <c r="D397" s="28"/>
      <c r="E397" s="28"/>
      <c r="F397" s="28"/>
      <c r="G397" s="28"/>
      <c r="H397" s="51"/>
      <c r="I397" s="51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</row>
    <row r="398" spans="1:25" ht="35.25" customHeight="1">
      <c r="A398" s="28"/>
      <c r="B398" s="28"/>
      <c r="C398" s="28"/>
      <c r="D398" s="28"/>
      <c r="E398" s="28"/>
      <c r="F398" s="28"/>
      <c r="G398" s="28"/>
      <c r="H398" s="51"/>
      <c r="I398" s="51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</row>
    <row r="399" spans="1:25" ht="35.25" customHeight="1">
      <c r="A399" s="28"/>
      <c r="B399" s="28"/>
      <c r="C399" s="28"/>
      <c r="D399" s="28"/>
      <c r="E399" s="28"/>
      <c r="F399" s="28"/>
      <c r="G399" s="28"/>
      <c r="H399" s="51"/>
      <c r="I399" s="51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</row>
    <row r="400" spans="1:25" ht="35.25" customHeight="1">
      <c r="A400" s="28"/>
      <c r="B400" s="28"/>
      <c r="C400" s="28"/>
      <c r="D400" s="28"/>
      <c r="E400" s="28"/>
      <c r="F400" s="28"/>
      <c r="G400" s="28"/>
      <c r="H400" s="51"/>
      <c r="I400" s="51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</row>
    <row r="401" spans="1:25" ht="35.25" customHeight="1">
      <c r="A401" s="28"/>
      <c r="B401" s="28"/>
      <c r="C401" s="28"/>
      <c r="D401" s="28"/>
      <c r="E401" s="28"/>
      <c r="F401" s="28"/>
      <c r="G401" s="28"/>
      <c r="H401" s="51"/>
      <c r="I401" s="51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</row>
    <row r="402" spans="1:25" ht="35.25" customHeight="1">
      <c r="A402" s="28"/>
      <c r="B402" s="28"/>
      <c r="C402" s="28"/>
      <c r="D402" s="28"/>
      <c r="E402" s="28"/>
      <c r="F402" s="28"/>
      <c r="G402" s="28"/>
      <c r="H402" s="51"/>
      <c r="I402" s="51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</row>
    <row r="403" spans="1:25" ht="35.25" customHeight="1">
      <c r="A403" s="28"/>
      <c r="B403" s="28"/>
      <c r="C403" s="28"/>
      <c r="D403" s="28"/>
      <c r="E403" s="28"/>
      <c r="F403" s="28"/>
      <c r="G403" s="28"/>
      <c r="H403" s="51"/>
      <c r="I403" s="51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</row>
    <row r="404" spans="1:25" ht="35.25" customHeight="1">
      <c r="A404" s="28"/>
      <c r="B404" s="28"/>
      <c r="C404" s="28"/>
      <c r="D404" s="28"/>
      <c r="E404" s="28"/>
      <c r="F404" s="28"/>
      <c r="G404" s="28"/>
      <c r="H404" s="51"/>
      <c r="I404" s="51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</row>
    <row r="405" spans="1:25" ht="35.25" customHeight="1">
      <c r="A405" s="28"/>
      <c r="B405" s="28"/>
      <c r="C405" s="28"/>
      <c r="D405" s="28"/>
      <c r="E405" s="28"/>
      <c r="F405" s="28"/>
      <c r="G405" s="28"/>
      <c r="H405" s="51"/>
      <c r="I405" s="51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</row>
    <row r="406" spans="1:25" ht="35.25" customHeight="1">
      <c r="A406" s="28"/>
      <c r="B406" s="28"/>
      <c r="C406" s="28"/>
      <c r="D406" s="28"/>
      <c r="E406" s="28"/>
      <c r="F406" s="28"/>
      <c r="G406" s="28"/>
      <c r="H406" s="51"/>
      <c r="I406" s="51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</row>
    <row r="407" spans="1:25" ht="35.25" customHeight="1">
      <c r="A407" s="28"/>
      <c r="B407" s="28"/>
      <c r="C407" s="28"/>
      <c r="D407" s="28"/>
      <c r="E407" s="28"/>
      <c r="F407" s="28"/>
      <c r="G407" s="28"/>
      <c r="H407" s="51"/>
      <c r="I407" s="51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</row>
    <row r="408" spans="1:25" ht="35.25" customHeight="1">
      <c r="A408" s="28"/>
      <c r="B408" s="28"/>
      <c r="C408" s="28"/>
      <c r="D408" s="28"/>
      <c r="E408" s="28"/>
      <c r="F408" s="28"/>
      <c r="G408" s="28"/>
      <c r="H408" s="51"/>
      <c r="I408" s="51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</row>
    <row r="409" spans="1:25" ht="35.25" customHeight="1">
      <c r="A409" s="28"/>
      <c r="B409" s="28"/>
      <c r="C409" s="28"/>
      <c r="D409" s="28"/>
      <c r="E409" s="28"/>
      <c r="F409" s="28"/>
      <c r="G409" s="28"/>
      <c r="H409" s="51"/>
      <c r="I409" s="51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</row>
    <row r="410" spans="1:25" ht="35.25" customHeight="1">
      <c r="A410" s="28"/>
      <c r="B410" s="28"/>
      <c r="C410" s="28"/>
      <c r="D410" s="28"/>
      <c r="E410" s="28"/>
      <c r="F410" s="28"/>
      <c r="G410" s="28"/>
      <c r="H410" s="51"/>
      <c r="I410" s="51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</row>
    <row r="411" spans="1:25" ht="35.25" customHeight="1">
      <c r="A411" s="28"/>
      <c r="B411" s="28"/>
      <c r="C411" s="28"/>
      <c r="D411" s="28"/>
      <c r="E411" s="28"/>
      <c r="F411" s="28"/>
      <c r="G411" s="28"/>
      <c r="H411" s="51"/>
      <c r="I411" s="51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</row>
    <row r="412" spans="1:25" ht="35.25" customHeight="1">
      <c r="A412" s="28"/>
      <c r="B412" s="28"/>
      <c r="C412" s="28"/>
      <c r="D412" s="28"/>
      <c r="E412" s="28"/>
      <c r="F412" s="28"/>
      <c r="G412" s="28"/>
      <c r="H412" s="51"/>
      <c r="I412" s="51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</row>
    <row r="413" spans="1:25" ht="35.25" customHeight="1">
      <c r="A413" s="28"/>
      <c r="B413" s="28"/>
      <c r="C413" s="28"/>
      <c r="D413" s="28"/>
      <c r="E413" s="28"/>
      <c r="F413" s="28"/>
      <c r="G413" s="28"/>
      <c r="H413" s="51"/>
      <c r="I413" s="51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</row>
    <row r="414" spans="1:25" ht="35.25" customHeight="1">
      <c r="A414" s="28"/>
      <c r="B414" s="28"/>
      <c r="C414" s="28"/>
      <c r="D414" s="28"/>
      <c r="E414" s="28"/>
      <c r="F414" s="28"/>
      <c r="G414" s="28"/>
      <c r="H414" s="51"/>
      <c r="I414" s="51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</row>
    <row r="415" spans="1:25" ht="35.25" customHeight="1">
      <c r="A415" s="28"/>
      <c r="B415" s="28"/>
      <c r="C415" s="28"/>
      <c r="D415" s="28"/>
      <c r="E415" s="28"/>
      <c r="F415" s="28"/>
      <c r="G415" s="28"/>
      <c r="H415" s="51"/>
      <c r="I415" s="51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</row>
    <row r="416" spans="1:25" ht="35.25" customHeight="1">
      <c r="A416" s="28"/>
      <c r="B416" s="28"/>
      <c r="C416" s="28"/>
      <c r="D416" s="28"/>
      <c r="E416" s="28"/>
      <c r="F416" s="28"/>
      <c r="G416" s="28"/>
      <c r="H416" s="51"/>
      <c r="I416" s="51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</row>
    <row r="417" spans="1:25" ht="35.25" customHeight="1">
      <c r="A417" s="28"/>
      <c r="B417" s="28"/>
      <c r="C417" s="28"/>
      <c r="D417" s="28"/>
      <c r="E417" s="28"/>
      <c r="F417" s="28"/>
      <c r="G417" s="28"/>
      <c r="H417" s="51"/>
      <c r="I417" s="51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</row>
    <row r="418" spans="1:25" ht="35.25" customHeight="1">
      <c r="A418" s="28"/>
      <c r="B418" s="28"/>
      <c r="C418" s="28"/>
      <c r="D418" s="28"/>
      <c r="E418" s="28"/>
      <c r="F418" s="28"/>
      <c r="G418" s="28"/>
      <c r="H418" s="51"/>
      <c r="I418" s="51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</row>
    <row r="419" spans="1:25" ht="35.25" customHeight="1">
      <c r="A419" s="28"/>
      <c r="B419" s="28"/>
      <c r="C419" s="28"/>
      <c r="D419" s="28"/>
      <c r="E419" s="28"/>
      <c r="F419" s="28"/>
      <c r="G419" s="28"/>
      <c r="H419" s="51"/>
      <c r="I419" s="51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</row>
    <row r="420" spans="1:25" ht="35.25" customHeight="1">
      <c r="A420" s="28"/>
      <c r="B420" s="28"/>
      <c r="C420" s="28"/>
      <c r="D420" s="28"/>
      <c r="E420" s="28"/>
      <c r="F420" s="28"/>
      <c r="G420" s="28"/>
      <c r="H420" s="51"/>
      <c r="I420" s="51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</row>
    <row r="421" spans="1:25" ht="35.25" customHeight="1">
      <c r="A421" s="28"/>
      <c r="B421" s="28"/>
      <c r="C421" s="28"/>
      <c r="D421" s="28"/>
      <c r="E421" s="28"/>
      <c r="F421" s="28"/>
      <c r="G421" s="28"/>
      <c r="H421" s="51"/>
      <c r="I421" s="51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</row>
    <row r="422" spans="1:25" ht="35.25" customHeight="1">
      <c r="A422" s="28"/>
      <c r="B422" s="28"/>
      <c r="C422" s="28"/>
      <c r="D422" s="28"/>
      <c r="E422" s="28"/>
      <c r="F422" s="28"/>
      <c r="G422" s="28"/>
      <c r="H422" s="51"/>
      <c r="I422" s="51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</row>
    <row r="423" spans="1:25" ht="35.25" customHeight="1">
      <c r="A423" s="28"/>
      <c r="B423" s="28"/>
      <c r="C423" s="28"/>
      <c r="D423" s="28"/>
      <c r="E423" s="28"/>
      <c r="F423" s="28"/>
      <c r="G423" s="28"/>
      <c r="H423" s="51"/>
      <c r="I423" s="51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</row>
    <row r="424" spans="1:25" ht="35.25" customHeight="1">
      <c r="A424" s="28"/>
      <c r="B424" s="28"/>
      <c r="C424" s="28"/>
      <c r="D424" s="28"/>
      <c r="E424" s="28"/>
      <c r="F424" s="28"/>
      <c r="G424" s="28"/>
      <c r="H424" s="51"/>
      <c r="I424" s="51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</row>
    <row r="425" spans="1:25" ht="35.25" customHeight="1">
      <c r="A425" s="28"/>
      <c r="B425" s="28"/>
      <c r="C425" s="28"/>
      <c r="D425" s="28"/>
      <c r="E425" s="28"/>
      <c r="F425" s="28"/>
      <c r="G425" s="28"/>
      <c r="H425" s="51"/>
      <c r="I425" s="51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</row>
    <row r="426" spans="1:25" ht="35.25" customHeight="1">
      <c r="A426" s="28"/>
      <c r="B426" s="28"/>
      <c r="C426" s="28"/>
      <c r="D426" s="28"/>
      <c r="E426" s="28"/>
      <c r="F426" s="28"/>
      <c r="G426" s="28"/>
      <c r="H426" s="51"/>
      <c r="I426" s="51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</row>
    <row r="427" spans="1:25" ht="35.25" customHeight="1">
      <c r="A427" s="28"/>
      <c r="B427" s="28"/>
      <c r="C427" s="28"/>
      <c r="D427" s="28"/>
      <c r="E427" s="28"/>
      <c r="F427" s="28"/>
      <c r="G427" s="28"/>
      <c r="H427" s="51"/>
      <c r="I427" s="51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</row>
    <row r="428" spans="1:25" ht="35.25" customHeight="1">
      <c r="A428" s="28"/>
      <c r="B428" s="28"/>
      <c r="C428" s="28"/>
      <c r="D428" s="28"/>
      <c r="E428" s="28"/>
      <c r="F428" s="28"/>
      <c r="G428" s="28"/>
      <c r="H428" s="51"/>
      <c r="I428" s="51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</row>
    <row r="429" spans="1:25" ht="35.25" customHeight="1">
      <c r="A429" s="28"/>
      <c r="B429" s="28"/>
      <c r="C429" s="28"/>
      <c r="D429" s="28"/>
      <c r="E429" s="28"/>
      <c r="F429" s="28"/>
      <c r="G429" s="28"/>
      <c r="H429" s="51"/>
      <c r="I429" s="51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</row>
    <row r="430" spans="1:25" ht="35.25" customHeight="1">
      <c r="A430" s="28"/>
      <c r="B430" s="28"/>
      <c r="C430" s="28"/>
      <c r="D430" s="28"/>
      <c r="E430" s="28"/>
      <c r="F430" s="28"/>
      <c r="G430" s="28"/>
      <c r="H430" s="51"/>
      <c r="I430" s="51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</row>
    <row r="431" spans="1:25" ht="35.25" customHeight="1">
      <c r="A431" s="28"/>
      <c r="B431" s="28"/>
      <c r="C431" s="28"/>
      <c r="D431" s="28"/>
      <c r="E431" s="28"/>
      <c r="F431" s="28"/>
      <c r="G431" s="28"/>
      <c r="H431" s="51"/>
      <c r="I431" s="51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</row>
    <row r="432" spans="1:25" ht="35.25" customHeight="1">
      <c r="A432" s="28"/>
      <c r="B432" s="28"/>
      <c r="C432" s="28"/>
      <c r="D432" s="28"/>
      <c r="E432" s="28"/>
      <c r="F432" s="28"/>
      <c r="G432" s="28"/>
      <c r="H432" s="51"/>
      <c r="I432" s="51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</row>
    <row r="433" spans="1:25" ht="35.25" customHeight="1">
      <c r="A433" s="28"/>
      <c r="B433" s="28"/>
      <c r="C433" s="28"/>
      <c r="D433" s="28"/>
      <c r="E433" s="28"/>
      <c r="F433" s="28"/>
      <c r="G433" s="28"/>
      <c r="H433" s="51"/>
      <c r="I433" s="51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</row>
    <row r="434" spans="1:25" ht="35.25" customHeight="1">
      <c r="A434" s="28"/>
      <c r="B434" s="28"/>
      <c r="C434" s="28"/>
      <c r="D434" s="28"/>
      <c r="E434" s="28"/>
      <c r="F434" s="28"/>
      <c r="G434" s="28"/>
      <c r="H434" s="51"/>
      <c r="I434" s="51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</row>
    <row r="435" spans="1:25" ht="35.25" customHeight="1">
      <c r="A435" s="28"/>
      <c r="B435" s="28"/>
      <c r="C435" s="28"/>
      <c r="D435" s="28"/>
      <c r="E435" s="28"/>
      <c r="F435" s="28"/>
      <c r="G435" s="28"/>
      <c r="H435" s="51"/>
      <c r="I435" s="51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</row>
    <row r="436" spans="1:25" ht="35.25" customHeight="1">
      <c r="A436" s="28"/>
      <c r="B436" s="28"/>
      <c r="C436" s="28"/>
      <c r="D436" s="28"/>
      <c r="E436" s="28"/>
      <c r="F436" s="28"/>
      <c r="G436" s="28"/>
      <c r="H436" s="51"/>
      <c r="I436" s="51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</row>
    <row r="437" spans="1:25" ht="35.25" customHeight="1">
      <c r="A437" s="28"/>
      <c r="B437" s="28"/>
      <c r="C437" s="28"/>
      <c r="D437" s="28"/>
      <c r="E437" s="28"/>
      <c r="F437" s="28"/>
      <c r="G437" s="28"/>
      <c r="H437" s="51"/>
      <c r="I437" s="51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</row>
    <row r="438" spans="1:25" ht="35.25" customHeight="1">
      <c r="A438" s="28"/>
      <c r="B438" s="28"/>
      <c r="C438" s="28"/>
      <c r="D438" s="28"/>
      <c r="E438" s="28"/>
      <c r="F438" s="28"/>
      <c r="G438" s="28"/>
      <c r="H438" s="51"/>
      <c r="I438" s="51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</row>
    <row r="439" spans="1:25" ht="35.25" customHeight="1">
      <c r="A439" s="28"/>
      <c r="B439" s="28"/>
      <c r="C439" s="28"/>
      <c r="D439" s="28"/>
      <c r="E439" s="28"/>
      <c r="F439" s="28"/>
      <c r="G439" s="28"/>
      <c r="H439" s="51"/>
      <c r="I439" s="51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</row>
    <row r="440" spans="1:25" ht="35.25" customHeight="1">
      <c r="A440" s="28"/>
      <c r="B440" s="28"/>
      <c r="C440" s="28"/>
      <c r="D440" s="28"/>
      <c r="E440" s="28"/>
      <c r="F440" s="28"/>
      <c r="G440" s="28"/>
      <c r="H440" s="51"/>
      <c r="I440" s="51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</row>
    <row r="441" spans="1:25" ht="35.25" customHeight="1">
      <c r="A441" s="28"/>
      <c r="B441" s="28"/>
      <c r="C441" s="28"/>
      <c r="D441" s="28"/>
      <c r="E441" s="28"/>
      <c r="F441" s="28"/>
      <c r="G441" s="28"/>
      <c r="H441" s="51"/>
      <c r="I441" s="51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</row>
    <row r="442" spans="1:25" ht="35.25" customHeight="1">
      <c r="A442" s="28"/>
      <c r="B442" s="28"/>
      <c r="C442" s="28"/>
      <c r="D442" s="28"/>
      <c r="E442" s="28"/>
      <c r="F442" s="28"/>
      <c r="G442" s="28"/>
      <c r="H442" s="51"/>
      <c r="I442" s="51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</row>
    <row r="443" spans="1:25" ht="35.25" customHeight="1">
      <c r="A443" s="28"/>
      <c r="B443" s="28"/>
      <c r="C443" s="28"/>
      <c r="D443" s="28"/>
      <c r="E443" s="28"/>
      <c r="F443" s="28"/>
      <c r="G443" s="28"/>
      <c r="H443" s="51"/>
      <c r="I443" s="51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</row>
    <row r="444" spans="1:25" ht="35.25" customHeight="1">
      <c r="A444" s="28"/>
      <c r="B444" s="28"/>
      <c r="C444" s="28"/>
      <c r="D444" s="28"/>
      <c r="E444" s="28"/>
      <c r="F444" s="28"/>
      <c r="G444" s="28"/>
      <c r="H444" s="51"/>
      <c r="I444" s="51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</row>
    <row r="445" spans="1:25" ht="35.25" customHeight="1">
      <c r="A445" s="28"/>
      <c r="B445" s="28"/>
      <c r="C445" s="28"/>
      <c r="D445" s="28"/>
      <c r="E445" s="28"/>
      <c r="F445" s="28"/>
      <c r="G445" s="28"/>
      <c r="H445" s="51"/>
      <c r="I445" s="51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</row>
    <row r="446" spans="1:25" ht="35.25" customHeight="1">
      <c r="A446" s="28"/>
      <c r="B446" s="28"/>
      <c r="C446" s="28"/>
      <c r="D446" s="28"/>
      <c r="E446" s="28"/>
      <c r="F446" s="28"/>
      <c r="G446" s="28"/>
      <c r="H446" s="51"/>
      <c r="I446" s="51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</row>
    <row r="447" spans="1:25" ht="35.25" customHeight="1">
      <c r="A447" s="28"/>
      <c r="B447" s="28"/>
      <c r="C447" s="28"/>
      <c r="D447" s="28"/>
      <c r="E447" s="28"/>
      <c r="F447" s="28"/>
      <c r="G447" s="28"/>
      <c r="H447" s="51"/>
      <c r="I447" s="51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</row>
    <row r="448" spans="1:25" ht="35.25" customHeight="1">
      <c r="A448" s="28"/>
      <c r="B448" s="28"/>
      <c r="C448" s="28"/>
      <c r="D448" s="28"/>
      <c r="E448" s="28"/>
      <c r="F448" s="28"/>
      <c r="G448" s="28"/>
      <c r="H448" s="51"/>
      <c r="I448" s="51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</row>
    <row r="449" spans="1:25" ht="35.25" customHeight="1">
      <c r="A449" s="28"/>
      <c r="B449" s="28"/>
      <c r="C449" s="28"/>
      <c r="D449" s="28"/>
      <c r="E449" s="28"/>
      <c r="F449" s="28"/>
      <c r="G449" s="28"/>
      <c r="H449" s="51"/>
      <c r="I449" s="51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</row>
    <row r="450" spans="1:25" ht="35.25" customHeight="1">
      <c r="A450" s="28"/>
      <c r="B450" s="28"/>
      <c r="C450" s="28"/>
      <c r="D450" s="28"/>
      <c r="E450" s="28"/>
      <c r="F450" s="28"/>
      <c r="G450" s="28"/>
      <c r="H450" s="51"/>
      <c r="I450" s="51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</row>
    <row r="451" spans="1:25" ht="35.25" customHeight="1">
      <c r="A451" s="28"/>
      <c r="B451" s="28"/>
      <c r="C451" s="28"/>
      <c r="D451" s="28"/>
      <c r="E451" s="28"/>
      <c r="F451" s="28"/>
      <c r="G451" s="28"/>
      <c r="H451" s="51"/>
      <c r="I451" s="51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</row>
    <row r="452" spans="1:25" ht="35.25" customHeight="1">
      <c r="A452" s="28"/>
      <c r="B452" s="28"/>
      <c r="C452" s="28"/>
      <c r="D452" s="28"/>
      <c r="E452" s="28"/>
      <c r="F452" s="28"/>
      <c r="G452" s="28"/>
      <c r="H452" s="51"/>
      <c r="I452" s="51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35.25" customHeight="1">
      <c r="A453" s="28"/>
      <c r="B453" s="28"/>
      <c r="C453" s="28"/>
      <c r="D453" s="28"/>
      <c r="E453" s="28"/>
      <c r="F453" s="28"/>
      <c r="G453" s="28"/>
      <c r="H453" s="51"/>
      <c r="I453" s="51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</row>
    <row r="454" spans="1:25" ht="35.25" customHeight="1">
      <c r="A454" s="28"/>
      <c r="B454" s="28"/>
      <c r="C454" s="28"/>
      <c r="D454" s="28"/>
      <c r="E454" s="28"/>
      <c r="F454" s="28"/>
      <c r="G454" s="28"/>
      <c r="H454" s="51"/>
      <c r="I454" s="51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</row>
    <row r="455" spans="1:25" ht="35.25" customHeight="1">
      <c r="A455" s="28"/>
      <c r="B455" s="28"/>
      <c r="C455" s="28"/>
      <c r="D455" s="28"/>
      <c r="E455" s="28"/>
      <c r="F455" s="28"/>
      <c r="G455" s="28"/>
      <c r="H455" s="51"/>
      <c r="I455" s="51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</row>
    <row r="456" spans="1:25" ht="35.25" customHeight="1">
      <c r="A456" s="28"/>
      <c r="B456" s="28"/>
      <c r="C456" s="28"/>
      <c r="D456" s="28"/>
      <c r="E456" s="28"/>
      <c r="F456" s="28"/>
      <c r="G456" s="28"/>
      <c r="H456" s="51"/>
      <c r="I456" s="51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</row>
    <row r="457" spans="1:25" ht="35.25" customHeight="1">
      <c r="A457" s="28"/>
      <c r="B457" s="28"/>
      <c r="C457" s="28"/>
      <c r="D457" s="28"/>
      <c r="E457" s="28"/>
      <c r="F457" s="28"/>
      <c r="G457" s="28"/>
      <c r="H457" s="51"/>
      <c r="I457" s="51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</row>
    <row r="458" spans="1:25" ht="35.25" customHeight="1">
      <c r="A458" s="28"/>
      <c r="B458" s="28"/>
      <c r="C458" s="28"/>
      <c r="D458" s="28"/>
      <c r="E458" s="28"/>
      <c r="F458" s="28"/>
      <c r="G458" s="28"/>
      <c r="H458" s="51"/>
      <c r="I458" s="51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</row>
    <row r="459" spans="1:25" ht="35.25" customHeight="1">
      <c r="A459" s="28"/>
      <c r="B459" s="28"/>
      <c r="C459" s="28"/>
      <c r="D459" s="28"/>
      <c r="E459" s="28"/>
      <c r="F459" s="28"/>
      <c r="G459" s="28"/>
      <c r="H459" s="51"/>
      <c r="I459" s="51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</row>
    <row r="460" spans="1:25" ht="35.25" customHeight="1">
      <c r="A460" s="28"/>
      <c r="B460" s="28"/>
      <c r="C460" s="28"/>
      <c r="D460" s="28"/>
      <c r="E460" s="28"/>
      <c r="F460" s="28"/>
      <c r="G460" s="28"/>
      <c r="H460" s="51"/>
      <c r="I460" s="51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</row>
    <row r="461" spans="1:25" ht="35.25" customHeight="1">
      <c r="A461" s="28"/>
      <c r="B461" s="28"/>
      <c r="C461" s="28"/>
      <c r="D461" s="28"/>
      <c r="E461" s="28"/>
      <c r="F461" s="28"/>
      <c r="G461" s="28"/>
      <c r="H461" s="51"/>
      <c r="I461" s="51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</row>
    <row r="462" spans="1:25" ht="35.25" customHeight="1">
      <c r="A462" s="28"/>
      <c r="B462" s="28"/>
      <c r="C462" s="28"/>
      <c r="D462" s="28"/>
      <c r="E462" s="28"/>
      <c r="F462" s="28"/>
      <c r="G462" s="28"/>
      <c r="H462" s="51"/>
      <c r="I462" s="51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</row>
    <row r="463" spans="1:25" ht="35.25" customHeight="1">
      <c r="A463" s="28"/>
      <c r="B463" s="28"/>
      <c r="C463" s="28"/>
      <c r="D463" s="28"/>
      <c r="E463" s="28"/>
      <c r="F463" s="28"/>
      <c r="G463" s="28"/>
      <c r="H463" s="51"/>
      <c r="I463" s="51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</row>
    <row r="464" spans="1:25" ht="35.25" customHeight="1">
      <c r="A464" s="28"/>
      <c r="B464" s="28"/>
      <c r="C464" s="28"/>
      <c r="D464" s="28"/>
      <c r="E464" s="28"/>
      <c r="F464" s="28"/>
      <c r="G464" s="28"/>
      <c r="H464" s="51"/>
      <c r="I464" s="51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</row>
    <row r="465" spans="1:25" ht="35.25" customHeight="1">
      <c r="A465" s="28"/>
      <c r="B465" s="28"/>
      <c r="C465" s="28"/>
      <c r="D465" s="28"/>
      <c r="E465" s="28"/>
      <c r="F465" s="28"/>
      <c r="G465" s="28"/>
      <c r="H465" s="51"/>
      <c r="I465" s="51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</row>
    <row r="466" spans="1:25" ht="35.25" customHeight="1">
      <c r="A466" s="28"/>
      <c r="B466" s="28"/>
      <c r="C466" s="28"/>
      <c r="D466" s="28"/>
      <c r="E466" s="28"/>
      <c r="F466" s="28"/>
      <c r="G466" s="28"/>
      <c r="H466" s="51"/>
      <c r="I466" s="51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</row>
    <row r="467" spans="1:25" ht="35.25" customHeight="1">
      <c r="A467" s="28"/>
      <c r="B467" s="28"/>
      <c r="C467" s="28"/>
      <c r="D467" s="28"/>
      <c r="E467" s="28"/>
      <c r="F467" s="28"/>
      <c r="G467" s="28"/>
      <c r="H467" s="51"/>
      <c r="I467" s="51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</row>
    <row r="468" spans="1:25" ht="35.25" customHeight="1">
      <c r="A468" s="28"/>
      <c r="B468" s="28"/>
      <c r="C468" s="28"/>
      <c r="D468" s="28"/>
      <c r="E468" s="28"/>
      <c r="F468" s="28"/>
      <c r="G468" s="28"/>
      <c r="H468" s="51"/>
      <c r="I468" s="51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</row>
    <row r="469" spans="1:25" ht="35.25" customHeight="1">
      <c r="A469" s="28"/>
      <c r="B469" s="28"/>
      <c r="C469" s="28"/>
      <c r="D469" s="28"/>
      <c r="E469" s="28"/>
      <c r="F469" s="28"/>
      <c r="G469" s="28"/>
      <c r="H469" s="51"/>
      <c r="I469" s="51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</row>
    <row r="470" spans="1:25" ht="35.25" customHeight="1">
      <c r="A470" s="28"/>
      <c r="B470" s="28"/>
      <c r="C470" s="28"/>
      <c r="D470" s="28"/>
      <c r="E470" s="28"/>
      <c r="F470" s="28"/>
      <c r="G470" s="28"/>
      <c r="H470" s="51"/>
      <c r="I470" s="51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</row>
    <row r="471" spans="1:25" ht="35.25" customHeight="1">
      <c r="A471" s="28"/>
      <c r="B471" s="28"/>
      <c r="C471" s="28"/>
      <c r="D471" s="28"/>
      <c r="E471" s="28"/>
      <c r="F471" s="28"/>
      <c r="G471" s="28"/>
      <c r="H471" s="51"/>
      <c r="I471" s="51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</row>
    <row r="472" spans="1:25" ht="35.25" customHeight="1">
      <c r="A472" s="28"/>
      <c r="B472" s="28"/>
      <c r="C472" s="28"/>
      <c r="D472" s="28"/>
      <c r="E472" s="28"/>
      <c r="F472" s="28"/>
      <c r="G472" s="28"/>
      <c r="H472" s="51"/>
      <c r="I472" s="51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</row>
    <row r="473" spans="1:25" ht="35.25" customHeight="1">
      <c r="A473" s="28"/>
      <c r="B473" s="28"/>
      <c r="C473" s="28"/>
      <c r="D473" s="28"/>
      <c r="E473" s="28"/>
      <c r="F473" s="28"/>
      <c r="G473" s="28"/>
      <c r="H473" s="51"/>
      <c r="I473" s="51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</row>
    <row r="474" spans="1:25" ht="35.25" customHeight="1">
      <c r="A474" s="28"/>
      <c r="B474" s="28"/>
      <c r="C474" s="28"/>
      <c r="D474" s="28"/>
      <c r="E474" s="28"/>
      <c r="F474" s="28"/>
      <c r="G474" s="28"/>
      <c r="H474" s="51"/>
      <c r="I474" s="51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</row>
    <row r="475" spans="1:25" ht="35.25" customHeight="1">
      <c r="A475" s="28"/>
      <c r="B475" s="28"/>
      <c r="C475" s="28"/>
      <c r="D475" s="28"/>
      <c r="E475" s="28"/>
      <c r="F475" s="28"/>
      <c r="G475" s="28"/>
      <c r="H475" s="51"/>
      <c r="I475" s="51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</row>
    <row r="476" spans="1:25" ht="35.25" customHeight="1">
      <c r="A476" s="28"/>
      <c r="B476" s="28"/>
      <c r="C476" s="28"/>
      <c r="D476" s="28"/>
      <c r="E476" s="28"/>
      <c r="F476" s="28"/>
      <c r="G476" s="28"/>
      <c r="H476" s="51"/>
      <c r="I476" s="51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</row>
    <row r="477" spans="1:25" ht="35.25" customHeight="1">
      <c r="A477" s="28"/>
      <c r="B477" s="28"/>
      <c r="C477" s="28"/>
      <c r="D477" s="28"/>
      <c r="E477" s="28"/>
      <c r="F477" s="28"/>
      <c r="G477" s="28"/>
      <c r="H477" s="51"/>
      <c r="I477" s="51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</row>
    <row r="478" spans="1:25" ht="35.25" customHeight="1">
      <c r="A478" s="28"/>
      <c r="B478" s="28"/>
      <c r="C478" s="28"/>
      <c r="D478" s="28"/>
      <c r="E478" s="28"/>
      <c r="F478" s="28"/>
      <c r="G478" s="28"/>
      <c r="H478" s="51"/>
      <c r="I478" s="51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</row>
    <row r="479" spans="1:25" ht="35.25" customHeight="1">
      <c r="A479" s="28"/>
      <c r="B479" s="28"/>
      <c r="C479" s="28"/>
      <c r="D479" s="28"/>
      <c r="E479" s="28"/>
      <c r="F479" s="28"/>
      <c r="G479" s="28"/>
      <c r="H479" s="51"/>
      <c r="I479" s="51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</row>
    <row r="480" spans="1:25" ht="35.25" customHeight="1">
      <c r="A480" s="28"/>
      <c r="B480" s="28"/>
      <c r="C480" s="28"/>
      <c r="D480" s="28"/>
      <c r="E480" s="28"/>
      <c r="F480" s="28"/>
      <c r="G480" s="28"/>
      <c r="H480" s="51"/>
      <c r="I480" s="51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</row>
    <row r="481" spans="1:25" ht="35.25" customHeight="1">
      <c r="A481" s="28"/>
      <c r="B481" s="28"/>
      <c r="C481" s="28"/>
      <c r="D481" s="28"/>
      <c r="E481" s="28"/>
      <c r="F481" s="28"/>
      <c r="G481" s="28"/>
      <c r="H481" s="51"/>
      <c r="I481" s="51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</row>
    <row r="482" spans="1:25" ht="35.25" customHeight="1">
      <c r="A482" s="28"/>
      <c r="B482" s="28"/>
      <c r="C482" s="28"/>
      <c r="D482" s="28"/>
      <c r="E482" s="28"/>
      <c r="F482" s="28"/>
      <c r="G482" s="28"/>
      <c r="H482" s="51"/>
      <c r="I482" s="51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</row>
    <row r="483" spans="1:25" ht="35.25" customHeight="1">
      <c r="A483" s="28"/>
      <c r="B483" s="28"/>
      <c r="C483" s="28"/>
      <c r="D483" s="28"/>
      <c r="E483" s="28"/>
      <c r="F483" s="28"/>
      <c r="G483" s="28"/>
      <c r="H483" s="51"/>
      <c r="I483" s="51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</row>
    <row r="484" spans="1:25" ht="35.25" customHeight="1">
      <c r="A484" s="28"/>
      <c r="B484" s="28"/>
      <c r="C484" s="28"/>
      <c r="D484" s="28"/>
      <c r="E484" s="28"/>
      <c r="F484" s="28"/>
      <c r="G484" s="28"/>
      <c r="H484" s="51"/>
      <c r="I484" s="51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</row>
    <row r="485" spans="1:25" ht="35.25" customHeight="1">
      <c r="A485" s="28"/>
      <c r="B485" s="28"/>
      <c r="C485" s="28"/>
      <c r="D485" s="28"/>
      <c r="E485" s="28"/>
      <c r="F485" s="28"/>
      <c r="G485" s="28"/>
      <c r="H485" s="51"/>
      <c r="I485" s="51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</row>
    <row r="486" spans="1:25" ht="35.25" customHeight="1">
      <c r="A486" s="28"/>
      <c r="B486" s="28"/>
      <c r="C486" s="28"/>
      <c r="D486" s="28"/>
      <c r="E486" s="28"/>
      <c r="F486" s="28"/>
      <c r="G486" s="28"/>
      <c r="H486" s="51"/>
      <c r="I486" s="51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</row>
    <row r="487" spans="1:25" ht="35.25" customHeight="1">
      <c r="A487" s="28"/>
      <c r="B487" s="28"/>
      <c r="C487" s="28"/>
      <c r="D487" s="28"/>
      <c r="E487" s="28"/>
      <c r="F487" s="28"/>
      <c r="G487" s="28"/>
      <c r="H487" s="51"/>
      <c r="I487" s="51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</row>
    <row r="488" spans="1:25" ht="35.25" customHeight="1">
      <c r="A488" s="28"/>
      <c r="B488" s="28"/>
      <c r="C488" s="28"/>
      <c r="D488" s="28"/>
      <c r="E488" s="28"/>
      <c r="F488" s="28"/>
      <c r="G488" s="28"/>
      <c r="H488" s="51"/>
      <c r="I488" s="51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</row>
    <row r="489" spans="1:25" ht="35.25" customHeight="1">
      <c r="A489" s="28"/>
      <c r="B489" s="28"/>
      <c r="C489" s="28"/>
      <c r="D489" s="28"/>
      <c r="E489" s="28"/>
      <c r="F489" s="28"/>
      <c r="G489" s="28"/>
      <c r="H489" s="51"/>
      <c r="I489" s="51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</row>
    <row r="490" spans="1:25" ht="35.25" customHeight="1">
      <c r="A490" s="28"/>
      <c r="B490" s="28"/>
      <c r="C490" s="28"/>
      <c r="D490" s="28"/>
      <c r="E490" s="28"/>
      <c r="F490" s="28"/>
      <c r="G490" s="28"/>
      <c r="H490" s="51"/>
      <c r="I490" s="51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</row>
    <row r="491" spans="1:25" ht="35.25" customHeight="1">
      <c r="A491" s="28"/>
      <c r="B491" s="28"/>
      <c r="C491" s="28"/>
      <c r="D491" s="28"/>
      <c r="E491" s="28"/>
      <c r="F491" s="28"/>
      <c r="G491" s="28"/>
      <c r="H491" s="51"/>
      <c r="I491" s="51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</row>
    <row r="492" spans="1:25" ht="35.25" customHeight="1">
      <c r="A492" s="28"/>
      <c r="B492" s="28"/>
      <c r="C492" s="28"/>
      <c r="D492" s="28"/>
      <c r="E492" s="28"/>
      <c r="F492" s="28"/>
      <c r="G492" s="28"/>
      <c r="H492" s="51"/>
      <c r="I492" s="51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</row>
    <row r="493" spans="1:25" ht="35.25" customHeight="1">
      <c r="A493" s="28"/>
      <c r="B493" s="28"/>
      <c r="C493" s="28"/>
      <c r="D493" s="28"/>
      <c r="E493" s="28"/>
      <c r="F493" s="28"/>
      <c r="G493" s="28"/>
      <c r="H493" s="51"/>
      <c r="I493" s="51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</row>
    <row r="494" spans="1:25" ht="35.25" customHeight="1">
      <c r="A494" s="28"/>
      <c r="B494" s="28"/>
      <c r="C494" s="28"/>
      <c r="D494" s="28"/>
      <c r="E494" s="28"/>
      <c r="F494" s="28"/>
      <c r="G494" s="28"/>
      <c r="H494" s="51"/>
      <c r="I494" s="51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</row>
    <row r="495" spans="1:25" ht="35.25" customHeight="1">
      <c r="A495" s="28"/>
      <c r="B495" s="28"/>
      <c r="C495" s="28"/>
      <c r="D495" s="28"/>
      <c r="E495" s="28"/>
      <c r="F495" s="28"/>
      <c r="G495" s="28"/>
      <c r="H495" s="51"/>
      <c r="I495" s="51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</row>
    <row r="496" spans="1:25" ht="35.25" customHeight="1">
      <c r="A496" s="28"/>
      <c r="B496" s="28"/>
      <c r="C496" s="28"/>
      <c r="D496" s="28"/>
      <c r="E496" s="28"/>
      <c r="F496" s="28"/>
      <c r="G496" s="28"/>
      <c r="H496" s="51"/>
      <c r="I496" s="51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</row>
    <row r="497" spans="1:25" ht="35.25" customHeight="1">
      <c r="A497" s="28"/>
      <c r="B497" s="28"/>
      <c r="C497" s="28"/>
      <c r="D497" s="28"/>
      <c r="E497" s="28"/>
      <c r="F497" s="28"/>
      <c r="G497" s="28"/>
      <c r="H497" s="51"/>
      <c r="I497" s="51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</row>
    <row r="498" spans="1:25" ht="35.25" customHeight="1">
      <c r="A498" s="28"/>
      <c r="B498" s="28"/>
      <c r="C498" s="28"/>
      <c r="D498" s="28"/>
      <c r="E498" s="28"/>
      <c r="F498" s="28"/>
      <c r="G498" s="28"/>
      <c r="H498" s="51"/>
      <c r="I498" s="51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</row>
    <row r="499" spans="1:25" ht="35.25" customHeight="1">
      <c r="A499" s="28"/>
      <c r="B499" s="28"/>
      <c r="C499" s="28"/>
      <c r="D499" s="28"/>
      <c r="E499" s="28"/>
      <c r="F499" s="28"/>
      <c r="G499" s="28"/>
      <c r="H499" s="51"/>
      <c r="I499" s="51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</row>
    <row r="500" spans="1:25" ht="35.25" customHeight="1">
      <c r="A500" s="28"/>
      <c r="B500" s="28"/>
      <c r="C500" s="28"/>
      <c r="D500" s="28"/>
      <c r="E500" s="28"/>
      <c r="F500" s="28"/>
      <c r="G500" s="28"/>
      <c r="H500" s="51"/>
      <c r="I500" s="51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</row>
    <row r="501" spans="1:25" ht="35.25" customHeight="1">
      <c r="A501" s="28"/>
      <c r="B501" s="28"/>
      <c r="C501" s="28"/>
      <c r="D501" s="28"/>
      <c r="E501" s="28"/>
      <c r="F501" s="28"/>
      <c r="G501" s="28"/>
      <c r="H501" s="51"/>
      <c r="I501" s="51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</row>
    <row r="502" spans="1:25" ht="35.25" customHeight="1">
      <c r="A502" s="28"/>
      <c r="B502" s="28"/>
      <c r="C502" s="28"/>
      <c r="D502" s="28"/>
      <c r="E502" s="28"/>
      <c r="F502" s="28"/>
      <c r="G502" s="28"/>
      <c r="H502" s="51"/>
      <c r="I502" s="51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</row>
    <row r="503" spans="1:25" ht="35.25" customHeight="1">
      <c r="A503" s="28"/>
      <c r="B503" s="28"/>
      <c r="C503" s="28"/>
      <c r="D503" s="28"/>
      <c r="E503" s="28"/>
      <c r="F503" s="28"/>
      <c r="G503" s="28"/>
      <c r="H503" s="51"/>
      <c r="I503" s="51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</row>
    <row r="504" spans="1:25" ht="35.25" customHeight="1">
      <c r="A504" s="28"/>
      <c r="B504" s="28"/>
      <c r="C504" s="28"/>
      <c r="D504" s="28"/>
      <c r="E504" s="28"/>
      <c r="F504" s="28"/>
      <c r="G504" s="28"/>
      <c r="H504" s="51"/>
      <c r="I504" s="51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</row>
    <row r="505" spans="1:25" ht="35.25" customHeight="1">
      <c r="A505" s="28"/>
      <c r="B505" s="28"/>
      <c r="C505" s="28"/>
      <c r="D505" s="28"/>
      <c r="E505" s="28"/>
      <c r="F505" s="28"/>
      <c r="G505" s="28"/>
      <c r="H505" s="51"/>
      <c r="I505" s="51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</row>
    <row r="506" spans="1:25" ht="35.25" customHeight="1">
      <c r="A506" s="28"/>
      <c r="B506" s="28"/>
      <c r="C506" s="28"/>
      <c r="D506" s="28"/>
      <c r="E506" s="28"/>
      <c r="F506" s="28"/>
      <c r="G506" s="28"/>
      <c r="H506" s="51"/>
      <c r="I506" s="51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</row>
    <row r="507" spans="1:25" ht="35.25" customHeight="1">
      <c r="A507" s="28"/>
      <c r="B507" s="28"/>
      <c r="C507" s="28"/>
      <c r="D507" s="28"/>
      <c r="E507" s="28"/>
      <c r="F507" s="28"/>
      <c r="G507" s="28"/>
      <c r="H507" s="51"/>
      <c r="I507" s="51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</row>
    <row r="508" spans="1:25" ht="35.25" customHeight="1">
      <c r="A508" s="28"/>
      <c r="B508" s="28"/>
      <c r="C508" s="28"/>
      <c r="D508" s="28"/>
      <c r="E508" s="28"/>
      <c r="F508" s="28"/>
      <c r="G508" s="28"/>
      <c r="H508" s="51"/>
      <c r="I508" s="51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</row>
    <row r="509" spans="1:25" ht="35.25" customHeight="1">
      <c r="A509" s="28"/>
      <c r="B509" s="28"/>
      <c r="C509" s="28"/>
      <c r="D509" s="28"/>
      <c r="E509" s="28"/>
      <c r="F509" s="28"/>
      <c r="G509" s="28"/>
      <c r="H509" s="51"/>
      <c r="I509" s="51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</row>
    <row r="510" spans="1:25" ht="35.25" customHeight="1">
      <c r="A510" s="28"/>
      <c r="B510" s="28"/>
      <c r="C510" s="28"/>
      <c r="D510" s="28"/>
      <c r="E510" s="28"/>
      <c r="F510" s="28"/>
      <c r="G510" s="28"/>
      <c r="H510" s="51"/>
      <c r="I510" s="51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</row>
    <row r="511" spans="1:25" ht="35.25" customHeight="1">
      <c r="A511" s="28"/>
      <c r="B511" s="28"/>
      <c r="C511" s="28"/>
      <c r="D511" s="28"/>
      <c r="E511" s="28"/>
      <c r="F511" s="28"/>
      <c r="G511" s="28"/>
      <c r="H511" s="51"/>
      <c r="I511" s="51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</row>
    <row r="512" spans="1:25" ht="35.25" customHeight="1">
      <c r="A512" s="28"/>
      <c r="B512" s="28"/>
      <c r="C512" s="28"/>
      <c r="D512" s="28"/>
      <c r="E512" s="28"/>
      <c r="F512" s="28"/>
      <c r="G512" s="28"/>
      <c r="H512" s="51"/>
      <c r="I512" s="51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</row>
    <row r="513" spans="1:25" ht="35.25" customHeight="1">
      <c r="A513" s="28"/>
      <c r="B513" s="28"/>
      <c r="C513" s="28"/>
      <c r="D513" s="28"/>
      <c r="E513" s="28"/>
      <c r="F513" s="28"/>
      <c r="G513" s="28"/>
      <c r="H513" s="51"/>
      <c r="I513" s="51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</row>
    <row r="514" spans="1:25" ht="35.25" customHeight="1">
      <c r="A514" s="28"/>
      <c r="B514" s="28"/>
      <c r="C514" s="28"/>
      <c r="D514" s="28"/>
      <c r="E514" s="28"/>
      <c r="F514" s="28"/>
      <c r="G514" s="28"/>
      <c r="H514" s="51"/>
      <c r="I514" s="51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</row>
    <row r="515" spans="1:25" ht="35.25" customHeight="1">
      <c r="A515" s="28"/>
      <c r="B515" s="28"/>
      <c r="C515" s="28"/>
      <c r="D515" s="28"/>
      <c r="E515" s="28"/>
      <c r="F515" s="28"/>
      <c r="G515" s="28"/>
      <c r="H515" s="51"/>
      <c r="I515" s="51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</row>
    <row r="516" spans="1:25" ht="35.25" customHeight="1">
      <c r="A516" s="28"/>
      <c r="B516" s="28"/>
      <c r="C516" s="28"/>
      <c r="D516" s="28"/>
      <c r="E516" s="28"/>
      <c r="F516" s="28"/>
      <c r="G516" s="28"/>
      <c r="H516" s="51"/>
      <c r="I516" s="51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35.25" customHeight="1">
      <c r="A517" s="28"/>
      <c r="B517" s="28"/>
      <c r="C517" s="28"/>
      <c r="D517" s="28"/>
      <c r="E517" s="28"/>
      <c r="F517" s="28"/>
      <c r="G517" s="28"/>
      <c r="H517" s="51"/>
      <c r="I517" s="51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</row>
    <row r="518" spans="1:25" ht="35.25" customHeight="1">
      <c r="A518" s="28"/>
      <c r="B518" s="28"/>
      <c r="C518" s="28"/>
      <c r="D518" s="28"/>
      <c r="E518" s="28"/>
      <c r="F518" s="28"/>
      <c r="G518" s="28"/>
      <c r="H518" s="51"/>
      <c r="I518" s="51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</row>
    <row r="519" spans="1:25" ht="35.25" customHeight="1">
      <c r="A519" s="28"/>
      <c r="B519" s="28"/>
      <c r="C519" s="28"/>
      <c r="D519" s="28"/>
      <c r="E519" s="28"/>
      <c r="F519" s="28"/>
      <c r="G519" s="28"/>
      <c r="H519" s="51"/>
      <c r="I519" s="51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</row>
    <row r="520" spans="1:25" ht="35.25" customHeight="1">
      <c r="A520" s="28"/>
      <c r="B520" s="28"/>
      <c r="C520" s="28"/>
      <c r="D520" s="28"/>
      <c r="E520" s="28"/>
      <c r="F520" s="28"/>
      <c r="G520" s="28"/>
      <c r="H520" s="51"/>
      <c r="I520" s="51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</row>
    <row r="521" spans="1:25" ht="35.25" customHeight="1">
      <c r="A521" s="28"/>
      <c r="B521" s="28"/>
      <c r="C521" s="28"/>
      <c r="D521" s="28"/>
      <c r="E521" s="28"/>
      <c r="F521" s="28"/>
      <c r="G521" s="28"/>
      <c r="H521" s="51"/>
      <c r="I521" s="51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</row>
    <row r="522" spans="1:25" ht="35.25" customHeight="1">
      <c r="A522" s="28"/>
      <c r="B522" s="28"/>
      <c r="C522" s="28"/>
      <c r="D522" s="28"/>
      <c r="E522" s="28"/>
      <c r="F522" s="28"/>
      <c r="G522" s="28"/>
      <c r="H522" s="51"/>
      <c r="I522" s="51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</row>
    <row r="523" spans="1:25" ht="35.25" customHeight="1">
      <c r="A523" s="28"/>
      <c r="B523" s="28"/>
      <c r="C523" s="28"/>
      <c r="D523" s="28"/>
      <c r="E523" s="28"/>
      <c r="F523" s="28"/>
      <c r="G523" s="28"/>
      <c r="H523" s="51"/>
      <c r="I523" s="51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</row>
    <row r="524" spans="1:25" ht="35.25" customHeight="1">
      <c r="A524" s="28"/>
      <c r="B524" s="28"/>
      <c r="C524" s="28"/>
      <c r="D524" s="28"/>
      <c r="E524" s="28"/>
      <c r="F524" s="28"/>
      <c r="G524" s="28"/>
      <c r="H524" s="51"/>
      <c r="I524" s="51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</row>
    <row r="525" spans="1:25" ht="35.25" customHeight="1">
      <c r="A525" s="28"/>
      <c r="B525" s="28"/>
      <c r="C525" s="28"/>
      <c r="D525" s="28"/>
      <c r="E525" s="28"/>
      <c r="F525" s="28"/>
      <c r="G525" s="28"/>
      <c r="H525" s="51"/>
      <c r="I525" s="51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</row>
    <row r="526" spans="1:25" ht="35.25" customHeight="1">
      <c r="A526" s="28"/>
      <c r="B526" s="28"/>
      <c r="C526" s="28"/>
      <c r="D526" s="28"/>
      <c r="E526" s="28"/>
      <c r="F526" s="28"/>
      <c r="G526" s="28"/>
      <c r="H526" s="51"/>
      <c r="I526" s="51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</row>
    <row r="527" spans="1:25" ht="35.25" customHeight="1">
      <c r="A527" s="28"/>
      <c r="B527" s="28"/>
      <c r="C527" s="28"/>
      <c r="D527" s="28"/>
      <c r="E527" s="28"/>
      <c r="F527" s="28"/>
      <c r="G527" s="28"/>
      <c r="H527" s="51"/>
      <c r="I527" s="51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</row>
    <row r="528" spans="1:25" ht="35.25" customHeight="1">
      <c r="A528" s="28"/>
      <c r="B528" s="28"/>
      <c r="C528" s="28"/>
      <c r="D528" s="28"/>
      <c r="E528" s="28"/>
      <c r="F528" s="28"/>
      <c r="G528" s="28"/>
      <c r="H528" s="51"/>
      <c r="I528" s="51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</row>
    <row r="529" spans="1:25" ht="35.25" customHeight="1">
      <c r="A529" s="28"/>
      <c r="B529" s="28"/>
      <c r="C529" s="28"/>
      <c r="D529" s="28"/>
      <c r="E529" s="28"/>
      <c r="F529" s="28"/>
      <c r="G529" s="28"/>
      <c r="H529" s="51"/>
      <c r="I529" s="51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</row>
    <row r="530" spans="1:25" ht="35.25" customHeight="1">
      <c r="A530" s="28"/>
      <c r="B530" s="28"/>
      <c r="C530" s="28"/>
      <c r="D530" s="28"/>
      <c r="E530" s="28"/>
      <c r="F530" s="28"/>
      <c r="G530" s="28"/>
      <c r="H530" s="51"/>
      <c r="I530" s="51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</row>
    <row r="531" spans="1:25" ht="35.25" customHeight="1">
      <c r="A531" s="28"/>
      <c r="B531" s="28"/>
      <c r="C531" s="28"/>
      <c r="D531" s="28"/>
      <c r="E531" s="28"/>
      <c r="F531" s="28"/>
      <c r="G531" s="28"/>
      <c r="H531" s="51"/>
      <c r="I531" s="51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</row>
    <row r="532" spans="1:25" ht="35.25" customHeight="1">
      <c r="A532" s="28"/>
      <c r="B532" s="28"/>
      <c r="C532" s="28"/>
      <c r="D532" s="28"/>
      <c r="E532" s="28"/>
      <c r="F532" s="28"/>
      <c r="G532" s="28"/>
      <c r="H532" s="51"/>
      <c r="I532" s="51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</row>
    <row r="533" spans="1:25" ht="35.25" customHeight="1">
      <c r="A533" s="28"/>
      <c r="B533" s="28"/>
      <c r="C533" s="28"/>
      <c r="D533" s="28"/>
      <c r="E533" s="28"/>
      <c r="F533" s="28"/>
      <c r="G533" s="28"/>
      <c r="H533" s="51"/>
      <c r="I533" s="51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</row>
    <row r="534" spans="1:25" ht="35.25" customHeight="1">
      <c r="A534" s="28"/>
      <c r="B534" s="28"/>
      <c r="C534" s="28"/>
      <c r="D534" s="28"/>
      <c r="E534" s="28"/>
      <c r="F534" s="28"/>
      <c r="G534" s="28"/>
      <c r="H534" s="51"/>
      <c r="I534" s="51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</row>
    <row r="535" spans="1:25" ht="35.25" customHeight="1">
      <c r="A535" s="28"/>
      <c r="B535" s="28"/>
      <c r="C535" s="28"/>
      <c r="D535" s="28"/>
      <c r="E535" s="28"/>
      <c r="F535" s="28"/>
      <c r="G535" s="28"/>
      <c r="H535" s="51"/>
      <c r="I535" s="51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</row>
    <row r="536" spans="1:25" ht="35.25" customHeight="1">
      <c r="A536" s="28"/>
      <c r="B536" s="28"/>
      <c r="C536" s="28"/>
      <c r="D536" s="28"/>
      <c r="E536" s="28"/>
      <c r="F536" s="28"/>
      <c r="G536" s="28"/>
      <c r="H536" s="51"/>
      <c r="I536" s="51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</row>
    <row r="537" spans="1:25" ht="35.25" customHeight="1">
      <c r="A537" s="28"/>
      <c r="B537" s="28"/>
      <c r="C537" s="28"/>
      <c r="D537" s="28"/>
      <c r="E537" s="28"/>
      <c r="F537" s="28"/>
      <c r="G537" s="28"/>
      <c r="H537" s="51"/>
      <c r="I537" s="51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</row>
    <row r="538" spans="1:25" ht="35.25" customHeight="1">
      <c r="A538" s="28"/>
      <c r="B538" s="28"/>
      <c r="C538" s="28"/>
      <c r="D538" s="28"/>
      <c r="E538" s="28"/>
      <c r="F538" s="28"/>
      <c r="G538" s="28"/>
      <c r="H538" s="51"/>
      <c r="I538" s="51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</row>
    <row r="539" spans="1:25" ht="35.25" customHeight="1">
      <c r="A539" s="28"/>
      <c r="B539" s="28"/>
      <c r="C539" s="28"/>
      <c r="D539" s="28"/>
      <c r="E539" s="28"/>
      <c r="F539" s="28"/>
      <c r="G539" s="28"/>
      <c r="H539" s="51"/>
      <c r="I539" s="51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</row>
    <row r="540" spans="1:25" ht="35.25" customHeight="1">
      <c r="A540" s="28"/>
      <c r="B540" s="28"/>
      <c r="C540" s="28"/>
      <c r="D540" s="28"/>
      <c r="E540" s="28"/>
      <c r="F540" s="28"/>
      <c r="G540" s="28"/>
      <c r="H540" s="51"/>
      <c r="I540" s="51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</row>
    <row r="541" spans="1:25" ht="35.25" customHeight="1">
      <c r="A541" s="28"/>
      <c r="B541" s="28"/>
      <c r="C541" s="28"/>
      <c r="D541" s="28"/>
      <c r="E541" s="28"/>
      <c r="F541" s="28"/>
      <c r="G541" s="28"/>
      <c r="H541" s="51"/>
      <c r="I541" s="51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</row>
    <row r="542" spans="1:25" ht="35.25" customHeight="1">
      <c r="A542" s="28"/>
      <c r="B542" s="28"/>
      <c r="C542" s="28"/>
      <c r="D542" s="28"/>
      <c r="E542" s="28"/>
      <c r="F542" s="28"/>
      <c r="G542" s="28"/>
      <c r="H542" s="51"/>
      <c r="I542" s="51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</row>
    <row r="543" spans="1:25" ht="35.25" customHeight="1">
      <c r="A543" s="28"/>
      <c r="B543" s="28"/>
      <c r="C543" s="28"/>
      <c r="D543" s="28"/>
      <c r="E543" s="28"/>
      <c r="F543" s="28"/>
      <c r="G543" s="28"/>
      <c r="H543" s="51"/>
      <c r="I543" s="51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</row>
    <row r="544" spans="1:25" ht="35.25" customHeight="1">
      <c r="A544" s="28"/>
      <c r="B544" s="28"/>
      <c r="C544" s="28"/>
      <c r="D544" s="28"/>
      <c r="E544" s="28"/>
      <c r="F544" s="28"/>
      <c r="G544" s="28"/>
      <c r="H544" s="51"/>
      <c r="I544" s="51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</row>
    <row r="545" spans="1:25" ht="35.25" customHeight="1">
      <c r="A545" s="28"/>
      <c r="B545" s="28"/>
      <c r="C545" s="28"/>
      <c r="D545" s="28"/>
      <c r="E545" s="28"/>
      <c r="F545" s="28"/>
      <c r="G545" s="28"/>
      <c r="H545" s="51"/>
      <c r="I545" s="51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</row>
    <row r="546" spans="1:25" ht="35.25" customHeight="1">
      <c r="A546" s="28"/>
      <c r="B546" s="28"/>
      <c r="C546" s="28"/>
      <c r="D546" s="28"/>
      <c r="E546" s="28"/>
      <c r="F546" s="28"/>
      <c r="G546" s="28"/>
      <c r="H546" s="51"/>
      <c r="I546" s="51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</row>
    <row r="547" spans="1:25" ht="35.25" customHeight="1">
      <c r="A547" s="28"/>
      <c r="B547" s="28"/>
      <c r="C547" s="28"/>
      <c r="D547" s="28"/>
      <c r="E547" s="28"/>
      <c r="F547" s="28"/>
      <c r="G547" s="28"/>
      <c r="H547" s="51"/>
      <c r="I547" s="51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</row>
    <row r="548" spans="1:25" ht="35.25" customHeight="1">
      <c r="A548" s="28"/>
      <c r="B548" s="28"/>
      <c r="C548" s="28"/>
      <c r="D548" s="28"/>
      <c r="E548" s="28"/>
      <c r="F548" s="28"/>
      <c r="G548" s="28"/>
      <c r="H548" s="51"/>
      <c r="I548" s="51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</row>
    <row r="549" spans="1:25" ht="35.25" customHeight="1">
      <c r="A549" s="28"/>
      <c r="B549" s="28"/>
      <c r="C549" s="28"/>
      <c r="D549" s="28"/>
      <c r="E549" s="28"/>
      <c r="F549" s="28"/>
      <c r="G549" s="28"/>
      <c r="H549" s="51"/>
      <c r="I549" s="51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</row>
    <row r="550" spans="1:25" ht="35.25" customHeight="1">
      <c r="A550" s="28"/>
      <c r="B550" s="28"/>
      <c r="C550" s="28"/>
      <c r="D550" s="28"/>
      <c r="E550" s="28"/>
      <c r="F550" s="28"/>
      <c r="G550" s="28"/>
      <c r="H550" s="51"/>
      <c r="I550" s="51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</row>
    <row r="551" spans="1:25" ht="35.25" customHeight="1">
      <c r="A551" s="28"/>
      <c r="B551" s="28"/>
      <c r="C551" s="28"/>
      <c r="D551" s="28"/>
      <c r="E551" s="28"/>
      <c r="F551" s="28"/>
      <c r="G551" s="28"/>
      <c r="H551" s="51"/>
      <c r="I551" s="51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</row>
    <row r="552" spans="1:25" ht="35.25" customHeight="1">
      <c r="A552" s="28"/>
      <c r="B552" s="28"/>
      <c r="C552" s="28"/>
      <c r="D552" s="28"/>
      <c r="E552" s="28"/>
      <c r="F552" s="28"/>
      <c r="G552" s="28"/>
      <c r="H552" s="51"/>
      <c r="I552" s="51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</row>
    <row r="553" spans="1:25" ht="35.25" customHeight="1">
      <c r="A553" s="28"/>
      <c r="B553" s="28"/>
      <c r="C553" s="28"/>
      <c r="D553" s="28"/>
      <c r="E553" s="28"/>
      <c r="F553" s="28"/>
      <c r="G553" s="28"/>
      <c r="H553" s="51"/>
      <c r="I553" s="51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</row>
    <row r="554" spans="1:25" ht="35.25" customHeight="1">
      <c r="A554" s="28"/>
      <c r="B554" s="28"/>
      <c r="C554" s="28"/>
      <c r="D554" s="28"/>
      <c r="E554" s="28"/>
      <c r="F554" s="28"/>
      <c r="G554" s="28"/>
      <c r="H554" s="51"/>
      <c r="I554" s="51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</row>
    <row r="555" spans="1:25" ht="35.25" customHeight="1">
      <c r="A555" s="28"/>
      <c r="B555" s="28"/>
      <c r="C555" s="28"/>
      <c r="D555" s="28"/>
      <c r="E555" s="28"/>
      <c r="F555" s="28"/>
      <c r="G555" s="28"/>
      <c r="H555" s="51"/>
      <c r="I555" s="51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</row>
    <row r="556" spans="1:25" ht="35.25" customHeight="1">
      <c r="A556" s="28"/>
      <c r="B556" s="28"/>
      <c r="C556" s="28"/>
      <c r="D556" s="28"/>
      <c r="E556" s="28"/>
      <c r="F556" s="28"/>
      <c r="G556" s="28"/>
      <c r="H556" s="51"/>
      <c r="I556" s="51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</row>
    <row r="557" spans="1:25" ht="35.25" customHeight="1">
      <c r="A557" s="28"/>
      <c r="B557" s="28"/>
      <c r="C557" s="28"/>
      <c r="D557" s="28"/>
      <c r="E557" s="28"/>
      <c r="F557" s="28"/>
      <c r="G557" s="28"/>
      <c r="H557" s="51"/>
      <c r="I557" s="51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</row>
    <row r="558" spans="1:25" ht="35.25" customHeight="1">
      <c r="A558" s="28"/>
      <c r="B558" s="28"/>
      <c r="C558" s="28"/>
      <c r="D558" s="28"/>
      <c r="E558" s="28"/>
      <c r="F558" s="28"/>
      <c r="G558" s="28"/>
      <c r="H558" s="51"/>
      <c r="I558" s="51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</row>
    <row r="559" spans="1:25" ht="35.25" customHeight="1">
      <c r="A559" s="28"/>
      <c r="B559" s="28"/>
      <c r="C559" s="28"/>
      <c r="D559" s="28"/>
      <c r="E559" s="28"/>
      <c r="F559" s="28"/>
      <c r="G559" s="28"/>
      <c r="H559" s="51"/>
      <c r="I559" s="51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</row>
    <row r="560" spans="1:25" ht="35.25" customHeight="1">
      <c r="A560" s="28"/>
      <c r="B560" s="28"/>
      <c r="C560" s="28"/>
      <c r="D560" s="28"/>
      <c r="E560" s="28"/>
      <c r="F560" s="28"/>
      <c r="G560" s="28"/>
      <c r="H560" s="51"/>
      <c r="I560" s="51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</row>
    <row r="561" spans="1:25" ht="35.25" customHeight="1">
      <c r="A561" s="28"/>
      <c r="B561" s="28"/>
      <c r="C561" s="28"/>
      <c r="D561" s="28"/>
      <c r="E561" s="28"/>
      <c r="F561" s="28"/>
      <c r="G561" s="28"/>
      <c r="H561" s="51"/>
      <c r="I561" s="51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</row>
    <row r="562" spans="1:25" ht="35.25" customHeight="1">
      <c r="A562" s="28"/>
      <c r="B562" s="28"/>
      <c r="C562" s="28"/>
      <c r="D562" s="28"/>
      <c r="E562" s="28"/>
      <c r="F562" s="28"/>
      <c r="G562" s="28"/>
      <c r="H562" s="51"/>
      <c r="I562" s="51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</row>
    <row r="563" spans="1:25" ht="35.25" customHeight="1">
      <c r="A563" s="28"/>
      <c r="B563" s="28"/>
      <c r="C563" s="28"/>
      <c r="D563" s="28"/>
      <c r="E563" s="28"/>
      <c r="F563" s="28"/>
      <c r="G563" s="28"/>
      <c r="H563" s="51"/>
      <c r="I563" s="51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</row>
    <row r="564" spans="1:25" ht="35.25" customHeight="1">
      <c r="A564" s="28"/>
      <c r="B564" s="28"/>
      <c r="C564" s="28"/>
      <c r="D564" s="28"/>
      <c r="E564" s="28"/>
      <c r="F564" s="28"/>
      <c r="G564" s="28"/>
      <c r="H564" s="51"/>
      <c r="I564" s="51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</row>
    <row r="565" spans="1:25" ht="35.25" customHeight="1">
      <c r="A565" s="28"/>
      <c r="B565" s="28"/>
      <c r="C565" s="28"/>
      <c r="D565" s="28"/>
      <c r="E565" s="28"/>
      <c r="F565" s="28"/>
      <c r="G565" s="28"/>
      <c r="H565" s="51"/>
      <c r="I565" s="51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</row>
    <row r="566" spans="1:25" ht="35.25" customHeight="1">
      <c r="A566" s="28"/>
      <c r="B566" s="28"/>
      <c r="C566" s="28"/>
      <c r="D566" s="28"/>
      <c r="E566" s="28"/>
      <c r="F566" s="28"/>
      <c r="G566" s="28"/>
      <c r="H566" s="51"/>
      <c r="I566" s="51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</row>
    <row r="567" spans="1:25" ht="35.25" customHeight="1">
      <c r="A567" s="28"/>
      <c r="B567" s="28"/>
      <c r="C567" s="28"/>
      <c r="D567" s="28"/>
      <c r="E567" s="28"/>
      <c r="F567" s="28"/>
      <c r="G567" s="28"/>
      <c r="H567" s="51"/>
      <c r="I567" s="51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</row>
    <row r="568" spans="1:25" ht="35.25" customHeight="1">
      <c r="A568" s="28"/>
      <c r="B568" s="28"/>
      <c r="C568" s="28"/>
      <c r="D568" s="28"/>
      <c r="E568" s="28"/>
      <c r="F568" s="28"/>
      <c r="G568" s="28"/>
      <c r="H568" s="51"/>
      <c r="I568" s="51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</row>
    <row r="569" spans="1:25" ht="35.25" customHeight="1">
      <c r="A569" s="28"/>
      <c r="B569" s="28"/>
      <c r="C569" s="28"/>
      <c r="D569" s="28"/>
      <c r="E569" s="28"/>
      <c r="F569" s="28"/>
      <c r="G569" s="28"/>
      <c r="H569" s="51"/>
      <c r="I569" s="51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</row>
    <row r="570" spans="1:25" ht="35.25" customHeight="1">
      <c r="A570" s="28"/>
      <c r="B570" s="28"/>
      <c r="C570" s="28"/>
      <c r="D570" s="28"/>
      <c r="E570" s="28"/>
      <c r="F570" s="28"/>
      <c r="G570" s="28"/>
      <c r="H570" s="51"/>
      <c r="I570" s="51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</row>
    <row r="571" spans="1:25" ht="35.25" customHeight="1">
      <c r="A571" s="28"/>
      <c r="B571" s="28"/>
      <c r="C571" s="28"/>
      <c r="D571" s="28"/>
      <c r="E571" s="28"/>
      <c r="F571" s="28"/>
      <c r="G571" s="28"/>
      <c r="H571" s="51"/>
      <c r="I571" s="51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</row>
    <row r="572" spans="1:25" ht="35.25" customHeight="1">
      <c r="A572" s="28"/>
      <c r="B572" s="28"/>
      <c r="C572" s="28"/>
      <c r="D572" s="28"/>
      <c r="E572" s="28"/>
      <c r="F572" s="28"/>
      <c r="G572" s="28"/>
      <c r="H572" s="51"/>
      <c r="I572" s="51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</row>
    <row r="573" spans="1:25" ht="35.25" customHeight="1">
      <c r="A573" s="28"/>
      <c r="B573" s="28"/>
      <c r="C573" s="28"/>
      <c r="D573" s="28"/>
      <c r="E573" s="28"/>
      <c r="F573" s="28"/>
      <c r="G573" s="28"/>
      <c r="H573" s="51"/>
      <c r="I573" s="51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</row>
    <row r="574" spans="1:25" ht="35.25" customHeight="1">
      <c r="A574" s="28"/>
      <c r="B574" s="28"/>
      <c r="C574" s="28"/>
      <c r="D574" s="28"/>
      <c r="E574" s="28"/>
      <c r="F574" s="28"/>
      <c r="G574" s="28"/>
      <c r="H574" s="51"/>
      <c r="I574" s="51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</row>
    <row r="575" spans="1:25" ht="35.25" customHeight="1">
      <c r="A575" s="28"/>
      <c r="B575" s="28"/>
      <c r="C575" s="28"/>
      <c r="D575" s="28"/>
      <c r="E575" s="28"/>
      <c r="F575" s="28"/>
      <c r="G575" s="28"/>
      <c r="H575" s="51"/>
      <c r="I575" s="51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</row>
    <row r="576" spans="1:25" ht="35.25" customHeight="1">
      <c r="A576" s="28"/>
      <c r="B576" s="28"/>
      <c r="C576" s="28"/>
      <c r="D576" s="28"/>
      <c r="E576" s="28"/>
      <c r="F576" s="28"/>
      <c r="G576" s="28"/>
      <c r="H576" s="51"/>
      <c r="I576" s="51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</row>
    <row r="577" spans="1:25" ht="35.25" customHeight="1">
      <c r="A577" s="28"/>
      <c r="B577" s="28"/>
      <c r="C577" s="28"/>
      <c r="D577" s="28"/>
      <c r="E577" s="28"/>
      <c r="F577" s="28"/>
      <c r="G577" s="28"/>
      <c r="H577" s="51"/>
      <c r="I577" s="51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</row>
    <row r="578" spans="1:25" ht="35.25" customHeight="1">
      <c r="A578" s="28"/>
      <c r="B578" s="28"/>
      <c r="C578" s="28"/>
      <c r="D578" s="28"/>
      <c r="E578" s="28"/>
      <c r="F578" s="28"/>
      <c r="G578" s="28"/>
      <c r="H578" s="51"/>
      <c r="I578" s="51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</row>
    <row r="579" spans="1:25" ht="35.25" customHeight="1">
      <c r="A579" s="28"/>
      <c r="B579" s="28"/>
      <c r="C579" s="28"/>
      <c r="D579" s="28"/>
      <c r="E579" s="28"/>
      <c r="F579" s="28"/>
      <c r="G579" s="28"/>
      <c r="H579" s="51"/>
      <c r="I579" s="51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</row>
    <row r="580" spans="1:25" ht="35.25" customHeight="1">
      <c r="A580" s="28"/>
      <c r="B580" s="28"/>
      <c r="C580" s="28"/>
      <c r="D580" s="28"/>
      <c r="E580" s="28"/>
      <c r="F580" s="28"/>
      <c r="G580" s="28"/>
      <c r="H580" s="51"/>
      <c r="I580" s="51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35.25" customHeight="1">
      <c r="A581" s="28"/>
      <c r="B581" s="28"/>
      <c r="C581" s="28"/>
      <c r="D581" s="28"/>
      <c r="E581" s="28"/>
      <c r="F581" s="28"/>
      <c r="G581" s="28"/>
      <c r="H581" s="51"/>
      <c r="I581" s="51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</row>
    <row r="582" spans="1:25" ht="35.25" customHeight="1">
      <c r="A582" s="28"/>
      <c r="B582" s="28"/>
      <c r="C582" s="28"/>
      <c r="D582" s="28"/>
      <c r="E582" s="28"/>
      <c r="F582" s="28"/>
      <c r="G582" s="28"/>
      <c r="H582" s="51"/>
      <c r="I582" s="51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</row>
    <row r="583" spans="1:25" ht="35.25" customHeight="1">
      <c r="A583" s="28"/>
      <c r="B583" s="28"/>
      <c r="C583" s="28"/>
      <c r="D583" s="28"/>
      <c r="E583" s="28"/>
      <c r="F583" s="28"/>
      <c r="G583" s="28"/>
      <c r="H583" s="51"/>
      <c r="I583" s="51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</row>
    <row r="584" spans="1:25" ht="35.25" customHeight="1">
      <c r="A584" s="28"/>
      <c r="B584" s="28"/>
      <c r="C584" s="28"/>
      <c r="D584" s="28"/>
      <c r="E584" s="28"/>
      <c r="F584" s="28"/>
      <c r="G584" s="28"/>
      <c r="H584" s="51"/>
      <c r="I584" s="51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</row>
    <row r="585" spans="1:25" ht="35.25" customHeight="1">
      <c r="A585" s="28"/>
      <c r="B585" s="28"/>
      <c r="C585" s="28"/>
      <c r="D585" s="28"/>
      <c r="E585" s="28"/>
      <c r="F585" s="28"/>
      <c r="G585" s="28"/>
      <c r="H585" s="51"/>
      <c r="I585" s="51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</row>
    <row r="586" spans="1:25" ht="35.25" customHeight="1">
      <c r="A586" s="28"/>
      <c r="B586" s="28"/>
      <c r="C586" s="28"/>
      <c r="D586" s="28"/>
      <c r="E586" s="28"/>
      <c r="F586" s="28"/>
      <c r="G586" s="28"/>
      <c r="H586" s="51"/>
      <c r="I586" s="51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</row>
    <row r="587" spans="1:25" ht="35.25" customHeight="1">
      <c r="A587" s="28"/>
      <c r="B587" s="28"/>
      <c r="C587" s="28"/>
      <c r="D587" s="28"/>
      <c r="E587" s="28"/>
      <c r="F587" s="28"/>
      <c r="G587" s="28"/>
      <c r="H587" s="51"/>
      <c r="I587" s="51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</row>
    <row r="588" spans="1:25" ht="35.25" customHeight="1">
      <c r="A588" s="28"/>
      <c r="B588" s="28"/>
      <c r="C588" s="28"/>
      <c r="D588" s="28"/>
      <c r="E588" s="28"/>
      <c r="F588" s="28"/>
      <c r="G588" s="28"/>
      <c r="H588" s="51"/>
      <c r="I588" s="51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</row>
    <row r="589" spans="1:25" ht="35.25" customHeight="1">
      <c r="A589" s="28"/>
      <c r="B589" s="28"/>
      <c r="C589" s="28"/>
      <c r="D589" s="28"/>
      <c r="E589" s="28"/>
      <c r="F589" s="28"/>
      <c r="G589" s="28"/>
      <c r="H589" s="51"/>
      <c r="I589" s="51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</row>
    <row r="590" spans="1:25" ht="35.25" customHeight="1">
      <c r="A590" s="28"/>
      <c r="B590" s="28"/>
      <c r="C590" s="28"/>
      <c r="D590" s="28"/>
      <c r="E590" s="28"/>
      <c r="F590" s="28"/>
      <c r="G590" s="28"/>
      <c r="H590" s="51"/>
      <c r="I590" s="51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</row>
    <row r="591" spans="1:25" ht="35.25" customHeight="1">
      <c r="A591" s="28"/>
      <c r="B591" s="28"/>
      <c r="C591" s="28"/>
      <c r="D591" s="28"/>
      <c r="E591" s="28"/>
      <c r="F591" s="28"/>
      <c r="G591" s="28"/>
      <c r="H591" s="51"/>
      <c r="I591" s="51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</row>
    <row r="592" spans="1:25" ht="35.25" customHeight="1">
      <c r="A592" s="28"/>
      <c r="B592" s="28"/>
      <c r="C592" s="28"/>
      <c r="D592" s="28"/>
      <c r="E592" s="28"/>
      <c r="F592" s="28"/>
      <c r="G592" s="28"/>
      <c r="H592" s="51"/>
      <c r="I592" s="51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</row>
    <row r="593" spans="1:25" ht="35.25" customHeight="1">
      <c r="A593" s="28"/>
      <c r="B593" s="28"/>
      <c r="C593" s="28"/>
      <c r="D593" s="28"/>
      <c r="E593" s="28"/>
      <c r="F593" s="28"/>
      <c r="G593" s="28"/>
      <c r="H593" s="51"/>
      <c r="I593" s="51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</row>
    <row r="594" spans="1:25" ht="35.25" customHeight="1">
      <c r="A594" s="28"/>
      <c r="B594" s="28"/>
      <c r="C594" s="28"/>
      <c r="D594" s="28"/>
      <c r="E594" s="28"/>
      <c r="F594" s="28"/>
      <c r="G594" s="28"/>
      <c r="H594" s="51"/>
      <c r="I594" s="51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</row>
    <row r="595" spans="1:25" ht="35.25" customHeight="1">
      <c r="A595" s="28"/>
      <c r="B595" s="28"/>
      <c r="C595" s="28"/>
      <c r="D595" s="28"/>
      <c r="E595" s="28"/>
      <c r="F595" s="28"/>
      <c r="G595" s="28"/>
      <c r="H595" s="51"/>
      <c r="I595" s="51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</row>
    <row r="596" spans="1:25" ht="35.25" customHeight="1">
      <c r="A596" s="28"/>
      <c r="B596" s="28"/>
      <c r="C596" s="28"/>
      <c r="D596" s="28"/>
      <c r="E596" s="28"/>
      <c r="F596" s="28"/>
      <c r="G596" s="28"/>
      <c r="H596" s="51"/>
      <c r="I596" s="51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</row>
    <row r="597" spans="1:25" ht="35.25" customHeight="1">
      <c r="A597" s="28"/>
      <c r="B597" s="28"/>
      <c r="C597" s="28"/>
      <c r="D597" s="28"/>
      <c r="E597" s="28"/>
      <c r="F597" s="28"/>
      <c r="G597" s="28"/>
      <c r="H597" s="51"/>
      <c r="I597" s="51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</row>
    <row r="598" spans="1:25" ht="35.25" customHeight="1">
      <c r="A598" s="28"/>
      <c r="B598" s="28"/>
      <c r="C598" s="28"/>
      <c r="D598" s="28"/>
      <c r="E598" s="28"/>
      <c r="F598" s="28"/>
      <c r="G598" s="28"/>
      <c r="H598" s="51"/>
      <c r="I598" s="51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</row>
    <row r="599" spans="1:25" ht="35.25" customHeight="1">
      <c r="A599" s="28"/>
      <c r="B599" s="28"/>
      <c r="C599" s="28"/>
      <c r="D599" s="28"/>
      <c r="E599" s="28"/>
      <c r="F599" s="28"/>
      <c r="G599" s="28"/>
      <c r="H599" s="51"/>
      <c r="I599" s="51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</row>
    <row r="600" spans="1:25" ht="35.25" customHeight="1">
      <c r="A600" s="28"/>
      <c r="B600" s="28"/>
      <c r="C600" s="28"/>
      <c r="D600" s="28"/>
      <c r="E600" s="28"/>
      <c r="F600" s="28"/>
      <c r="G600" s="28"/>
      <c r="H600" s="51"/>
      <c r="I600" s="51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</row>
    <row r="601" spans="1:25" ht="35.25" customHeight="1">
      <c r="A601" s="28"/>
      <c r="B601" s="28"/>
      <c r="C601" s="28"/>
      <c r="D601" s="28"/>
      <c r="E601" s="28"/>
      <c r="F601" s="28"/>
      <c r="G601" s="28"/>
      <c r="H601" s="51"/>
      <c r="I601" s="51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</row>
    <row r="602" spans="1:25" ht="35.25" customHeight="1">
      <c r="A602" s="28"/>
      <c r="B602" s="28"/>
      <c r="C602" s="28"/>
      <c r="D602" s="28"/>
      <c r="E602" s="28"/>
      <c r="F602" s="28"/>
      <c r="G602" s="28"/>
      <c r="H602" s="51"/>
      <c r="I602" s="51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</row>
    <row r="603" spans="1:25" ht="35.25" customHeight="1">
      <c r="A603" s="28"/>
      <c r="B603" s="28"/>
      <c r="C603" s="28"/>
      <c r="D603" s="28"/>
      <c r="E603" s="28"/>
      <c r="F603" s="28"/>
      <c r="G603" s="28"/>
      <c r="H603" s="51"/>
      <c r="I603" s="51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</row>
    <row r="604" spans="1:25" ht="35.25" customHeight="1">
      <c r="A604" s="28"/>
      <c r="B604" s="28"/>
      <c r="C604" s="28"/>
      <c r="D604" s="28"/>
      <c r="E604" s="28"/>
      <c r="F604" s="28"/>
      <c r="G604" s="28"/>
      <c r="H604" s="51"/>
      <c r="I604" s="51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</row>
    <row r="605" spans="1:25" ht="35.25" customHeight="1">
      <c r="A605" s="28"/>
      <c r="B605" s="28"/>
      <c r="C605" s="28"/>
      <c r="D605" s="28"/>
      <c r="E605" s="28"/>
      <c r="F605" s="28"/>
      <c r="G605" s="28"/>
      <c r="H605" s="51"/>
      <c r="I605" s="51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</row>
    <row r="606" spans="1:25" ht="35.25" customHeight="1">
      <c r="A606" s="28"/>
      <c r="B606" s="28"/>
      <c r="C606" s="28"/>
      <c r="D606" s="28"/>
      <c r="E606" s="28"/>
      <c r="F606" s="28"/>
      <c r="G606" s="28"/>
      <c r="H606" s="51"/>
      <c r="I606" s="51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</row>
    <row r="607" spans="1:25" ht="35.25" customHeight="1">
      <c r="A607" s="28"/>
      <c r="B607" s="28"/>
      <c r="C607" s="28"/>
      <c r="D607" s="28"/>
      <c r="E607" s="28"/>
      <c r="F607" s="28"/>
      <c r="G607" s="28"/>
      <c r="H607" s="51"/>
      <c r="I607" s="51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</row>
    <row r="608" spans="1:25" ht="35.25" customHeight="1">
      <c r="A608" s="28"/>
      <c r="B608" s="28"/>
      <c r="C608" s="28"/>
      <c r="D608" s="28"/>
      <c r="E608" s="28"/>
      <c r="F608" s="28"/>
      <c r="G608" s="28"/>
      <c r="H608" s="51"/>
      <c r="I608" s="51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</row>
    <row r="609" spans="1:25" ht="35.25" customHeight="1">
      <c r="A609" s="28"/>
      <c r="B609" s="28"/>
      <c r="C609" s="28"/>
      <c r="D609" s="28"/>
      <c r="E609" s="28"/>
      <c r="F609" s="28"/>
      <c r="G609" s="28"/>
      <c r="H609" s="51"/>
      <c r="I609" s="51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</row>
    <row r="610" spans="1:25" ht="35.25" customHeight="1">
      <c r="A610" s="28"/>
      <c r="B610" s="28"/>
      <c r="C610" s="28"/>
      <c r="D610" s="28"/>
      <c r="E610" s="28"/>
      <c r="F610" s="28"/>
      <c r="G610" s="28"/>
      <c r="H610" s="51"/>
      <c r="I610" s="51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</row>
    <row r="611" spans="1:25" ht="35.25" customHeight="1">
      <c r="A611" s="28"/>
      <c r="B611" s="28"/>
      <c r="C611" s="28"/>
      <c r="D611" s="28"/>
      <c r="E611" s="28"/>
      <c r="F611" s="28"/>
      <c r="G611" s="28"/>
      <c r="H611" s="51"/>
      <c r="I611" s="51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</row>
    <row r="612" spans="1:25" ht="35.25" customHeight="1">
      <c r="A612" s="28"/>
      <c r="B612" s="28"/>
      <c r="C612" s="28"/>
      <c r="D612" s="28"/>
      <c r="E612" s="28"/>
      <c r="F612" s="28"/>
      <c r="G612" s="28"/>
      <c r="H612" s="51"/>
      <c r="I612" s="51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</row>
    <row r="613" spans="1:25" ht="35.25" customHeight="1">
      <c r="A613" s="28"/>
      <c r="B613" s="28"/>
      <c r="C613" s="28"/>
      <c r="D613" s="28"/>
      <c r="E613" s="28"/>
      <c r="F613" s="28"/>
      <c r="G613" s="28"/>
      <c r="H613" s="51"/>
      <c r="I613" s="51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</row>
    <row r="614" spans="1:25" ht="35.25" customHeight="1">
      <c r="A614" s="28"/>
      <c r="B614" s="28"/>
      <c r="C614" s="28"/>
      <c r="D614" s="28"/>
      <c r="E614" s="28"/>
      <c r="F614" s="28"/>
      <c r="G614" s="28"/>
      <c r="H614" s="51"/>
      <c r="I614" s="51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</row>
    <row r="615" spans="1:25" ht="35.25" customHeight="1">
      <c r="A615" s="28"/>
      <c r="B615" s="28"/>
      <c r="C615" s="28"/>
      <c r="D615" s="28"/>
      <c r="E615" s="28"/>
      <c r="F615" s="28"/>
      <c r="G615" s="28"/>
      <c r="H615" s="51"/>
      <c r="I615" s="51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</row>
    <row r="616" spans="1:25" ht="35.25" customHeight="1">
      <c r="A616" s="28"/>
      <c r="B616" s="28"/>
      <c r="C616" s="28"/>
      <c r="D616" s="28"/>
      <c r="E616" s="28"/>
      <c r="F616" s="28"/>
      <c r="G616" s="28"/>
      <c r="H616" s="51"/>
      <c r="I616" s="51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</row>
    <row r="617" spans="1:25" ht="35.25" customHeight="1">
      <c r="A617" s="28"/>
      <c r="B617" s="28"/>
      <c r="C617" s="28"/>
      <c r="D617" s="28"/>
      <c r="E617" s="28"/>
      <c r="F617" s="28"/>
      <c r="G617" s="28"/>
      <c r="H617" s="51"/>
      <c r="I617" s="51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</row>
    <row r="618" spans="1:25" ht="35.25" customHeight="1">
      <c r="A618" s="28"/>
      <c r="B618" s="28"/>
      <c r="C618" s="28"/>
      <c r="D618" s="28"/>
      <c r="E618" s="28"/>
      <c r="F618" s="28"/>
      <c r="G618" s="28"/>
      <c r="H618" s="51"/>
      <c r="I618" s="51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</row>
    <row r="619" spans="1:25" ht="35.25" customHeight="1">
      <c r="A619" s="28"/>
      <c r="B619" s="28"/>
      <c r="C619" s="28"/>
      <c r="D619" s="28"/>
      <c r="E619" s="28"/>
      <c r="F619" s="28"/>
      <c r="G619" s="28"/>
      <c r="H619" s="51"/>
      <c r="I619" s="51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</row>
    <row r="620" spans="1:25" ht="35.25" customHeight="1">
      <c r="A620" s="28"/>
      <c r="B620" s="28"/>
      <c r="C620" s="28"/>
      <c r="D620" s="28"/>
      <c r="E620" s="28"/>
      <c r="F620" s="28"/>
      <c r="G620" s="28"/>
      <c r="H620" s="51"/>
      <c r="I620" s="51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</row>
    <row r="621" spans="1:25" ht="35.25" customHeight="1">
      <c r="A621" s="28"/>
      <c r="B621" s="28"/>
      <c r="C621" s="28"/>
      <c r="D621" s="28"/>
      <c r="E621" s="28"/>
      <c r="F621" s="28"/>
      <c r="G621" s="28"/>
      <c r="H621" s="51"/>
      <c r="I621" s="51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</row>
    <row r="622" spans="1:25" ht="35.25" customHeight="1">
      <c r="A622" s="28"/>
      <c r="B622" s="28"/>
      <c r="C622" s="28"/>
      <c r="D622" s="28"/>
      <c r="E622" s="28"/>
      <c r="F622" s="28"/>
      <c r="G622" s="28"/>
      <c r="H622" s="51"/>
      <c r="I622" s="51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</row>
    <row r="623" spans="1:25" ht="35.25" customHeight="1">
      <c r="A623" s="28"/>
      <c r="B623" s="28"/>
      <c r="C623" s="28"/>
      <c r="D623" s="28"/>
      <c r="E623" s="28"/>
      <c r="F623" s="28"/>
      <c r="G623" s="28"/>
      <c r="H623" s="51"/>
      <c r="I623" s="51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</row>
    <row r="624" spans="1:25" ht="35.25" customHeight="1">
      <c r="A624" s="28"/>
      <c r="B624" s="28"/>
      <c r="C624" s="28"/>
      <c r="D624" s="28"/>
      <c r="E624" s="28"/>
      <c r="F624" s="28"/>
      <c r="G624" s="28"/>
      <c r="H624" s="51"/>
      <c r="I624" s="51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</row>
    <row r="625" spans="1:25" ht="35.25" customHeight="1">
      <c r="A625" s="28"/>
      <c r="B625" s="28"/>
      <c r="C625" s="28"/>
      <c r="D625" s="28"/>
      <c r="E625" s="28"/>
      <c r="F625" s="28"/>
      <c r="G625" s="28"/>
      <c r="H625" s="51"/>
      <c r="I625" s="51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</row>
    <row r="626" spans="1:25" ht="35.25" customHeight="1">
      <c r="A626" s="28"/>
      <c r="B626" s="28"/>
      <c r="C626" s="28"/>
      <c r="D626" s="28"/>
      <c r="E626" s="28"/>
      <c r="F626" s="28"/>
      <c r="G626" s="28"/>
      <c r="H626" s="51"/>
      <c r="I626" s="51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</row>
    <row r="627" spans="1:25" ht="35.25" customHeight="1">
      <c r="A627" s="28"/>
      <c r="B627" s="28"/>
      <c r="C627" s="28"/>
      <c r="D627" s="28"/>
      <c r="E627" s="28"/>
      <c r="F627" s="28"/>
      <c r="G627" s="28"/>
      <c r="H627" s="51"/>
      <c r="I627" s="51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</row>
    <row r="628" spans="1:25" ht="35.25" customHeight="1">
      <c r="A628" s="28"/>
      <c r="B628" s="28"/>
      <c r="C628" s="28"/>
      <c r="D628" s="28"/>
      <c r="E628" s="28"/>
      <c r="F628" s="28"/>
      <c r="G628" s="28"/>
      <c r="H628" s="51"/>
      <c r="I628" s="51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</row>
    <row r="629" spans="1:25" ht="35.25" customHeight="1">
      <c r="A629" s="28"/>
      <c r="B629" s="28"/>
      <c r="C629" s="28"/>
      <c r="D629" s="28"/>
      <c r="E629" s="28"/>
      <c r="F629" s="28"/>
      <c r="G629" s="28"/>
      <c r="H629" s="51"/>
      <c r="I629" s="51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</row>
    <row r="630" spans="1:25" ht="35.25" customHeight="1">
      <c r="A630" s="28"/>
      <c r="B630" s="28"/>
      <c r="C630" s="28"/>
      <c r="D630" s="28"/>
      <c r="E630" s="28"/>
      <c r="F630" s="28"/>
      <c r="G630" s="28"/>
      <c r="H630" s="51"/>
      <c r="I630" s="51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</row>
    <row r="631" spans="1:25" ht="35.25" customHeight="1">
      <c r="A631" s="28"/>
      <c r="B631" s="28"/>
      <c r="C631" s="28"/>
      <c r="D631" s="28"/>
      <c r="E631" s="28"/>
      <c r="F631" s="28"/>
      <c r="G631" s="28"/>
      <c r="H631" s="51"/>
      <c r="I631" s="51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</row>
    <row r="632" spans="1:25" ht="35.25" customHeight="1">
      <c r="A632" s="28"/>
      <c r="B632" s="28"/>
      <c r="C632" s="28"/>
      <c r="D632" s="28"/>
      <c r="E632" s="28"/>
      <c r="F632" s="28"/>
      <c r="G632" s="28"/>
      <c r="H632" s="51"/>
      <c r="I632" s="51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</row>
    <row r="633" spans="1:25" ht="35.25" customHeight="1">
      <c r="A633" s="28"/>
      <c r="B633" s="28"/>
      <c r="C633" s="28"/>
      <c r="D633" s="28"/>
      <c r="E633" s="28"/>
      <c r="F633" s="28"/>
      <c r="G633" s="28"/>
      <c r="H633" s="51"/>
      <c r="I633" s="51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</row>
    <row r="634" spans="1:25" ht="35.25" customHeight="1">
      <c r="A634" s="28"/>
      <c r="B634" s="28"/>
      <c r="C634" s="28"/>
      <c r="D634" s="28"/>
      <c r="E634" s="28"/>
      <c r="F634" s="28"/>
      <c r="G634" s="28"/>
      <c r="H634" s="51"/>
      <c r="I634" s="51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</row>
    <row r="635" spans="1:25" ht="35.25" customHeight="1">
      <c r="A635" s="28"/>
      <c r="B635" s="28"/>
      <c r="C635" s="28"/>
      <c r="D635" s="28"/>
      <c r="E635" s="28"/>
      <c r="F635" s="28"/>
      <c r="G635" s="28"/>
      <c r="H635" s="51"/>
      <c r="I635" s="51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</row>
    <row r="636" spans="1:25" ht="35.25" customHeight="1">
      <c r="A636" s="28"/>
      <c r="B636" s="28"/>
      <c r="C636" s="28"/>
      <c r="D636" s="28"/>
      <c r="E636" s="28"/>
      <c r="F636" s="28"/>
      <c r="G636" s="28"/>
      <c r="H636" s="51"/>
      <c r="I636" s="51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</row>
    <row r="637" spans="1:25" ht="35.25" customHeight="1">
      <c r="A637" s="28"/>
      <c r="B637" s="28"/>
      <c r="C637" s="28"/>
      <c r="D637" s="28"/>
      <c r="E637" s="28"/>
      <c r="F637" s="28"/>
      <c r="G637" s="28"/>
      <c r="H637" s="51"/>
      <c r="I637" s="51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</row>
    <row r="638" spans="1:25" ht="35.25" customHeight="1">
      <c r="A638" s="28"/>
      <c r="B638" s="28"/>
      <c r="C638" s="28"/>
      <c r="D638" s="28"/>
      <c r="E638" s="28"/>
      <c r="F638" s="28"/>
      <c r="G638" s="28"/>
      <c r="H638" s="51"/>
      <c r="I638" s="51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</row>
    <row r="639" spans="1:25" ht="35.25" customHeight="1">
      <c r="A639" s="28"/>
      <c r="B639" s="28"/>
      <c r="C639" s="28"/>
      <c r="D639" s="28"/>
      <c r="E639" s="28"/>
      <c r="F639" s="28"/>
      <c r="G639" s="28"/>
      <c r="H639" s="51"/>
      <c r="I639" s="51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</row>
    <row r="640" spans="1:25" ht="35.25" customHeight="1">
      <c r="A640" s="28"/>
      <c r="B640" s="28"/>
      <c r="C640" s="28"/>
      <c r="D640" s="28"/>
      <c r="E640" s="28"/>
      <c r="F640" s="28"/>
      <c r="G640" s="28"/>
      <c r="H640" s="51"/>
      <c r="I640" s="51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</row>
    <row r="641" spans="1:25" ht="35.25" customHeight="1">
      <c r="A641" s="28"/>
      <c r="B641" s="28"/>
      <c r="C641" s="28"/>
      <c r="D641" s="28"/>
      <c r="E641" s="28"/>
      <c r="F641" s="28"/>
      <c r="G641" s="28"/>
      <c r="H641" s="51"/>
      <c r="I641" s="51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</row>
    <row r="642" spans="1:25" ht="35.25" customHeight="1">
      <c r="A642" s="28"/>
      <c r="B642" s="28"/>
      <c r="C642" s="28"/>
      <c r="D642" s="28"/>
      <c r="E642" s="28"/>
      <c r="F642" s="28"/>
      <c r="G642" s="28"/>
      <c r="H642" s="51"/>
      <c r="I642" s="51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</row>
    <row r="643" spans="1:25" ht="35.25" customHeight="1">
      <c r="A643" s="28"/>
      <c r="B643" s="28"/>
      <c r="C643" s="28"/>
      <c r="D643" s="28"/>
      <c r="E643" s="28"/>
      <c r="F643" s="28"/>
      <c r="G643" s="28"/>
      <c r="H643" s="51"/>
      <c r="I643" s="51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</row>
    <row r="644" spans="1:25" ht="35.25" customHeight="1">
      <c r="A644" s="28"/>
      <c r="B644" s="28"/>
      <c r="C644" s="28"/>
      <c r="D644" s="28"/>
      <c r="E644" s="28"/>
      <c r="F644" s="28"/>
      <c r="G644" s="28"/>
      <c r="H644" s="51"/>
      <c r="I644" s="51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35.25" customHeight="1">
      <c r="A645" s="28"/>
      <c r="B645" s="28"/>
      <c r="C645" s="28"/>
      <c r="D645" s="28"/>
      <c r="E645" s="28"/>
      <c r="F645" s="28"/>
      <c r="G645" s="28"/>
      <c r="H645" s="51"/>
      <c r="I645" s="51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</row>
    <row r="646" spans="1:25" ht="35.25" customHeight="1">
      <c r="A646" s="28"/>
      <c r="B646" s="28"/>
      <c r="C646" s="28"/>
      <c r="D646" s="28"/>
      <c r="E646" s="28"/>
      <c r="F646" s="28"/>
      <c r="G646" s="28"/>
      <c r="H646" s="51"/>
      <c r="I646" s="51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</row>
    <row r="647" spans="1:25" ht="35.25" customHeight="1">
      <c r="A647" s="28"/>
      <c r="B647" s="28"/>
      <c r="C647" s="28"/>
      <c r="D647" s="28"/>
      <c r="E647" s="28"/>
      <c r="F647" s="28"/>
      <c r="G647" s="28"/>
      <c r="H647" s="51"/>
      <c r="I647" s="51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</row>
    <row r="648" spans="1:25" ht="35.25" customHeight="1">
      <c r="A648" s="28"/>
      <c r="B648" s="28"/>
      <c r="C648" s="28"/>
      <c r="D648" s="28"/>
      <c r="E648" s="28"/>
      <c r="F648" s="28"/>
      <c r="G648" s="28"/>
      <c r="H648" s="51"/>
      <c r="I648" s="51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</row>
    <row r="649" spans="1:25" ht="35.25" customHeight="1">
      <c r="A649" s="28"/>
      <c r="B649" s="28"/>
      <c r="C649" s="28"/>
      <c r="D649" s="28"/>
      <c r="E649" s="28"/>
      <c r="F649" s="28"/>
      <c r="G649" s="28"/>
      <c r="H649" s="51"/>
      <c r="I649" s="51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</row>
    <row r="650" spans="1:25" ht="35.25" customHeight="1">
      <c r="A650" s="28"/>
      <c r="B650" s="28"/>
      <c r="C650" s="28"/>
      <c r="D650" s="28"/>
      <c r="E650" s="28"/>
      <c r="F650" s="28"/>
      <c r="G650" s="28"/>
      <c r="H650" s="51"/>
      <c r="I650" s="51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</row>
    <row r="651" spans="1:25" ht="35.25" customHeight="1">
      <c r="A651" s="28"/>
      <c r="B651" s="28"/>
      <c r="C651" s="28"/>
      <c r="D651" s="28"/>
      <c r="E651" s="28"/>
      <c r="F651" s="28"/>
      <c r="G651" s="28"/>
      <c r="H651" s="51"/>
      <c r="I651" s="51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</row>
    <row r="652" spans="1:25" ht="35.25" customHeight="1">
      <c r="A652" s="28"/>
      <c r="B652" s="28"/>
      <c r="C652" s="28"/>
      <c r="D652" s="28"/>
      <c r="E652" s="28"/>
      <c r="F652" s="28"/>
      <c r="G652" s="28"/>
      <c r="H652" s="51"/>
      <c r="I652" s="51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</row>
    <row r="653" spans="1:25" ht="35.25" customHeight="1">
      <c r="A653" s="28"/>
      <c r="B653" s="28"/>
      <c r="C653" s="28"/>
      <c r="D653" s="28"/>
      <c r="E653" s="28"/>
      <c r="F653" s="28"/>
      <c r="G653" s="28"/>
      <c r="H653" s="51"/>
      <c r="I653" s="51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</row>
    <row r="654" spans="1:25" ht="35.25" customHeight="1">
      <c r="A654" s="28"/>
      <c r="B654" s="28"/>
      <c r="C654" s="28"/>
      <c r="D654" s="28"/>
      <c r="E654" s="28"/>
      <c r="F654" s="28"/>
      <c r="G654" s="28"/>
      <c r="H654" s="51"/>
      <c r="I654" s="51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</row>
    <row r="655" spans="1:25" ht="35.25" customHeight="1">
      <c r="A655" s="28"/>
      <c r="B655" s="28"/>
      <c r="C655" s="28"/>
      <c r="D655" s="28"/>
      <c r="E655" s="28"/>
      <c r="F655" s="28"/>
      <c r="G655" s="28"/>
      <c r="H655" s="51"/>
      <c r="I655" s="51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</row>
    <row r="656" spans="1:25" ht="35.25" customHeight="1">
      <c r="A656" s="28"/>
      <c r="B656" s="28"/>
      <c r="C656" s="28"/>
      <c r="D656" s="28"/>
      <c r="E656" s="28"/>
      <c r="F656" s="28"/>
      <c r="G656" s="28"/>
      <c r="H656" s="51"/>
      <c r="I656" s="51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</row>
    <row r="657" spans="1:25" ht="35.25" customHeight="1">
      <c r="A657" s="28"/>
      <c r="B657" s="28"/>
      <c r="C657" s="28"/>
      <c r="D657" s="28"/>
      <c r="E657" s="28"/>
      <c r="F657" s="28"/>
      <c r="G657" s="28"/>
      <c r="H657" s="51"/>
      <c r="I657" s="51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</row>
    <row r="658" spans="1:25" ht="35.25" customHeight="1">
      <c r="A658" s="28"/>
      <c r="B658" s="28"/>
      <c r="C658" s="28"/>
      <c r="D658" s="28"/>
      <c r="E658" s="28"/>
      <c r="F658" s="28"/>
      <c r="G658" s="28"/>
      <c r="H658" s="51"/>
      <c r="I658" s="51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</row>
    <row r="659" spans="1:25" ht="35.25" customHeight="1">
      <c r="A659" s="28"/>
      <c r="B659" s="28"/>
      <c r="C659" s="28"/>
      <c r="D659" s="28"/>
      <c r="E659" s="28"/>
      <c r="F659" s="28"/>
      <c r="G659" s="28"/>
      <c r="H659" s="51"/>
      <c r="I659" s="51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</row>
    <row r="660" spans="1:25" ht="35.25" customHeight="1">
      <c r="A660" s="28"/>
      <c r="B660" s="28"/>
      <c r="C660" s="28"/>
      <c r="D660" s="28"/>
      <c r="E660" s="28"/>
      <c r="F660" s="28"/>
      <c r="G660" s="28"/>
      <c r="H660" s="51"/>
      <c r="I660" s="51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</row>
    <row r="661" spans="1:25" ht="35.25" customHeight="1">
      <c r="A661" s="28"/>
      <c r="B661" s="28"/>
      <c r="C661" s="28"/>
      <c r="D661" s="28"/>
      <c r="E661" s="28"/>
      <c r="F661" s="28"/>
      <c r="G661" s="28"/>
      <c r="H661" s="51"/>
      <c r="I661" s="51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</row>
    <row r="662" spans="1:25" ht="35.25" customHeight="1">
      <c r="A662" s="28"/>
      <c r="B662" s="28"/>
      <c r="C662" s="28"/>
      <c r="D662" s="28"/>
      <c r="E662" s="28"/>
      <c r="F662" s="28"/>
      <c r="G662" s="28"/>
      <c r="H662" s="51"/>
      <c r="I662" s="51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</row>
    <row r="663" spans="1:25" ht="35.25" customHeight="1">
      <c r="A663" s="28"/>
      <c r="B663" s="28"/>
      <c r="C663" s="28"/>
      <c r="D663" s="28"/>
      <c r="E663" s="28"/>
      <c r="F663" s="28"/>
      <c r="G663" s="28"/>
      <c r="H663" s="51"/>
      <c r="I663" s="51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</row>
    <row r="664" spans="1:25" ht="35.25" customHeight="1">
      <c r="A664" s="28"/>
      <c r="B664" s="28"/>
      <c r="C664" s="28"/>
      <c r="D664" s="28"/>
      <c r="E664" s="28"/>
      <c r="F664" s="28"/>
      <c r="G664" s="28"/>
      <c r="H664" s="51"/>
      <c r="I664" s="51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</row>
    <row r="665" spans="1:25" ht="35.25" customHeight="1">
      <c r="A665" s="28"/>
      <c r="B665" s="28"/>
      <c r="C665" s="28"/>
      <c r="D665" s="28"/>
      <c r="E665" s="28"/>
      <c r="F665" s="28"/>
      <c r="G665" s="28"/>
      <c r="H665" s="51"/>
      <c r="I665" s="51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</row>
    <row r="666" spans="1:25" ht="35.25" customHeight="1">
      <c r="A666" s="28"/>
      <c r="B666" s="28"/>
      <c r="C666" s="28"/>
      <c r="D666" s="28"/>
      <c r="E666" s="28"/>
      <c r="F666" s="28"/>
      <c r="G666" s="28"/>
      <c r="H666" s="51"/>
      <c r="I666" s="51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</row>
    <row r="667" spans="1:25" ht="35.25" customHeight="1">
      <c r="A667" s="28"/>
      <c r="B667" s="28"/>
      <c r="C667" s="28"/>
      <c r="D667" s="28"/>
      <c r="E667" s="28"/>
      <c r="F667" s="28"/>
      <c r="G667" s="28"/>
      <c r="H667" s="51"/>
      <c r="I667" s="51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</row>
    <row r="668" spans="1:25" ht="35.25" customHeight="1">
      <c r="A668" s="28"/>
      <c r="B668" s="28"/>
      <c r="C668" s="28"/>
      <c r="D668" s="28"/>
      <c r="E668" s="28"/>
      <c r="F668" s="28"/>
      <c r="G668" s="28"/>
      <c r="H668" s="51"/>
      <c r="I668" s="51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</row>
    <row r="669" spans="1:25" ht="35.25" customHeight="1">
      <c r="A669" s="28"/>
      <c r="B669" s="28"/>
      <c r="C669" s="28"/>
      <c r="D669" s="28"/>
      <c r="E669" s="28"/>
      <c r="F669" s="28"/>
      <c r="G669" s="28"/>
      <c r="H669" s="51"/>
      <c r="I669" s="51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</row>
    <row r="670" spans="1:25" ht="35.25" customHeight="1">
      <c r="A670" s="28"/>
      <c r="B670" s="28"/>
      <c r="C670" s="28"/>
      <c r="D670" s="28"/>
      <c r="E670" s="28"/>
      <c r="F670" s="28"/>
      <c r="G670" s="28"/>
      <c r="H670" s="51"/>
      <c r="I670" s="51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</row>
    <row r="671" spans="1:25" ht="35.25" customHeight="1">
      <c r="A671" s="28"/>
      <c r="B671" s="28"/>
      <c r="C671" s="28"/>
      <c r="D671" s="28"/>
      <c r="E671" s="28"/>
      <c r="F671" s="28"/>
      <c r="G671" s="28"/>
      <c r="H671" s="51"/>
      <c r="I671" s="51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</row>
    <row r="672" spans="1:25" ht="35.25" customHeight="1">
      <c r="A672" s="28"/>
      <c r="B672" s="28"/>
      <c r="C672" s="28"/>
      <c r="D672" s="28"/>
      <c r="E672" s="28"/>
      <c r="F672" s="28"/>
      <c r="G672" s="28"/>
      <c r="H672" s="51"/>
      <c r="I672" s="51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</row>
    <row r="673" spans="1:25" ht="35.25" customHeight="1">
      <c r="A673" s="28"/>
      <c r="B673" s="28"/>
      <c r="C673" s="28"/>
      <c r="D673" s="28"/>
      <c r="E673" s="28"/>
      <c r="F673" s="28"/>
      <c r="G673" s="28"/>
      <c r="H673" s="51"/>
      <c r="I673" s="51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</row>
    <row r="674" spans="1:25" ht="35.25" customHeight="1">
      <c r="A674" s="28"/>
      <c r="B674" s="28"/>
      <c r="C674" s="28"/>
      <c r="D674" s="28"/>
      <c r="E674" s="28"/>
      <c r="F674" s="28"/>
      <c r="G674" s="28"/>
      <c r="H674" s="51"/>
      <c r="I674" s="51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</row>
    <row r="675" spans="1:25" ht="35.25" customHeight="1">
      <c r="A675" s="28"/>
      <c r="B675" s="28"/>
      <c r="C675" s="28"/>
      <c r="D675" s="28"/>
      <c r="E675" s="28"/>
      <c r="F675" s="28"/>
      <c r="G675" s="28"/>
      <c r="H675" s="51"/>
      <c r="I675" s="51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</row>
    <row r="676" spans="1:25" ht="35.25" customHeight="1">
      <c r="A676" s="28"/>
      <c r="B676" s="28"/>
      <c r="C676" s="28"/>
      <c r="D676" s="28"/>
      <c r="E676" s="28"/>
      <c r="F676" s="28"/>
      <c r="G676" s="28"/>
      <c r="H676" s="51"/>
      <c r="I676" s="51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</row>
    <row r="677" spans="1:25" ht="35.25" customHeight="1">
      <c r="A677" s="28"/>
      <c r="B677" s="28"/>
      <c r="C677" s="28"/>
      <c r="D677" s="28"/>
      <c r="E677" s="28"/>
      <c r="F677" s="28"/>
      <c r="G677" s="28"/>
      <c r="H677" s="51"/>
      <c r="I677" s="51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</row>
    <row r="678" spans="1:25" ht="35.25" customHeight="1">
      <c r="A678" s="28"/>
      <c r="B678" s="28"/>
      <c r="C678" s="28"/>
      <c r="D678" s="28"/>
      <c r="E678" s="28"/>
      <c r="F678" s="28"/>
      <c r="G678" s="28"/>
      <c r="H678" s="51"/>
      <c r="I678" s="51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</row>
    <row r="679" spans="1:25" ht="35.25" customHeight="1">
      <c r="A679" s="28"/>
      <c r="B679" s="28"/>
      <c r="C679" s="28"/>
      <c r="D679" s="28"/>
      <c r="E679" s="28"/>
      <c r="F679" s="28"/>
      <c r="G679" s="28"/>
      <c r="H679" s="51"/>
      <c r="I679" s="51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</row>
    <row r="680" spans="1:25" ht="35.25" customHeight="1">
      <c r="A680" s="28"/>
      <c r="B680" s="28"/>
      <c r="C680" s="28"/>
      <c r="D680" s="28"/>
      <c r="E680" s="28"/>
      <c r="F680" s="28"/>
      <c r="G680" s="28"/>
      <c r="H680" s="51"/>
      <c r="I680" s="51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</row>
    <row r="681" spans="1:25" ht="35.25" customHeight="1">
      <c r="A681" s="28"/>
      <c r="B681" s="28"/>
      <c r="C681" s="28"/>
      <c r="D681" s="28"/>
      <c r="E681" s="28"/>
      <c r="F681" s="28"/>
      <c r="G681" s="28"/>
      <c r="H681" s="51"/>
      <c r="I681" s="51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</row>
    <row r="682" spans="1:25" ht="35.25" customHeight="1">
      <c r="A682" s="28"/>
      <c r="B682" s="28"/>
      <c r="C682" s="28"/>
      <c r="D682" s="28"/>
      <c r="E682" s="28"/>
      <c r="F682" s="28"/>
      <c r="G682" s="28"/>
      <c r="H682" s="51"/>
      <c r="I682" s="51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</row>
    <row r="683" spans="1:25" ht="35.25" customHeight="1">
      <c r="A683" s="28"/>
      <c r="B683" s="28"/>
      <c r="C683" s="28"/>
      <c r="D683" s="28"/>
      <c r="E683" s="28"/>
      <c r="F683" s="28"/>
      <c r="G683" s="28"/>
      <c r="H683" s="51"/>
      <c r="I683" s="51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</row>
    <row r="684" spans="1:25" ht="35.25" customHeight="1">
      <c r="A684" s="28"/>
      <c r="B684" s="28"/>
      <c r="C684" s="28"/>
      <c r="D684" s="28"/>
      <c r="E684" s="28"/>
      <c r="F684" s="28"/>
      <c r="G684" s="28"/>
      <c r="H684" s="51"/>
      <c r="I684" s="51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</row>
    <row r="685" spans="1:25" ht="35.25" customHeight="1">
      <c r="A685" s="28"/>
      <c r="B685" s="28"/>
      <c r="C685" s="28"/>
      <c r="D685" s="28"/>
      <c r="E685" s="28"/>
      <c r="F685" s="28"/>
      <c r="G685" s="28"/>
      <c r="H685" s="51"/>
      <c r="I685" s="51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</row>
    <row r="686" spans="1:25" ht="35.25" customHeight="1">
      <c r="A686" s="28"/>
      <c r="B686" s="28"/>
      <c r="C686" s="28"/>
      <c r="D686" s="28"/>
      <c r="E686" s="28"/>
      <c r="F686" s="28"/>
      <c r="G686" s="28"/>
      <c r="H686" s="51"/>
      <c r="I686" s="51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</row>
    <row r="687" spans="1:25" ht="35.25" customHeight="1">
      <c r="A687" s="28"/>
      <c r="B687" s="28"/>
      <c r="C687" s="28"/>
      <c r="D687" s="28"/>
      <c r="E687" s="28"/>
      <c r="F687" s="28"/>
      <c r="G687" s="28"/>
      <c r="H687" s="51"/>
      <c r="I687" s="51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</row>
    <row r="688" spans="1:25" ht="35.25" customHeight="1">
      <c r="A688" s="28"/>
      <c r="B688" s="28"/>
      <c r="C688" s="28"/>
      <c r="D688" s="28"/>
      <c r="E688" s="28"/>
      <c r="F688" s="28"/>
      <c r="G688" s="28"/>
      <c r="H688" s="51"/>
      <c r="I688" s="51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</row>
    <row r="689" spans="1:25" ht="35.25" customHeight="1">
      <c r="A689" s="28"/>
      <c r="B689" s="28"/>
      <c r="C689" s="28"/>
      <c r="D689" s="28"/>
      <c r="E689" s="28"/>
      <c r="F689" s="28"/>
      <c r="G689" s="28"/>
      <c r="H689" s="51"/>
      <c r="I689" s="51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</row>
    <row r="690" spans="1:25" ht="35.25" customHeight="1">
      <c r="A690" s="28"/>
      <c r="B690" s="28"/>
      <c r="C690" s="28"/>
      <c r="D690" s="28"/>
      <c r="E690" s="28"/>
      <c r="F690" s="28"/>
      <c r="G690" s="28"/>
      <c r="H690" s="51"/>
      <c r="I690" s="51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</row>
    <row r="691" spans="1:25" ht="35.25" customHeight="1">
      <c r="A691" s="28"/>
      <c r="B691" s="28"/>
      <c r="C691" s="28"/>
      <c r="D691" s="28"/>
      <c r="E691" s="28"/>
      <c r="F691" s="28"/>
      <c r="G691" s="28"/>
      <c r="H691" s="51"/>
      <c r="I691" s="51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</row>
    <row r="692" spans="1:25" ht="35.25" customHeight="1">
      <c r="A692" s="28"/>
      <c r="B692" s="28"/>
      <c r="C692" s="28"/>
      <c r="D692" s="28"/>
      <c r="E692" s="28"/>
      <c r="F692" s="28"/>
      <c r="G692" s="28"/>
      <c r="H692" s="51"/>
      <c r="I692" s="51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</row>
    <row r="693" spans="1:25" ht="35.25" customHeight="1">
      <c r="A693" s="28"/>
      <c r="B693" s="28"/>
      <c r="C693" s="28"/>
      <c r="D693" s="28"/>
      <c r="E693" s="28"/>
      <c r="F693" s="28"/>
      <c r="G693" s="28"/>
      <c r="H693" s="51"/>
      <c r="I693" s="51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</row>
    <row r="694" spans="1:25" ht="35.25" customHeight="1">
      <c r="A694" s="28"/>
      <c r="B694" s="28"/>
      <c r="C694" s="28"/>
      <c r="D694" s="28"/>
      <c r="E694" s="28"/>
      <c r="F694" s="28"/>
      <c r="G694" s="28"/>
      <c r="H694" s="51"/>
      <c r="I694" s="51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</row>
    <row r="695" spans="1:25" ht="35.25" customHeight="1">
      <c r="A695" s="28"/>
      <c r="B695" s="28"/>
      <c r="C695" s="28"/>
      <c r="D695" s="28"/>
      <c r="E695" s="28"/>
      <c r="F695" s="28"/>
      <c r="G695" s="28"/>
      <c r="H695" s="51"/>
      <c r="I695" s="51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</row>
    <row r="696" spans="1:25" ht="35.25" customHeight="1">
      <c r="A696" s="28"/>
      <c r="B696" s="28"/>
      <c r="C696" s="28"/>
      <c r="D696" s="28"/>
      <c r="E696" s="28"/>
      <c r="F696" s="28"/>
      <c r="G696" s="28"/>
      <c r="H696" s="51"/>
      <c r="I696" s="51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</row>
    <row r="697" spans="1:25" ht="35.25" customHeight="1">
      <c r="A697" s="28"/>
      <c r="B697" s="28"/>
      <c r="C697" s="28"/>
      <c r="D697" s="28"/>
      <c r="E697" s="28"/>
      <c r="F697" s="28"/>
      <c r="G697" s="28"/>
      <c r="H697" s="51"/>
      <c r="I697" s="51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</row>
    <row r="698" spans="1:25" ht="35.25" customHeight="1">
      <c r="A698" s="28"/>
      <c r="B698" s="28"/>
      <c r="C698" s="28"/>
      <c r="D698" s="28"/>
      <c r="E698" s="28"/>
      <c r="F698" s="28"/>
      <c r="G698" s="28"/>
      <c r="H698" s="51"/>
      <c r="I698" s="51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</row>
    <row r="699" spans="1:25" ht="35.25" customHeight="1">
      <c r="A699" s="28"/>
      <c r="B699" s="28"/>
      <c r="C699" s="28"/>
      <c r="D699" s="28"/>
      <c r="E699" s="28"/>
      <c r="F699" s="28"/>
      <c r="G699" s="28"/>
      <c r="H699" s="51"/>
      <c r="I699" s="51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</row>
    <row r="700" spans="1:25" ht="35.25" customHeight="1">
      <c r="A700" s="28"/>
      <c r="B700" s="28"/>
      <c r="C700" s="28"/>
      <c r="D700" s="28"/>
      <c r="E700" s="28"/>
      <c r="F700" s="28"/>
      <c r="G700" s="28"/>
      <c r="H700" s="51"/>
      <c r="I700" s="51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</row>
    <row r="701" spans="1:25" ht="35.25" customHeight="1">
      <c r="A701" s="28"/>
      <c r="B701" s="28"/>
      <c r="C701" s="28"/>
      <c r="D701" s="28"/>
      <c r="E701" s="28"/>
      <c r="F701" s="28"/>
      <c r="G701" s="28"/>
      <c r="H701" s="51"/>
      <c r="I701" s="51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</row>
    <row r="702" spans="1:25" ht="35.25" customHeight="1">
      <c r="A702" s="28"/>
      <c r="B702" s="28"/>
      <c r="C702" s="28"/>
      <c r="D702" s="28"/>
      <c r="E702" s="28"/>
      <c r="F702" s="28"/>
      <c r="G702" s="28"/>
      <c r="H702" s="51"/>
      <c r="I702" s="51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</row>
    <row r="703" spans="1:25" ht="35.25" customHeight="1">
      <c r="A703" s="28"/>
      <c r="B703" s="28"/>
      <c r="C703" s="28"/>
      <c r="D703" s="28"/>
      <c r="E703" s="28"/>
      <c r="F703" s="28"/>
      <c r="G703" s="28"/>
      <c r="H703" s="51"/>
      <c r="I703" s="51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</row>
    <row r="704" spans="1:25" ht="35.25" customHeight="1">
      <c r="A704" s="28"/>
      <c r="B704" s="28"/>
      <c r="C704" s="28"/>
      <c r="D704" s="28"/>
      <c r="E704" s="28"/>
      <c r="F704" s="28"/>
      <c r="G704" s="28"/>
      <c r="H704" s="51"/>
      <c r="I704" s="51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</row>
    <row r="705" spans="1:25" ht="35.25" customHeight="1">
      <c r="A705" s="28"/>
      <c r="B705" s="28"/>
      <c r="C705" s="28"/>
      <c r="D705" s="28"/>
      <c r="E705" s="28"/>
      <c r="F705" s="28"/>
      <c r="G705" s="28"/>
      <c r="H705" s="51"/>
      <c r="I705" s="51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</row>
    <row r="706" spans="1:25" ht="35.25" customHeight="1">
      <c r="A706" s="28"/>
      <c r="B706" s="28"/>
      <c r="C706" s="28"/>
      <c r="D706" s="28"/>
      <c r="E706" s="28"/>
      <c r="F706" s="28"/>
      <c r="G706" s="28"/>
      <c r="H706" s="51"/>
      <c r="I706" s="51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</row>
    <row r="707" spans="1:25" ht="35.25" customHeight="1">
      <c r="A707" s="28"/>
      <c r="B707" s="28"/>
      <c r="C707" s="28"/>
      <c r="D707" s="28"/>
      <c r="E707" s="28"/>
      <c r="F707" s="28"/>
      <c r="G707" s="28"/>
      <c r="H707" s="51"/>
      <c r="I707" s="51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</row>
    <row r="708" spans="1:25" ht="35.25" customHeight="1">
      <c r="A708" s="28"/>
      <c r="B708" s="28"/>
      <c r="C708" s="28"/>
      <c r="D708" s="28"/>
      <c r="E708" s="28"/>
      <c r="F708" s="28"/>
      <c r="G708" s="28"/>
      <c r="H708" s="51"/>
      <c r="I708" s="51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35.25" customHeight="1">
      <c r="A709" s="28"/>
      <c r="B709" s="28"/>
      <c r="C709" s="28"/>
      <c r="D709" s="28"/>
      <c r="E709" s="28"/>
      <c r="F709" s="28"/>
      <c r="G709" s="28"/>
      <c r="H709" s="51"/>
      <c r="I709" s="51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</row>
    <row r="710" spans="1:25" ht="35.25" customHeight="1">
      <c r="A710" s="28"/>
      <c r="B710" s="28"/>
      <c r="C710" s="28"/>
      <c r="D710" s="28"/>
      <c r="E710" s="28"/>
      <c r="F710" s="28"/>
      <c r="G710" s="28"/>
      <c r="H710" s="51"/>
      <c r="I710" s="51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</row>
    <row r="711" spans="1:25" ht="35.25" customHeight="1">
      <c r="A711" s="28"/>
      <c r="B711" s="28"/>
      <c r="C711" s="28"/>
      <c r="D711" s="28"/>
      <c r="E711" s="28"/>
      <c r="F711" s="28"/>
      <c r="G711" s="28"/>
      <c r="H711" s="51"/>
      <c r="I711" s="51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</row>
    <row r="712" spans="1:25" ht="35.25" customHeight="1">
      <c r="A712" s="28"/>
      <c r="B712" s="28"/>
      <c r="C712" s="28"/>
      <c r="D712" s="28"/>
      <c r="E712" s="28"/>
      <c r="F712" s="28"/>
      <c r="G712" s="28"/>
      <c r="H712" s="51"/>
      <c r="I712" s="51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</row>
    <row r="713" spans="1:25" ht="35.25" customHeight="1">
      <c r="A713" s="28"/>
      <c r="B713" s="28"/>
      <c r="C713" s="28"/>
      <c r="D713" s="28"/>
      <c r="E713" s="28"/>
      <c r="F713" s="28"/>
      <c r="G713" s="28"/>
      <c r="H713" s="51"/>
      <c r="I713" s="51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</row>
    <row r="714" spans="1:25" ht="35.25" customHeight="1">
      <c r="A714" s="28"/>
      <c r="B714" s="28"/>
      <c r="C714" s="28"/>
      <c r="D714" s="28"/>
      <c r="E714" s="28"/>
      <c r="F714" s="28"/>
      <c r="G714" s="28"/>
      <c r="H714" s="51"/>
      <c r="I714" s="51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</row>
    <row r="715" spans="1:25" ht="35.25" customHeight="1">
      <c r="A715" s="28"/>
      <c r="B715" s="28"/>
      <c r="C715" s="28"/>
      <c r="D715" s="28"/>
      <c r="E715" s="28"/>
      <c r="F715" s="28"/>
      <c r="G715" s="28"/>
      <c r="H715" s="51"/>
      <c r="I715" s="51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</row>
    <row r="716" spans="1:25" ht="35.25" customHeight="1">
      <c r="A716" s="28"/>
      <c r="B716" s="28"/>
      <c r="C716" s="28"/>
      <c r="D716" s="28"/>
      <c r="E716" s="28"/>
      <c r="F716" s="28"/>
      <c r="G716" s="28"/>
      <c r="H716" s="51"/>
      <c r="I716" s="51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</row>
    <row r="717" spans="1:25" ht="35.25" customHeight="1">
      <c r="A717" s="28"/>
      <c r="B717" s="28"/>
      <c r="C717" s="28"/>
      <c r="D717" s="28"/>
      <c r="E717" s="28"/>
      <c r="F717" s="28"/>
      <c r="G717" s="28"/>
      <c r="H717" s="51"/>
      <c r="I717" s="51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</row>
    <row r="718" spans="1:25" ht="35.25" customHeight="1">
      <c r="A718" s="28"/>
      <c r="B718" s="28"/>
      <c r="C718" s="28"/>
      <c r="D718" s="28"/>
      <c r="E718" s="28"/>
      <c r="F718" s="28"/>
      <c r="G718" s="28"/>
      <c r="H718" s="51"/>
      <c r="I718" s="51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</row>
    <row r="719" spans="1:25" ht="35.25" customHeight="1">
      <c r="A719" s="28"/>
      <c r="B719" s="28"/>
      <c r="C719" s="28"/>
      <c r="D719" s="28"/>
      <c r="E719" s="28"/>
      <c r="F719" s="28"/>
      <c r="G719" s="28"/>
      <c r="H719" s="51"/>
      <c r="I719" s="51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</row>
    <row r="720" spans="1:25" ht="35.25" customHeight="1">
      <c r="A720" s="28"/>
      <c r="B720" s="28"/>
      <c r="C720" s="28"/>
      <c r="D720" s="28"/>
      <c r="E720" s="28"/>
      <c r="F720" s="28"/>
      <c r="G720" s="28"/>
      <c r="H720" s="51"/>
      <c r="I720" s="51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</row>
    <row r="721" spans="1:25" ht="35.25" customHeight="1">
      <c r="A721" s="28"/>
      <c r="B721" s="28"/>
      <c r="C721" s="28"/>
      <c r="D721" s="28"/>
      <c r="E721" s="28"/>
      <c r="F721" s="28"/>
      <c r="G721" s="28"/>
      <c r="H721" s="51"/>
      <c r="I721" s="51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</row>
    <row r="722" spans="1:25" ht="35.25" customHeight="1">
      <c r="A722" s="28"/>
      <c r="B722" s="28"/>
      <c r="C722" s="28"/>
      <c r="D722" s="28"/>
      <c r="E722" s="28"/>
      <c r="F722" s="28"/>
      <c r="G722" s="28"/>
      <c r="H722" s="51"/>
      <c r="I722" s="51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</row>
    <row r="723" spans="1:25" ht="35.25" customHeight="1">
      <c r="A723" s="28"/>
      <c r="B723" s="28"/>
      <c r="C723" s="28"/>
      <c r="D723" s="28"/>
      <c r="E723" s="28"/>
      <c r="F723" s="28"/>
      <c r="G723" s="28"/>
      <c r="H723" s="51"/>
      <c r="I723" s="51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</row>
    <row r="724" spans="1:25" ht="35.25" customHeight="1">
      <c r="A724" s="28"/>
      <c r="B724" s="28"/>
      <c r="C724" s="28"/>
      <c r="D724" s="28"/>
      <c r="E724" s="28"/>
      <c r="F724" s="28"/>
      <c r="G724" s="28"/>
      <c r="H724" s="51"/>
      <c r="I724" s="51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</row>
    <row r="725" spans="1:25" ht="35.25" customHeight="1">
      <c r="A725" s="28"/>
      <c r="B725" s="28"/>
      <c r="C725" s="28"/>
      <c r="D725" s="28"/>
      <c r="E725" s="28"/>
      <c r="F725" s="28"/>
      <c r="G725" s="28"/>
      <c r="H725" s="51"/>
      <c r="I725" s="51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</row>
    <row r="726" spans="1:25" ht="35.25" customHeight="1">
      <c r="A726" s="28"/>
      <c r="B726" s="28"/>
      <c r="C726" s="28"/>
      <c r="D726" s="28"/>
      <c r="E726" s="28"/>
      <c r="F726" s="28"/>
      <c r="G726" s="28"/>
      <c r="H726" s="51"/>
      <c r="I726" s="51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</row>
    <row r="727" spans="1:25" ht="35.25" customHeight="1">
      <c r="A727" s="28"/>
      <c r="B727" s="28"/>
      <c r="C727" s="28"/>
      <c r="D727" s="28"/>
      <c r="E727" s="28"/>
      <c r="F727" s="28"/>
      <c r="G727" s="28"/>
      <c r="H727" s="51"/>
      <c r="I727" s="51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</row>
    <row r="728" spans="1:25" ht="35.25" customHeight="1">
      <c r="A728" s="28"/>
      <c r="B728" s="28"/>
      <c r="C728" s="28"/>
      <c r="D728" s="28"/>
      <c r="E728" s="28"/>
      <c r="F728" s="28"/>
      <c r="G728" s="28"/>
      <c r="H728" s="51"/>
      <c r="I728" s="51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</row>
    <row r="729" spans="1:25" ht="35.25" customHeight="1">
      <c r="A729" s="28"/>
      <c r="B729" s="28"/>
      <c r="C729" s="28"/>
      <c r="D729" s="28"/>
      <c r="E729" s="28"/>
      <c r="F729" s="28"/>
      <c r="G729" s="28"/>
      <c r="H729" s="51"/>
      <c r="I729" s="51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</row>
    <row r="730" spans="1:25" ht="35.25" customHeight="1">
      <c r="A730" s="28"/>
      <c r="B730" s="28"/>
      <c r="C730" s="28"/>
      <c r="D730" s="28"/>
      <c r="E730" s="28"/>
      <c r="F730" s="28"/>
      <c r="G730" s="28"/>
      <c r="H730" s="51"/>
      <c r="I730" s="51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</row>
    <row r="731" spans="1:25" ht="35.25" customHeight="1">
      <c r="A731" s="28"/>
      <c r="B731" s="28"/>
      <c r="C731" s="28"/>
      <c r="D731" s="28"/>
      <c r="E731" s="28"/>
      <c r="F731" s="28"/>
      <c r="G731" s="28"/>
      <c r="H731" s="51"/>
      <c r="I731" s="51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</row>
    <row r="732" spans="1:25" ht="35.25" customHeight="1">
      <c r="A732" s="28"/>
      <c r="B732" s="28"/>
      <c r="C732" s="28"/>
      <c r="D732" s="28"/>
      <c r="E732" s="28"/>
      <c r="F732" s="28"/>
      <c r="G732" s="28"/>
      <c r="H732" s="51"/>
      <c r="I732" s="51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</row>
    <row r="733" spans="1:25" ht="35.25" customHeight="1">
      <c r="A733" s="28"/>
      <c r="B733" s="28"/>
      <c r="C733" s="28"/>
      <c r="D733" s="28"/>
      <c r="E733" s="28"/>
      <c r="F733" s="28"/>
      <c r="G733" s="28"/>
      <c r="H733" s="51"/>
      <c r="I733" s="51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</row>
    <row r="734" spans="1:25" ht="35.25" customHeight="1">
      <c r="A734" s="28"/>
      <c r="B734" s="28"/>
      <c r="C734" s="28"/>
      <c r="D734" s="28"/>
      <c r="E734" s="28"/>
      <c r="F734" s="28"/>
      <c r="G734" s="28"/>
      <c r="H734" s="51"/>
      <c r="I734" s="51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</row>
    <row r="735" spans="1:25" ht="35.25" customHeight="1">
      <c r="A735" s="28"/>
      <c r="B735" s="28"/>
      <c r="C735" s="28"/>
      <c r="D735" s="28"/>
      <c r="E735" s="28"/>
      <c r="F735" s="28"/>
      <c r="G735" s="28"/>
      <c r="H735" s="51"/>
      <c r="I735" s="51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</row>
    <row r="736" spans="1:25" ht="35.25" customHeight="1">
      <c r="A736" s="28"/>
      <c r="B736" s="28"/>
      <c r="C736" s="28"/>
      <c r="D736" s="28"/>
      <c r="E736" s="28"/>
      <c r="F736" s="28"/>
      <c r="G736" s="28"/>
      <c r="H736" s="51"/>
      <c r="I736" s="51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</row>
    <row r="737" spans="1:25" ht="35.25" customHeight="1">
      <c r="A737" s="28"/>
      <c r="B737" s="28"/>
      <c r="C737" s="28"/>
      <c r="D737" s="28"/>
      <c r="E737" s="28"/>
      <c r="F737" s="28"/>
      <c r="G737" s="28"/>
      <c r="H737" s="51"/>
      <c r="I737" s="51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</row>
    <row r="738" spans="1:25" ht="35.25" customHeight="1">
      <c r="A738" s="28"/>
      <c r="B738" s="28"/>
      <c r="C738" s="28"/>
      <c r="D738" s="28"/>
      <c r="E738" s="28"/>
      <c r="F738" s="28"/>
      <c r="G738" s="28"/>
      <c r="H738" s="51"/>
      <c r="I738" s="51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</row>
    <row r="739" spans="1:25" ht="35.25" customHeight="1">
      <c r="A739" s="28"/>
      <c r="B739" s="28"/>
      <c r="C739" s="28"/>
      <c r="D739" s="28"/>
      <c r="E739" s="28"/>
      <c r="F739" s="28"/>
      <c r="G739" s="28"/>
      <c r="H739" s="51"/>
      <c r="I739" s="51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</row>
    <row r="740" spans="1:25" ht="35.25" customHeight="1">
      <c r="A740" s="28"/>
      <c r="B740" s="28"/>
      <c r="C740" s="28"/>
      <c r="D740" s="28"/>
      <c r="E740" s="28"/>
      <c r="F740" s="28"/>
      <c r="G740" s="28"/>
      <c r="H740" s="51"/>
      <c r="I740" s="51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</row>
    <row r="741" spans="1:25" ht="35.25" customHeight="1">
      <c r="A741" s="28"/>
      <c r="B741" s="28"/>
      <c r="C741" s="28"/>
      <c r="D741" s="28"/>
      <c r="E741" s="28"/>
      <c r="F741" s="28"/>
      <c r="G741" s="28"/>
      <c r="H741" s="51"/>
      <c r="I741" s="51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</row>
    <row r="742" spans="1:25" ht="35.25" customHeight="1">
      <c r="A742" s="28"/>
      <c r="B742" s="28"/>
      <c r="C742" s="28"/>
      <c r="D742" s="28"/>
      <c r="E742" s="28"/>
      <c r="F742" s="28"/>
      <c r="G742" s="28"/>
      <c r="H742" s="51"/>
      <c r="I742" s="51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</row>
    <row r="743" spans="1:25" ht="35.25" customHeight="1">
      <c r="A743" s="28"/>
      <c r="B743" s="28"/>
      <c r="C743" s="28"/>
      <c r="D743" s="28"/>
      <c r="E743" s="28"/>
      <c r="F743" s="28"/>
      <c r="G743" s="28"/>
      <c r="H743" s="51"/>
      <c r="I743" s="51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</row>
    <row r="744" spans="1:25" ht="35.25" customHeight="1">
      <c r="A744" s="28"/>
      <c r="B744" s="28"/>
      <c r="C744" s="28"/>
      <c r="D744" s="28"/>
      <c r="E744" s="28"/>
      <c r="F744" s="28"/>
      <c r="G744" s="28"/>
      <c r="H744" s="51"/>
      <c r="I744" s="51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</row>
    <row r="745" spans="1:25" ht="35.25" customHeight="1">
      <c r="A745" s="28"/>
      <c r="B745" s="28"/>
      <c r="C745" s="28"/>
      <c r="D745" s="28"/>
      <c r="E745" s="28"/>
      <c r="F745" s="28"/>
      <c r="G745" s="28"/>
      <c r="H745" s="51"/>
      <c r="I745" s="51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</row>
    <row r="746" spans="1:25" ht="35.25" customHeight="1">
      <c r="A746" s="28"/>
      <c r="B746" s="28"/>
      <c r="C746" s="28"/>
      <c r="D746" s="28"/>
      <c r="E746" s="28"/>
      <c r="F746" s="28"/>
      <c r="G746" s="28"/>
      <c r="H746" s="51"/>
      <c r="I746" s="51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</row>
    <row r="747" spans="1:25" ht="35.25" customHeight="1">
      <c r="A747" s="28"/>
      <c r="B747" s="28"/>
      <c r="C747" s="28"/>
      <c r="D747" s="28"/>
      <c r="E747" s="28"/>
      <c r="F747" s="28"/>
      <c r="G747" s="28"/>
      <c r="H747" s="51"/>
      <c r="I747" s="51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</row>
    <row r="748" spans="1:25" ht="35.25" customHeight="1">
      <c r="A748" s="28"/>
      <c r="B748" s="28"/>
      <c r="C748" s="28"/>
      <c r="D748" s="28"/>
      <c r="E748" s="28"/>
      <c r="F748" s="28"/>
      <c r="G748" s="28"/>
      <c r="H748" s="51"/>
      <c r="I748" s="51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</row>
    <row r="749" spans="1:25" ht="35.25" customHeight="1">
      <c r="A749" s="28"/>
      <c r="B749" s="28"/>
      <c r="C749" s="28"/>
      <c r="D749" s="28"/>
      <c r="E749" s="28"/>
      <c r="F749" s="28"/>
      <c r="G749" s="28"/>
      <c r="H749" s="51"/>
      <c r="I749" s="51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</row>
    <row r="750" spans="1:25" ht="35.25" customHeight="1">
      <c r="A750" s="28"/>
      <c r="B750" s="28"/>
      <c r="C750" s="28"/>
      <c r="D750" s="28"/>
      <c r="E750" s="28"/>
      <c r="F750" s="28"/>
      <c r="G750" s="28"/>
      <c r="H750" s="51"/>
      <c r="I750" s="51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</row>
    <row r="751" spans="1:25" ht="35.25" customHeight="1">
      <c r="A751" s="28"/>
      <c r="B751" s="28"/>
      <c r="C751" s="28"/>
      <c r="D751" s="28"/>
      <c r="E751" s="28"/>
      <c r="F751" s="28"/>
      <c r="G751" s="28"/>
      <c r="H751" s="51"/>
      <c r="I751" s="51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</row>
    <row r="752" spans="1:25" ht="35.25" customHeight="1">
      <c r="A752" s="28"/>
      <c r="B752" s="28"/>
      <c r="C752" s="28"/>
      <c r="D752" s="28"/>
      <c r="E752" s="28"/>
      <c r="F752" s="28"/>
      <c r="G752" s="28"/>
      <c r="H752" s="51"/>
      <c r="I752" s="51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</row>
    <row r="753" spans="1:25" ht="35.25" customHeight="1">
      <c r="A753" s="28"/>
      <c r="B753" s="28"/>
      <c r="C753" s="28"/>
      <c r="D753" s="28"/>
      <c r="E753" s="28"/>
      <c r="F753" s="28"/>
      <c r="G753" s="28"/>
      <c r="H753" s="51"/>
      <c r="I753" s="51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</row>
    <row r="754" spans="1:25" ht="35.25" customHeight="1">
      <c r="A754" s="28"/>
      <c r="B754" s="28"/>
      <c r="C754" s="28"/>
      <c r="D754" s="28"/>
      <c r="E754" s="28"/>
      <c r="F754" s="28"/>
      <c r="G754" s="28"/>
      <c r="H754" s="51"/>
      <c r="I754" s="51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</row>
    <row r="755" spans="1:25" ht="35.25" customHeight="1">
      <c r="A755" s="28"/>
      <c r="B755" s="28"/>
      <c r="C755" s="28"/>
      <c r="D755" s="28"/>
      <c r="E755" s="28"/>
      <c r="F755" s="28"/>
      <c r="G755" s="28"/>
      <c r="H755" s="51"/>
      <c r="I755" s="51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</row>
    <row r="756" spans="1:25" ht="35.25" customHeight="1">
      <c r="A756" s="28"/>
      <c r="B756" s="28"/>
      <c r="C756" s="28"/>
      <c r="D756" s="28"/>
      <c r="E756" s="28"/>
      <c r="F756" s="28"/>
      <c r="G756" s="28"/>
      <c r="H756" s="51"/>
      <c r="I756" s="51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</row>
    <row r="757" spans="1:25" ht="35.25" customHeight="1">
      <c r="A757" s="28"/>
      <c r="B757" s="28"/>
      <c r="C757" s="28"/>
      <c r="D757" s="28"/>
      <c r="E757" s="28"/>
      <c r="F757" s="28"/>
      <c r="G757" s="28"/>
      <c r="H757" s="51"/>
      <c r="I757" s="51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</row>
    <row r="758" spans="1:25" ht="35.25" customHeight="1">
      <c r="A758" s="28"/>
      <c r="B758" s="28"/>
      <c r="C758" s="28"/>
      <c r="D758" s="28"/>
      <c r="E758" s="28"/>
      <c r="F758" s="28"/>
      <c r="G758" s="28"/>
      <c r="H758" s="51"/>
      <c r="I758" s="51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</row>
    <row r="759" spans="1:25" ht="35.25" customHeight="1">
      <c r="A759" s="28"/>
      <c r="B759" s="28"/>
      <c r="C759" s="28"/>
      <c r="D759" s="28"/>
      <c r="E759" s="28"/>
      <c r="F759" s="28"/>
      <c r="G759" s="28"/>
      <c r="H759" s="51"/>
      <c r="I759" s="51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</row>
    <row r="760" spans="1:25" ht="35.25" customHeight="1">
      <c r="A760" s="28"/>
      <c r="B760" s="28"/>
      <c r="C760" s="28"/>
      <c r="D760" s="28"/>
      <c r="E760" s="28"/>
      <c r="F760" s="28"/>
      <c r="G760" s="28"/>
      <c r="H760" s="51"/>
      <c r="I760" s="51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</row>
    <row r="761" spans="1:25" ht="35.25" customHeight="1">
      <c r="A761" s="28"/>
      <c r="B761" s="28"/>
      <c r="C761" s="28"/>
      <c r="D761" s="28"/>
      <c r="E761" s="28"/>
      <c r="F761" s="28"/>
      <c r="G761" s="28"/>
      <c r="H761" s="51"/>
      <c r="I761" s="51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</row>
    <row r="762" spans="1:25" ht="35.25" customHeight="1">
      <c r="A762" s="28"/>
      <c r="B762" s="28"/>
      <c r="C762" s="28"/>
      <c r="D762" s="28"/>
      <c r="E762" s="28"/>
      <c r="F762" s="28"/>
      <c r="G762" s="28"/>
      <c r="H762" s="51"/>
      <c r="I762" s="51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</row>
    <row r="763" spans="1:25" ht="35.25" customHeight="1">
      <c r="A763" s="28"/>
      <c r="B763" s="28"/>
      <c r="C763" s="28"/>
      <c r="D763" s="28"/>
      <c r="E763" s="28"/>
      <c r="F763" s="28"/>
      <c r="G763" s="28"/>
      <c r="H763" s="51"/>
      <c r="I763" s="51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</row>
    <row r="764" spans="1:25" ht="35.25" customHeight="1">
      <c r="A764" s="28"/>
      <c r="B764" s="28"/>
      <c r="C764" s="28"/>
      <c r="D764" s="28"/>
      <c r="E764" s="28"/>
      <c r="F764" s="28"/>
      <c r="G764" s="28"/>
      <c r="H764" s="51"/>
      <c r="I764" s="51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</row>
    <row r="765" spans="1:25" ht="35.25" customHeight="1">
      <c r="A765" s="28"/>
      <c r="B765" s="28"/>
      <c r="C765" s="28"/>
      <c r="D765" s="28"/>
      <c r="E765" s="28"/>
      <c r="F765" s="28"/>
      <c r="G765" s="28"/>
      <c r="H765" s="51"/>
      <c r="I765" s="51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</row>
    <row r="766" spans="1:25" ht="35.25" customHeight="1">
      <c r="A766" s="28"/>
      <c r="B766" s="28"/>
      <c r="C766" s="28"/>
      <c r="D766" s="28"/>
      <c r="E766" s="28"/>
      <c r="F766" s="28"/>
      <c r="G766" s="28"/>
      <c r="H766" s="51"/>
      <c r="I766" s="51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</row>
    <row r="767" spans="1:25" ht="35.25" customHeight="1">
      <c r="A767" s="28"/>
      <c r="B767" s="28"/>
      <c r="C767" s="28"/>
      <c r="D767" s="28"/>
      <c r="E767" s="28"/>
      <c r="F767" s="28"/>
      <c r="G767" s="28"/>
      <c r="H767" s="51"/>
      <c r="I767" s="51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</row>
    <row r="768" spans="1:25" ht="35.25" customHeight="1">
      <c r="A768" s="28"/>
      <c r="B768" s="28"/>
      <c r="C768" s="28"/>
      <c r="D768" s="28"/>
      <c r="E768" s="28"/>
      <c r="F768" s="28"/>
      <c r="G768" s="28"/>
      <c r="H768" s="51"/>
      <c r="I768" s="51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</row>
    <row r="769" spans="1:25" ht="35.25" customHeight="1">
      <c r="A769" s="28"/>
      <c r="B769" s="28"/>
      <c r="C769" s="28"/>
      <c r="D769" s="28"/>
      <c r="E769" s="28"/>
      <c r="F769" s="28"/>
      <c r="G769" s="28"/>
      <c r="H769" s="51"/>
      <c r="I769" s="51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</row>
    <row r="770" spans="1:25" ht="35.25" customHeight="1">
      <c r="A770" s="28"/>
      <c r="B770" s="28"/>
      <c r="C770" s="28"/>
      <c r="D770" s="28"/>
      <c r="E770" s="28"/>
      <c r="F770" s="28"/>
      <c r="G770" s="28"/>
      <c r="H770" s="51"/>
      <c r="I770" s="51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</row>
    <row r="771" spans="1:25" ht="35.25" customHeight="1">
      <c r="A771" s="28"/>
      <c r="B771" s="28"/>
      <c r="C771" s="28"/>
      <c r="D771" s="28"/>
      <c r="E771" s="28"/>
      <c r="F771" s="28"/>
      <c r="G771" s="28"/>
      <c r="H771" s="51"/>
      <c r="I771" s="51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</row>
    <row r="772" spans="1:25" ht="35.25" customHeight="1">
      <c r="A772" s="28"/>
      <c r="B772" s="28"/>
      <c r="C772" s="28"/>
      <c r="D772" s="28"/>
      <c r="E772" s="28"/>
      <c r="F772" s="28"/>
      <c r="G772" s="28"/>
      <c r="H772" s="51"/>
      <c r="I772" s="51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35.25" customHeight="1">
      <c r="A773" s="28"/>
      <c r="B773" s="28"/>
      <c r="C773" s="28"/>
      <c r="D773" s="28"/>
      <c r="E773" s="28"/>
      <c r="F773" s="28"/>
      <c r="G773" s="28"/>
      <c r="H773" s="51"/>
      <c r="I773" s="51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</row>
    <row r="774" spans="1:25" ht="35.25" customHeight="1">
      <c r="A774" s="28"/>
      <c r="B774" s="28"/>
      <c r="C774" s="28"/>
      <c r="D774" s="28"/>
      <c r="E774" s="28"/>
      <c r="F774" s="28"/>
      <c r="G774" s="28"/>
      <c r="H774" s="51"/>
      <c r="I774" s="51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</row>
    <row r="775" spans="1:25" ht="35.25" customHeight="1">
      <c r="A775" s="28"/>
      <c r="B775" s="28"/>
      <c r="C775" s="28"/>
      <c r="D775" s="28"/>
      <c r="E775" s="28"/>
      <c r="F775" s="28"/>
      <c r="G775" s="28"/>
      <c r="H775" s="51"/>
      <c r="I775" s="51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</row>
    <row r="776" spans="1:25" ht="35.25" customHeight="1">
      <c r="A776" s="28"/>
      <c r="B776" s="28"/>
      <c r="C776" s="28"/>
      <c r="D776" s="28"/>
      <c r="E776" s="28"/>
      <c r="F776" s="28"/>
      <c r="G776" s="28"/>
      <c r="H776" s="51"/>
      <c r="I776" s="51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</row>
    <row r="777" spans="1:25" ht="35.25" customHeight="1">
      <c r="A777" s="28"/>
      <c r="B777" s="28"/>
      <c r="C777" s="28"/>
      <c r="D777" s="28"/>
      <c r="E777" s="28"/>
      <c r="F777" s="28"/>
      <c r="G777" s="28"/>
      <c r="H777" s="51"/>
      <c r="I777" s="51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</row>
    <row r="778" spans="1:25" ht="35.25" customHeight="1">
      <c r="A778" s="28"/>
      <c r="B778" s="28"/>
      <c r="C778" s="28"/>
      <c r="D778" s="28"/>
      <c r="E778" s="28"/>
      <c r="F778" s="28"/>
      <c r="G778" s="28"/>
      <c r="H778" s="51"/>
      <c r="I778" s="51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</row>
    <row r="779" spans="1:25" ht="35.25" customHeight="1">
      <c r="A779" s="28"/>
      <c r="B779" s="28"/>
      <c r="C779" s="28"/>
      <c r="D779" s="28"/>
      <c r="E779" s="28"/>
      <c r="F779" s="28"/>
      <c r="G779" s="28"/>
      <c r="H779" s="51"/>
      <c r="I779" s="51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</row>
    <row r="780" spans="1:25" ht="35.25" customHeight="1">
      <c r="A780" s="28"/>
      <c r="B780" s="28"/>
      <c r="C780" s="28"/>
      <c r="D780" s="28"/>
      <c r="E780" s="28"/>
      <c r="F780" s="28"/>
      <c r="G780" s="28"/>
      <c r="H780" s="51"/>
      <c r="I780" s="51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</row>
    <row r="781" spans="1:25" ht="35.25" customHeight="1">
      <c r="A781" s="28"/>
      <c r="B781" s="28"/>
      <c r="C781" s="28"/>
      <c r="D781" s="28"/>
      <c r="E781" s="28"/>
      <c r="F781" s="28"/>
      <c r="G781" s="28"/>
      <c r="H781" s="51"/>
      <c r="I781" s="51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</row>
    <row r="782" spans="1:25" ht="35.25" customHeight="1">
      <c r="A782" s="28"/>
      <c r="B782" s="28"/>
      <c r="C782" s="28"/>
      <c r="D782" s="28"/>
      <c r="E782" s="28"/>
      <c r="F782" s="28"/>
      <c r="G782" s="28"/>
      <c r="H782" s="51"/>
      <c r="I782" s="51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</row>
    <row r="783" spans="1:25" ht="35.25" customHeight="1">
      <c r="A783" s="28"/>
      <c r="B783" s="28"/>
      <c r="C783" s="28"/>
      <c r="D783" s="28"/>
      <c r="E783" s="28"/>
      <c r="F783" s="28"/>
      <c r="G783" s="28"/>
      <c r="H783" s="51"/>
      <c r="I783" s="51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</row>
    <row r="784" spans="1:25" ht="35.25" customHeight="1">
      <c r="A784" s="28"/>
      <c r="B784" s="28"/>
      <c r="C784" s="28"/>
      <c r="D784" s="28"/>
      <c r="E784" s="28"/>
      <c r="F784" s="28"/>
      <c r="G784" s="28"/>
      <c r="H784" s="51"/>
      <c r="I784" s="51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</row>
    <row r="785" spans="1:25" ht="35.25" customHeight="1">
      <c r="A785" s="28"/>
      <c r="B785" s="28"/>
      <c r="C785" s="28"/>
      <c r="D785" s="28"/>
      <c r="E785" s="28"/>
      <c r="F785" s="28"/>
      <c r="G785" s="28"/>
      <c r="H785" s="51"/>
      <c r="I785" s="51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</row>
    <row r="786" spans="1:25" ht="35.25" customHeight="1">
      <c r="A786" s="28"/>
      <c r="B786" s="28"/>
      <c r="C786" s="28"/>
      <c r="D786" s="28"/>
      <c r="E786" s="28"/>
      <c r="F786" s="28"/>
      <c r="G786" s="28"/>
      <c r="H786" s="51"/>
      <c r="I786" s="51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</row>
    <row r="787" spans="1:25" ht="35.25" customHeight="1">
      <c r="A787" s="28"/>
      <c r="B787" s="28"/>
      <c r="C787" s="28"/>
      <c r="D787" s="28"/>
      <c r="E787" s="28"/>
      <c r="F787" s="28"/>
      <c r="G787" s="28"/>
      <c r="H787" s="51"/>
      <c r="I787" s="51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</row>
    <row r="788" spans="1:25" ht="35.25" customHeight="1">
      <c r="A788" s="28"/>
      <c r="B788" s="28"/>
      <c r="C788" s="28"/>
      <c r="D788" s="28"/>
      <c r="E788" s="28"/>
      <c r="F788" s="28"/>
      <c r="G788" s="28"/>
      <c r="H788" s="51"/>
      <c r="I788" s="51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</row>
    <row r="789" spans="1:25" ht="35.25" customHeight="1">
      <c r="A789" s="28"/>
      <c r="B789" s="28"/>
      <c r="C789" s="28"/>
      <c r="D789" s="28"/>
      <c r="E789" s="28"/>
      <c r="F789" s="28"/>
      <c r="G789" s="28"/>
      <c r="H789" s="51"/>
      <c r="I789" s="51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</row>
    <row r="790" spans="1:25" ht="35.25" customHeight="1">
      <c r="A790" s="28"/>
      <c r="B790" s="28"/>
      <c r="C790" s="28"/>
      <c r="D790" s="28"/>
      <c r="E790" s="28"/>
      <c r="F790" s="28"/>
      <c r="G790" s="28"/>
      <c r="H790" s="51"/>
      <c r="I790" s="51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</row>
    <row r="791" spans="1:25" ht="35.25" customHeight="1">
      <c r="A791" s="28"/>
      <c r="B791" s="28"/>
      <c r="C791" s="28"/>
      <c r="D791" s="28"/>
      <c r="E791" s="28"/>
      <c r="F791" s="28"/>
      <c r="G791" s="28"/>
      <c r="H791" s="51"/>
      <c r="I791" s="51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</row>
    <row r="792" spans="1:25" ht="35.25" customHeight="1">
      <c r="A792" s="28"/>
      <c r="B792" s="28"/>
      <c r="C792" s="28"/>
      <c r="D792" s="28"/>
      <c r="E792" s="28"/>
      <c r="F792" s="28"/>
      <c r="G792" s="28"/>
      <c r="H792" s="51"/>
      <c r="I792" s="51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</row>
    <row r="793" spans="1:25" ht="35.25" customHeight="1">
      <c r="A793" s="28"/>
      <c r="B793" s="28"/>
      <c r="C793" s="28"/>
      <c r="D793" s="28"/>
      <c r="E793" s="28"/>
      <c r="F793" s="28"/>
      <c r="G793" s="28"/>
      <c r="H793" s="51"/>
      <c r="I793" s="51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</row>
    <row r="794" spans="1:25" ht="35.25" customHeight="1">
      <c r="A794" s="28"/>
      <c r="B794" s="28"/>
      <c r="C794" s="28"/>
      <c r="D794" s="28"/>
      <c r="E794" s="28"/>
      <c r="F794" s="28"/>
      <c r="G794" s="28"/>
      <c r="H794" s="51"/>
      <c r="I794" s="51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</row>
    <row r="795" spans="1:25" ht="35.25" customHeight="1">
      <c r="A795" s="28"/>
      <c r="B795" s="28"/>
      <c r="C795" s="28"/>
      <c r="D795" s="28"/>
      <c r="E795" s="28"/>
      <c r="F795" s="28"/>
      <c r="G795" s="28"/>
      <c r="H795" s="51"/>
      <c r="I795" s="51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</row>
    <row r="796" spans="1:25" ht="35.25" customHeight="1">
      <c r="A796" s="28"/>
      <c r="B796" s="28"/>
      <c r="C796" s="28"/>
      <c r="D796" s="28"/>
      <c r="E796" s="28"/>
      <c r="F796" s="28"/>
      <c r="G796" s="28"/>
      <c r="H796" s="51"/>
      <c r="I796" s="51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</row>
    <row r="797" spans="1:25" ht="35.25" customHeight="1">
      <c r="A797" s="28"/>
      <c r="B797" s="28"/>
      <c r="C797" s="28"/>
      <c r="D797" s="28"/>
      <c r="E797" s="28"/>
      <c r="F797" s="28"/>
      <c r="G797" s="28"/>
      <c r="H797" s="51"/>
      <c r="I797" s="51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</row>
    <row r="798" spans="1:25" ht="35.25" customHeight="1">
      <c r="A798" s="28"/>
      <c r="B798" s="28"/>
      <c r="C798" s="28"/>
      <c r="D798" s="28"/>
      <c r="E798" s="28"/>
      <c r="F798" s="28"/>
      <c r="G798" s="28"/>
      <c r="H798" s="51"/>
      <c r="I798" s="51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</row>
    <row r="799" spans="1:25" ht="35.25" customHeight="1">
      <c r="A799" s="28"/>
      <c r="B799" s="28"/>
      <c r="C799" s="28"/>
      <c r="D799" s="28"/>
      <c r="E799" s="28"/>
      <c r="F799" s="28"/>
      <c r="G799" s="28"/>
      <c r="H799" s="51"/>
      <c r="I799" s="51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</row>
    <row r="800" spans="1:25" ht="35.25" customHeight="1">
      <c r="A800" s="28"/>
      <c r="B800" s="28"/>
      <c r="C800" s="28"/>
      <c r="D800" s="28"/>
      <c r="E800" s="28"/>
      <c r="F800" s="28"/>
      <c r="G800" s="28"/>
      <c r="H800" s="51"/>
      <c r="I800" s="51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</row>
    <row r="801" spans="1:25" ht="35.25" customHeight="1">
      <c r="A801" s="28"/>
      <c r="B801" s="28"/>
      <c r="C801" s="28"/>
      <c r="D801" s="28"/>
      <c r="E801" s="28"/>
      <c r="F801" s="28"/>
      <c r="G801" s="28"/>
      <c r="H801" s="51"/>
      <c r="I801" s="51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</row>
    <row r="802" spans="1:25" ht="35.25" customHeight="1">
      <c r="A802" s="28"/>
      <c r="B802" s="28"/>
      <c r="C802" s="28"/>
      <c r="D802" s="28"/>
      <c r="E802" s="28"/>
      <c r="F802" s="28"/>
      <c r="G802" s="28"/>
      <c r="H802" s="51"/>
      <c r="I802" s="51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</row>
    <row r="803" spans="1:25" ht="35.25" customHeight="1">
      <c r="A803" s="28"/>
      <c r="B803" s="28"/>
      <c r="C803" s="28"/>
      <c r="D803" s="28"/>
      <c r="E803" s="28"/>
      <c r="F803" s="28"/>
      <c r="G803" s="28"/>
      <c r="H803" s="51"/>
      <c r="I803" s="51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</row>
    <row r="804" spans="1:25" ht="35.25" customHeight="1">
      <c r="A804" s="28"/>
      <c r="B804" s="28"/>
      <c r="C804" s="28"/>
      <c r="D804" s="28"/>
      <c r="E804" s="28"/>
      <c r="F804" s="28"/>
      <c r="G804" s="28"/>
      <c r="H804" s="51"/>
      <c r="I804" s="51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</row>
    <row r="805" spans="1:25" ht="35.25" customHeight="1">
      <c r="A805" s="28"/>
      <c r="B805" s="28"/>
      <c r="C805" s="28"/>
      <c r="D805" s="28"/>
      <c r="E805" s="28"/>
      <c r="F805" s="28"/>
      <c r="G805" s="28"/>
      <c r="H805" s="51"/>
      <c r="I805" s="51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</row>
    <row r="806" spans="1:25" ht="35.25" customHeight="1">
      <c r="A806" s="28"/>
      <c r="B806" s="28"/>
      <c r="C806" s="28"/>
      <c r="D806" s="28"/>
      <c r="E806" s="28"/>
      <c r="F806" s="28"/>
      <c r="G806" s="28"/>
      <c r="H806" s="51"/>
      <c r="I806" s="51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</row>
    <row r="807" spans="1:25" ht="35.25" customHeight="1">
      <c r="A807" s="28"/>
      <c r="B807" s="28"/>
      <c r="C807" s="28"/>
      <c r="D807" s="28"/>
      <c r="E807" s="28"/>
      <c r="F807" s="28"/>
      <c r="G807" s="28"/>
      <c r="H807" s="51"/>
      <c r="I807" s="51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</row>
    <row r="808" spans="1:25" ht="35.25" customHeight="1">
      <c r="A808" s="28"/>
      <c r="B808" s="28"/>
      <c r="C808" s="28"/>
      <c r="D808" s="28"/>
      <c r="E808" s="28"/>
      <c r="F808" s="28"/>
      <c r="G808" s="28"/>
      <c r="H808" s="51"/>
      <c r="I808" s="51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</row>
    <row r="809" spans="1:25" ht="35.25" customHeight="1">
      <c r="A809" s="28"/>
      <c r="B809" s="28"/>
      <c r="C809" s="28"/>
      <c r="D809" s="28"/>
      <c r="E809" s="28"/>
      <c r="F809" s="28"/>
      <c r="G809" s="28"/>
      <c r="H809" s="51"/>
      <c r="I809" s="51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</row>
    <row r="810" spans="1:25" ht="35.25" customHeight="1">
      <c r="A810" s="28"/>
      <c r="B810" s="28"/>
      <c r="C810" s="28"/>
      <c r="D810" s="28"/>
      <c r="E810" s="28"/>
      <c r="F810" s="28"/>
      <c r="G810" s="28"/>
      <c r="H810" s="51"/>
      <c r="I810" s="51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</row>
    <row r="811" spans="1:25" ht="35.25" customHeight="1">
      <c r="A811" s="28"/>
      <c r="B811" s="28"/>
      <c r="C811" s="28"/>
      <c r="D811" s="28"/>
      <c r="E811" s="28"/>
      <c r="F811" s="28"/>
      <c r="G811" s="28"/>
      <c r="H811" s="51"/>
      <c r="I811" s="51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</row>
    <row r="812" spans="1:25" ht="35.25" customHeight="1">
      <c r="A812" s="28"/>
      <c r="B812" s="28"/>
      <c r="C812" s="28"/>
      <c r="D812" s="28"/>
      <c r="E812" s="28"/>
      <c r="F812" s="28"/>
      <c r="G812" s="28"/>
      <c r="H812" s="51"/>
      <c r="I812" s="51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</row>
    <row r="813" spans="1:25" ht="35.25" customHeight="1">
      <c r="A813" s="28"/>
      <c r="B813" s="28"/>
      <c r="C813" s="28"/>
      <c r="D813" s="28"/>
      <c r="E813" s="28"/>
      <c r="F813" s="28"/>
      <c r="G813" s="28"/>
      <c r="H813" s="51"/>
      <c r="I813" s="51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</row>
    <row r="814" spans="1:25" ht="35.25" customHeight="1">
      <c r="A814" s="28"/>
      <c r="B814" s="28"/>
      <c r="C814" s="28"/>
      <c r="D814" s="28"/>
      <c r="E814" s="28"/>
      <c r="F814" s="28"/>
      <c r="G814" s="28"/>
      <c r="H814" s="51"/>
      <c r="I814" s="51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</row>
    <row r="815" spans="1:25" ht="35.25" customHeight="1">
      <c r="A815" s="28"/>
      <c r="B815" s="28"/>
      <c r="C815" s="28"/>
      <c r="D815" s="28"/>
      <c r="E815" s="28"/>
      <c r="F815" s="28"/>
      <c r="G815" s="28"/>
      <c r="H815" s="51"/>
      <c r="I815" s="51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</row>
    <row r="816" spans="1:25" ht="35.25" customHeight="1">
      <c r="A816" s="28"/>
      <c r="B816" s="28"/>
      <c r="C816" s="28"/>
      <c r="D816" s="28"/>
      <c r="E816" s="28"/>
      <c r="F816" s="28"/>
      <c r="G816" s="28"/>
      <c r="H816" s="51"/>
      <c r="I816" s="51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</row>
    <row r="817" spans="1:25" ht="35.25" customHeight="1">
      <c r="A817" s="28"/>
      <c r="B817" s="28"/>
      <c r="C817" s="28"/>
      <c r="D817" s="28"/>
      <c r="E817" s="28"/>
      <c r="F817" s="28"/>
      <c r="G817" s="28"/>
      <c r="H817" s="51"/>
      <c r="I817" s="51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</row>
    <row r="818" spans="1:25" ht="35.25" customHeight="1">
      <c r="A818" s="28"/>
      <c r="B818" s="28"/>
      <c r="C818" s="28"/>
      <c r="D818" s="28"/>
      <c r="E818" s="28"/>
      <c r="F818" s="28"/>
      <c r="G818" s="28"/>
      <c r="H818" s="51"/>
      <c r="I818" s="51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</row>
    <row r="819" spans="1:25" ht="35.25" customHeight="1">
      <c r="A819" s="28"/>
      <c r="B819" s="28"/>
      <c r="C819" s="28"/>
      <c r="D819" s="28"/>
      <c r="E819" s="28"/>
      <c r="F819" s="28"/>
      <c r="G819" s="28"/>
      <c r="H819" s="51"/>
      <c r="I819" s="51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</row>
    <row r="820" spans="1:25" ht="35.25" customHeight="1">
      <c r="A820" s="28"/>
      <c r="B820" s="28"/>
      <c r="C820" s="28"/>
      <c r="D820" s="28"/>
      <c r="E820" s="28"/>
      <c r="F820" s="28"/>
      <c r="G820" s="28"/>
      <c r="H820" s="51"/>
      <c r="I820" s="51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</row>
    <row r="821" spans="1:25" ht="35.25" customHeight="1">
      <c r="A821" s="28"/>
      <c r="B821" s="28"/>
      <c r="C821" s="28"/>
      <c r="D821" s="28"/>
      <c r="E821" s="28"/>
      <c r="F821" s="28"/>
      <c r="G821" s="28"/>
      <c r="H821" s="51"/>
      <c r="I821" s="51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</row>
    <row r="822" spans="1:25" ht="35.25" customHeight="1">
      <c r="A822" s="28"/>
      <c r="B822" s="28"/>
      <c r="C822" s="28"/>
      <c r="D822" s="28"/>
      <c r="E822" s="28"/>
      <c r="F822" s="28"/>
      <c r="G822" s="28"/>
      <c r="H822" s="51"/>
      <c r="I822" s="51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</row>
    <row r="823" spans="1:25" ht="35.25" customHeight="1">
      <c r="A823" s="28"/>
      <c r="B823" s="28"/>
      <c r="C823" s="28"/>
      <c r="D823" s="28"/>
      <c r="E823" s="28"/>
      <c r="F823" s="28"/>
      <c r="G823" s="28"/>
      <c r="H823" s="51"/>
      <c r="I823" s="51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</row>
    <row r="824" spans="1:25" ht="35.25" customHeight="1">
      <c r="A824" s="28"/>
      <c r="B824" s="28"/>
      <c r="C824" s="28"/>
      <c r="D824" s="28"/>
      <c r="E824" s="28"/>
      <c r="F824" s="28"/>
      <c r="G824" s="28"/>
      <c r="H824" s="51"/>
      <c r="I824" s="51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</row>
    <row r="825" spans="1:25" ht="35.25" customHeight="1">
      <c r="A825" s="28"/>
      <c r="B825" s="28"/>
      <c r="C825" s="28"/>
      <c r="D825" s="28"/>
      <c r="E825" s="28"/>
      <c r="F825" s="28"/>
      <c r="G825" s="28"/>
      <c r="H825" s="51"/>
      <c r="I825" s="51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</row>
    <row r="826" spans="1:25" ht="35.25" customHeight="1">
      <c r="A826" s="28"/>
      <c r="B826" s="28"/>
      <c r="C826" s="28"/>
      <c r="D826" s="28"/>
      <c r="E826" s="28"/>
      <c r="F826" s="28"/>
      <c r="G826" s="28"/>
      <c r="H826" s="51"/>
      <c r="I826" s="51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</row>
    <row r="827" spans="1:25" ht="35.25" customHeight="1">
      <c r="A827" s="28"/>
      <c r="B827" s="28"/>
      <c r="C827" s="28"/>
      <c r="D827" s="28"/>
      <c r="E827" s="28"/>
      <c r="F827" s="28"/>
      <c r="G827" s="28"/>
      <c r="H827" s="51"/>
      <c r="I827" s="51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</row>
    <row r="828" spans="1:25" ht="35.25" customHeight="1">
      <c r="A828" s="28"/>
      <c r="B828" s="28"/>
      <c r="C828" s="28"/>
      <c r="D828" s="28"/>
      <c r="E828" s="28"/>
      <c r="F828" s="28"/>
      <c r="G828" s="28"/>
      <c r="H828" s="51"/>
      <c r="I828" s="51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</row>
    <row r="829" spans="1:25" ht="35.25" customHeight="1">
      <c r="A829" s="28"/>
      <c r="B829" s="28"/>
      <c r="C829" s="28"/>
      <c r="D829" s="28"/>
      <c r="E829" s="28"/>
      <c r="F829" s="28"/>
      <c r="G829" s="28"/>
      <c r="H829" s="51"/>
      <c r="I829" s="51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</row>
    <row r="830" spans="1:25" ht="35.25" customHeight="1">
      <c r="A830" s="28"/>
      <c r="B830" s="28"/>
      <c r="C830" s="28"/>
      <c r="D830" s="28"/>
      <c r="E830" s="28"/>
      <c r="F830" s="28"/>
      <c r="G830" s="28"/>
      <c r="H830" s="51"/>
      <c r="I830" s="51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</row>
    <row r="831" spans="1:25" ht="35.25" customHeight="1">
      <c r="A831" s="28"/>
      <c r="B831" s="28"/>
      <c r="C831" s="28"/>
      <c r="D831" s="28"/>
      <c r="E831" s="28"/>
      <c r="F831" s="28"/>
      <c r="G831" s="28"/>
      <c r="H831" s="51"/>
      <c r="I831" s="51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</row>
    <row r="832" spans="1:25" ht="35.25" customHeight="1">
      <c r="A832" s="28"/>
      <c r="B832" s="28"/>
      <c r="C832" s="28"/>
      <c r="D832" s="28"/>
      <c r="E832" s="28"/>
      <c r="F832" s="28"/>
      <c r="G832" s="28"/>
      <c r="H832" s="51"/>
      <c r="I832" s="51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</row>
    <row r="833" spans="1:25" ht="35.25" customHeight="1">
      <c r="A833" s="28"/>
      <c r="B833" s="28"/>
      <c r="C833" s="28"/>
      <c r="D833" s="28"/>
      <c r="E833" s="28"/>
      <c r="F833" s="28"/>
      <c r="G833" s="28"/>
      <c r="H833" s="51"/>
      <c r="I833" s="51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</row>
    <row r="834" spans="1:25" ht="35.25" customHeight="1">
      <c r="A834" s="28"/>
      <c r="B834" s="28"/>
      <c r="C834" s="28"/>
      <c r="D834" s="28"/>
      <c r="E834" s="28"/>
      <c r="F834" s="28"/>
      <c r="G834" s="28"/>
      <c r="H834" s="51"/>
      <c r="I834" s="51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</row>
    <row r="835" spans="1:25" ht="35.25" customHeight="1">
      <c r="A835" s="28"/>
      <c r="B835" s="28"/>
      <c r="C835" s="28"/>
      <c r="D835" s="28"/>
      <c r="E835" s="28"/>
      <c r="F835" s="28"/>
      <c r="G835" s="28"/>
      <c r="H835" s="51"/>
      <c r="I835" s="51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</row>
    <row r="836" spans="1:25" ht="35.25" customHeight="1">
      <c r="A836" s="28"/>
      <c r="B836" s="28"/>
      <c r="C836" s="28"/>
      <c r="D836" s="28"/>
      <c r="E836" s="28"/>
      <c r="F836" s="28"/>
      <c r="G836" s="28"/>
      <c r="H836" s="51"/>
      <c r="I836" s="51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35.25" customHeight="1">
      <c r="A837" s="28"/>
      <c r="B837" s="28"/>
      <c r="C837" s="28"/>
      <c r="D837" s="28"/>
      <c r="E837" s="28"/>
      <c r="F837" s="28"/>
      <c r="G837" s="28"/>
      <c r="H837" s="51"/>
      <c r="I837" s="51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</row>
    <row r="838" spans="1:25" ht="35.25" customHeight="1">
      <c r="A838" s="28"/>
      <c r="B838" s="28"/>
      <c r="C838" s="28"/>
      <c r="D838" s="28"/>
      <c r="E838" s="28"/>
      <c r="F838" s="28"/>
      <c r="G838" s="28"/>
      <c r="H838" s="51"/>
      <c r="I838" s="51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</row>
    <row r="839" spans="1:25" ht="35.25" customHeight="1">
      <c r="A839" s="28"/>
      <c r="B839" s="28"/>
      <c r="C839" s="28"/>
      <c r="D839" s="28"/>
      <c r="E839" s="28"/>
      <c r="F839" s="28"/>
      <c r="G839" s="28"/>
      <c r="H839" s="51"/>
      <c r="I839" s="51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</row>
    <row r="840" spans="1:25" ht="35.25" customHeight="1">
      <c r="A840" s="28"/>
      <c r="B840" s="28"/>
      <c r="C840" s="28"/>
      <c r="D840" s="28"/>
      <c r="E840" s="28"/>
      <c r="F840" s="28"/>
      <c r="G840" s="28"/>
      <c r="H840" s="51"/>
      <c r="I840" s="51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</row>
    <row r="841" spans="1:25" ht="35.25" customHeight="1">
      <c r="A841" s="28"/>
      <c r="B841" s="28"/>
      <c r="C841" s="28"/>
      <c r="D841" s="28"/>
      <c r="E841" s="28"/>
      <c r="F841" s="28"/>
      <c r="G841" s="28"/>
      <c r="H841" s="51"/>
      <c r="I841" s="51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</row>
    <row r="842" spans="1:25" ht="35.25" customHeight="1">
      <c r="A842" s="28"/>
      <c r="B842" s="28"/>
      <c r="C842" s="28"/>
      <c r="D842" s="28"/>
      <c r="E842" s="28"/>
      <c r="F842" s="28"/>
      <c r="G842" s="28"/>
      <c r="H842" s="51"/>
      <c r="I842" s="51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</row>
    <row r="843" spans="1:25" ht="35.25" customHeight="1">
      <c r="A843" s="28"/>
      <c r="B843" s="28"/>
      <c r="C843" s="28"/>
      <c r="D843" s="28"/>
      <c r="E843" s="28"/>
      <c r="F843" s="28"/>
      <c r="G843" s="28"/>
      <c r="H843" s="51"/>
      <c r="I843" s="51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</row>
    <row r="844" spans="1:25" ht="35.25" customHeight="1">
      <c r="A844" s="28"/>
      <c r="B844" s="28"/>
      <c r="C844" s="28"/>
      <c r="D844" s="28"/>
      <c r="E844" s="28"/>
      <c r="F844" s="28"/>
      <c r="G844" s="28"/>
      <c r="H844" s="51"/>
      <c r="I844" s="51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</row>
    <row r="845" spans="1:25" ht="35.25" customHeight="1">
      <c r="A845" s="28"/>
      <c r="B845" s="28"/>
      <c r="C845" s="28"/>
      <c r="D845" s="28"/>
      <c r="E845" s="28"/>
      <c r="F845" s="28"/>
      <c r="G845" s="28"/>
      <c r="H845" s="51"/>
      <c r="I845" s="51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</row>
    <row r="846" spans="1:25" ht="35.25" customHeight="1">
      <c r="A846" s="28"/>
      <c r="B846" s="28"/>
      <c r="C846" s="28"/>
      <c r="D846" s="28"/>
      <c r="E846" s="28"/>
      <c r="F846" s="28"/>
      <c r="G846" s="28"/>
      <c r="H846" s="51"/>
      <c r="I846" s="51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</row>
    <row r="847" spans="1:25" ht="35.25" customHeight="1">
      <c r="A847" s="28"/>
      <c r="B847" s="28"/>
      <c r="C847" s="28"/>
      <c r="D847" s="28"/>
      <c r="E847" s="28"/>
      <c r="F847" s="28"/>
      <c r="G847" s="28"/>
      <c r="H847" s="51"/>
      <c r="I847" s="51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</row>
    <row r="848" spans="1:25" ht="35.25" customHeight="1">
      <c r="A848" s="28"/>
      <c r="B848" s="28"/>
      <c r="C848" s="28"/>
      <c r="D848" s="28"/>
      <c r="E848" s="28"/>
      <c r="F848" s="28"/>
      <c r="G848" s="28"/>
      <c r="H848" s="51"/>
      <c r="I848" s="51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</row>
    <row r="849" spans="1:25" ht="35.25" customHeight="1">
      <c r="A849" s="28"/>
      <c r="B849" s="28"/>
      <c r="C849" s="28"/>
      <c r="D849" s="28"/>
      <c r="E849" s="28"/>
      <c r="F849" s="28"/>
      <c r="G849" s="28"/>
      <c r="H849" s="51"/>
      <c r="I849" s="51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</row>
    <row r="850" spans="1:25" ht="35.25" customHeight="1">
      <c r="A850" s="28"/>
      <c r="B850" s="28"/>
      <c r="C850" s="28"/>
      <c r="D850" s="28"/>
      <c r="E850" s="28"/>
      <c r="F850" s="28"/>
      <c r="G850" s="28"/>
      <c r="H850" s="51"/>
      <c r="I850" s="51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</row>
    <row r="851" spans="1:25" ht="35.25" customHeight="1">
      <c r="A851" s="28"/>
      <c r="B851" s="28"/>
      <c r="C851" s="28"/>
      <c r="D851" s="28"/>
      <c r="E851" s="28"/>
      <c r="F851" s="28"/>
      <c r="G851" s="28"/>
      <c r="H851" s="51"/>
      <c r="I851" s="51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</row>
    <row r="852" spans="1:25" ht="35.25" customHeight="1">
      <c r="A852" s="28"/>
      <c r="B852" s="28"/>
      <c r="C852" s="28"/>
      <c r="D852" s="28"/>
      <c r="E852" s="28"/>
      <c r="F852" s="28"/>
      <c r="G852" s="28"/>
      <c r="H852" s="51"/>
      <c r="I852" s="51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</row>
    <row r="853" spans="1:25" ht="35.25" customHeight="1">
      <c r="A853" s="28"/>
      <c r="B853" s="28"/>
      <c r="C853" s="28"/>
      <c r="D853" s="28"/>
      <c r="E853" s="28"/>
      <c r="F853" s="28"/>
      <c r="G853" s="28"/>
      <c r="H853" s="51"/>
      <c r="I853" s="51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</row>
    <row r="854" spans="1:25" ht="35.25" customHeight="1">
      <c r="A854" s="28"/>
      <c r="B854" s="28"/>
      <c r="C854" s="28"/>
      <c r="D854" s="28"/>
      <c r="E854" s="28"/>
      <c r="F854" s="28"/>
      <c r="G854" s="28"/>
      <c r="H854" s="51"/>
      <c r="I854" s="51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</row>
    <row r="855" spans="1:25" ht="35.25" customHeight="1">
      <c r="A855" s="28"/>
      <c r="B855" s="28"/>
      <c r="C855" s="28"/>
      <c r="D855" s="28"/>
      <c r="E855" s="28"/>
      <c r="F855" s="28"/>
      <c r="G855" s="28"/>
      <c r="H855" s="51"/>
      <c r="I855" s="51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</row>
    <row r="856" spans="1:25" ht="35.25" customHeight="1">
      <c r="A856" s="28"/>
      <c r="B856" s="28"/>
      <c r="C856" s="28"/>
      <c r="D856" s="28"/>
      <c r="E856" s="28"/>
      <c r="F856" s="28"/>
      <c r="G856" s="28"/>
      <c r="H856" s="51"/>
      <c r="I856" s="51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</row>
    <row r="857" spans="1:25" ht="35.25" customHeight="1">
      <c r="A857" s="28"/>
      <c r="B857" s="28"/>
      <c r="C857" s="28"/>
      <c r="D857" s="28"/>
      <c r="E857" s="28"/>
      <c r="F857" s="28"/>
      <c r="G857" s="28"/>
      <c r="H857" s="51"/>
      <c r="I857" s="51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</row>
    <row r="858" spans="1:25" ht="35.25" customHeight="1">
      <c r="A858" s="28"/>
      <c r="B858" s="28"/>
      <c r="C858" s="28"/>
      <c r="D858" s="28"/>
      <c r="E858" s="28"/>
      <c r="F858" s="28"/>
      <c r="G858" s="28"/>
      <c r="H858" s="51"/>
      <c r="I858" s="51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</row>
    <row r="859" spans="1:25" ht="35.25" customHeight="1">
      <c r="A859" s="28"/>
      <c r="B859" s="28"/>
      <c r="C859" s="28"/>
      <c r="D859" s="28"/>
      <c r="E859" s="28"/>
      <c r="F859" s="28"/>
      <c r="G859" s="28"/>
      <c r="H859" s="51"/>
      <c r="I859" s="51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</row>
    <row r="860" spans="1:25" ht="35.25" customHeight="1">
      <c r="A860" s="28"/>
      <c r="B860" s="28"/>
      <c r="C860" s="28"/>
      <c r="D860" s="28"/>
      <c r="E860" s="28"/>
      <c r="F860" s="28"/>
      <c r="G860" s="28"/>
      <c r="H860" s="51"/>
      <c r="I860" s="51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</row>
    <row r="861" spans="1:25" ht="35.25" customHeight="1">
      <c r="A861" s="28"/>
      <c r="B861" s="28"/>
      <c r="C861" s="28"/>
      <c r="D861" s="28"/>
      <c r="E861" s="28"/>
      <c r="F861" s="28"/>
      <c r="G861" s="28"/>
      <c r="H861" s="51"/>
      <c r="I861" s="51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</row>
    <row r="862" spans="1:25" ht="35.25" customHeight="1">
      <c r="A862" s="28"/>
      <c r="B862" s="28"/>
      <c r="C862" s="28"/>
      <c r="D862" s="28"/>
      <c r="E862" s="28"/>
      <c r="F862" s="28"/>
      <c r="G862" s="28"/>
      <c r="H862" s="51"/>
      <c r="I862" s="51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</row>
    <row r="863" spans="1:25" ht="35.25" customHeight="1">
      <c r="A863" s="28"/>
      <c r="B863" s="28"/>
      <c r="C863" s="28"/>
      <c r="D863" s="28"/>
      <c r="E863" s="28"/>
      <c r="F863" s="28"/>
      <c r="G863" s="28"/>
      <c r="H863" s="51"/>
      <c r="I863" s="51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</row>
    <row r="864" spans="1:25" ht="35.25" customHeight="1">
      <c r="A864" s="28"/>
      <c r="B864" s="28"/>
      <c r="C864" s="28"/>
      <c r="D864" s="28"/>
      <c r="E864" s="28"/>
      <c r="F864" s="28"/>
      <c r="G864" s="28"/>
      <c r="H864" s="51"/>
      <c r="I864" s="51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</row>
    <row r="865" spans="1:25" ht="35.25" customHeight="1">
      <c r="A865" s="28"/>
      <c r="B865" s="28"/>
      <c r="C865" s="28"/>
      <c r="D865" s="28"/>
      <c r="E865" s="28"/>
      <c r="F865" s="28"/>
      <c r="G865" s="28"/>
      <c r="H865" s="51"/>
      <c r="I865" s="51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</row>
    <row r="866" spans="1:25" ht="35.25" customHeight="1">
      <c r="A866" s="28"/>
      <c r="B866" s="28"/>
      <c r="C866" s="28"/>
      <c r="D866" s="28"/>
      <c r="E866" s="28"/>
      <c r="F866" s="28"/>
      <c r="G866" s="28"/>
      <c r="H866" s="51"/>
      <c r="I866" s="51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</row>
    <row r="867" spans="1:25" ht="35.25" customHeight="1">
      <c r="A867" s="28"/>
      <c r="B867" s="28"/>
      <c r="C867" s="28"/>
      <c r="D867" s="28"/>
      <c r="E867" s="28"/>
      <c r="F867" s="28"/>
      <c r="G867" s="28"/>
      <c r="H867" s="51"/>
      <c r="I867" s="51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</row>
    <row r="868" spans="1:25" ht="35.25" customHeight="1">
      <c r="A868" s="28"/>
      <c r="B868" s="28"/>
      <c r="C868" s="28"/>
      <c r="D868" s="28"/>
      <c r="E868" s="28"/>
      <c r="F868" s="28"/>
      <c r="G868" s="28"/>
      <c r="H868" s="51"/>
      <c r="I868" s="51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</row>
    <row r="869" spans="1:25" ht="35.25" customHeight="1">
      <c r="A869" s="28"/>
      <c r="B869" s="28"/>
      <c r="C869" s="28"/>
      <c r="D869" s="28"/>
      <c r="E869" s="28"/>
      <c r="F869" s="28"/>
      <c r="G869" s="28"/>
      <c r="H869" s="51"/>
      <c r="I869" s="51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</row>
    <row r="870" spans="1:25" ht="35.25" customHeight="1">
      <c r="A870" s="28"/>
      <c r="B870" s="28"/>
      <c r="C870" s="28"/>
      <c r="D870" s="28"/>
      <c r="E870" s="28"/>
      <c r="F870" s="28"/>
      <c r="G870" s="28"/>
      <c r="H870" s="51"/>
      <c r="I870" s="51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</row>
    <row r="871" spans="1:25" ht="35.25" customHeight="1">
      <c r="A871" s="28"/>
      <c r="B871" s="28"/>
      <c r="C871" s="28"/>
      <c r="D871" s="28"/>
      <c r="E871" s="28"/>
      <c r="F871" s="28"/>
      <c r="G871" s="28"/>
      <c r="H871" s="51"/>
      <c r="I871" s="51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</row>
    <row r="872" spans="1:25" ht="35.25" customHeight="1">
      <c r="A872" s="28"/>
      <c r="B872" s="28"/>
      <c r="C872" s="28"/>
      <c r="D872" s="28"/>
      <c r="E872" s="28"/>
      <c r="F872" s="28"/>
      <c r="G872" s="28"/>
      <c r="H872" s="51"/>
      <c r="I872" s="51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</row>
    <row r="873" spans="1:25" ht="35.25" customHeight="1">
      <c r="A873" s="28"/>
      <c r="B873" s="28"/>
      <c r="C873" s="28"/>
      <c r="D873" s="28"/>
      <c r="E873" s="28"/>
      <c r="F873" s="28"/>
      <c r="G873" s="28"/>
      <c r="H873" s="51"/>
      <c r="I873" s="51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</row>
    <row r="874" spans="1:25" ht="35.25" customHeight="1">
      <c r="A874" s="28"/>
      <c r="B874" s="28"/>
      <c r="C874" s="28"/>
      <c r="D874" s="28"/>
      <c r="E874" s="28"/>
      <c r="F874" s="28"/>
      <c r="G874" s="28"/>
      <c r="H874" s="51"/>
      <c r="I874" s="51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</row>
    <row r="875" spans="1:25" ht="35.25" customHeight="1">
      <c r="A875" s="28"/>
      <c r="B875" s="28"/>
      <c r="C875" s="28"/>
      <c r="D875" s="28"/>
      <c r="E875" s="28"/>
      <c r="F875" s="28"/>
      <c r="G875" s="28"/>
      <c r="H875" s="51"/>
      <c r="I875" s="51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</row>
    <row r="876" spans="1:25" ht="35.25" customHeight="1">
      <c r="A876" s="28"/>
      <c r="B876" s="28"/>
      <c r="C876" s="28"/>
      <c r="D876" s="28"/>
      <c r="E876" s="28"/>
      <c r="F876" s="28"/>
      <c r="G876" s="28"/>
      <c r="H876" s="51"/>
      <c r="I876" s="51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</row>
    <row r="877" spans="1:25" ht="35.25" customHeight="1">
      <c r="A877" s="28"/>
      <c r="B877" s="28"/>
      <c r="C877" s="28"/>
      <c r="D877" s="28"/>
      <c r="E877" s="28"/>
      <c r="F877" s="28"/>
      <c r="G877" s="28"/>
      <c r="H877" s="51"/>
      <c r="I877" s="51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</row>
    <row r="878" spans="1:25" ht="35.25" customHeight="1">
      <c r="A878" s="28"/>
      <c r="B878" s="28"/>
      <c r="C878" s="28"/>
      <c r="D878" s="28"/>
      <c r="E878" s="28"/>
      <c r="F878" s="28"/>
      <c r="G878" s="28"/>
      <c r="H878" s="51"/>
      <c r="I878" s="51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</row>
    <row r="879" spans="1:25" ht="35.25" customHeight="1">
      <c r="A879" s="28"/>
      <c r="B879" s="28"/>
      <c r="C879" s="28"/>
      <c r="D879" s="28"/>
      <c r="E879" s="28"/>
      <c r="F879" s="28"/>
      <c r="G879" s="28"/>
      <c r="H879" s="51"/>
      <c r="I879" s="51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</row>
    <row r="880" spans="1:25" ht="35.25" customHeight="1">
      <c r="A880" s="28"/>
      <c r="B880" s="28"/>
      <c r="C880" s="28"/>
      <c r="D880" s="28"/>
      <c r="E880" s="28"/>
      <c r="F880" s="28"/>
      <c r="G880" s="28"/>
      <c r="H880" s="51"/>
      <c r="I880" s="51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</row>
    <row r="881" spans="1:25" ht="35.25" customHeight="1">
      <c r="A881" s="28"/>
      <c r="B881" s="28"/>
      <c r="C881" s="28"/>
      <c r="D881" s="28"/>
      <c r="E881" s="28"/>
      <c r="F881" s="28"/>
      <c r="G881" s="28"/>
      <c r="H881" s="51"/>
      <c r="I881" s="51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</row>
    <row r="882" spans="1:25" ht="35.25" customHeight="1">
      <c r="A882" s="28"/>
      <c r="B882" s="28"/>
      <c r="C882" s="28"/>
      <c r="D882" s="28"/>
      <c r="E882" s="28"/>
      <c r="F882" s="28"/>
      <c r="G882" s="28"/>
      <c r="H882" s="51"/>
      <c r="I882" s="51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</row>
    <row r="883" spans="1:25" ht="35.25" customHeight="1">
      <c r="A883" s="28"/>
      <c r="B883" s="28"/>
      <c r="C883" s="28"/>
      <c r="D883" s="28"/>
      <c r="E883" s="28"/>
      <c r="F883" s="28"/>
      <c r="G883" s="28"/>
      <c r="H883" s="51"/>
      <c r="I883" s="51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</row>
    <row r="884" spans="1:25" ht="35.25" customHeight="1">
      <c r="A884" s="28"/>
      <c r="B884" s="28"/>
      <c r="C884" s="28"/>
      <c r="D884" s="28"/>
      <c r="E884" s="28"/>
      <c r="F884" s="28"/>
      <c r="G884" s="28"/>
      <c r="H884" s="51"/>
      <c r="I884" s="51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</row>
    <row r="885" spans="1:25" ht="35.25" customHeight="1">
      <c r="A885" s="28"/>
      <c r="B885" s="28"/>
      <c r="C885" s="28"/>
      <c r="D885" s="28"/>
      <c r="E885" s="28"/>
      <c r="F885" s="28"/>
      <c r="G885" s="28"/>
      <c r="H885" s="51"/>
      <c r="I885" s="51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</row>
    <row r="886" spans="1:25" ht="35.25" customHeight="1">
      <c r="A886" s="28"/>
      <c r="B886" s="28"/>
      <c r="C886" s="28"/>
      <c r="D886" s="28"/>
      <c r="E886" s="28"/>
      <c r="F886" s="28"/>
      <c r="G886" s="28"/>
      <c r="H886" s="51"/>
      <c r="I886" s="51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</row>
    <row r="887" spans="1:25" ht="35.25" customHeight="1">
      <c r="A887" s="28"/>
      <c r="B887" s="28"/>
      <c r="C887" s="28"/>
      <c r="D887" s="28"/>
      <c r="E887" s="28"/>
      <c r="F887" s="28"/>
      <c r="G887" s="28"/>
      <c r="H887" s="51"/>
      <c r="I887" s="51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</row>
    <row r="888" spans="1:25" ht="35.25" customHeight="1">
      <c r="A888" s="28"/>
      <c r="B888" s="28"/>
      <c r="C888" s="28"/>
      <c r="D888" s="28"/>
      <c r="E888" s="28"/>
      <c r="F888" s="28"/>
      <c r="G888" s="28"/>
      <c r="H888" s="51"/>
      <c r="I888" s="51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</row>
    <row r="889" spans="1:25" ht="35.25" customHeight="1">
      <c r="A889" s="28"/>
      <c r="B889" s="28"/>
      <c r="C889" s="28"/>
      <c r="D889" s="28"/>
      <c r="E889" s="28"/>
      <c r="F889" s="28"/>
      <c r="G889" s="28"/>
      <c r="H889" s="51"/>
      <c r="I889" s="51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</row>
    <row r="890" spans="1:25" ht="35.25" customHeight="1">
      <c r="A890" s="28"/>
      <c r="B890" s="28"/>
      <c r="C890" s="28"/>
      <c r="D890" s="28"/>
      <c r="E890" s="28"/>
      <c r="F890" s="28"/>
      <c r="G890" s="28"/>
      <c r="H890" s="51"/>
      <c r="I890" s="51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</row>
    <row r="891" spans="1:25" ht="35.25" customHeight="1">
      <c r="A891" s="28"/>
      <c r="B891" s="28"/>
      <c r="C891" s="28"/>
      <c r="D891" s="28"/>
      <c r="E891" s="28"/>
      <c r="F891" s="28"/>
      <c r="G891" s="28"/>
      <c r="H891" s="51"/>
      <c r="I891" s="51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</row>
    <row r="892" spans="1:25" ht="35.25" customHeight="1">
      <c r="A892" s="28"/>
      <c r="B892" s="28"/>
      <c r="C892" s="28"/>
      <c r="D892" s="28"/>
      <c r="E892" s="28"/>
      <c r="F892" s="28"/>
      <c r="G892" s="28"/>
      <c r="H892" s="51"/>
      <c r="I892" s="51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</row>
    <row r="893" spans="1:25" ht="35.25" customHeight="1">
      <c r="A893" s="28"/>
      <c r="B893" s="28"/>
      <c r="C893" s="28"/>
      <c r="D893" s="28"/>
      <c r="E893" s="28"/>
      <c r="F893" s="28"/>
      <c r="G893" s="28"/>
      <c r="H893" s="51"/>
      <c r="I893" s="51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</row>
    <row r="894" spans="1:25" ht="35.25" customHeight="1">
      <c r="A894" s="28"/>
      <c r="B894" s="28"/>
      <c r="C894" s="28"/>
      <c r="D894" s="28"/>
      <c r="E894" s="28"/>
      <c r="F894" s="28"/>
      <c r="G894" s="28"/>
      <c r="H894" s="51"/>
      <c r="I894" s="51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</row>
    <row r="895" spans="1:25" ht="35.25" customHeight="1">
      <c r="A895" s="28"/>
      <c r="B895" s="28"/>
      <c r="C895" s="28"/>
      <c r="D895" s="28"/>
      <c r="E895" s="28"/>
      <c r="F895" s="28"/>
      <c r="G895" s="28"/>
      <c r="H895" s="51"/>
      <c r="I895" s="51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</row>
    <row r="896" spans="1:25" ht="35.25" customHeight="1">
      <c r="A896" s="28"/>
      <c r="B896" s="28"/>
      <c r="C896" s="28"/>
      <c r="D896" s="28"/>
      <c r="E896" s="28"/>
      <c r="F896" s="28"/>
      <c r="G896" s="28"/>
      <c r="H896" s="51"/>
      <c r="I896" s="51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</row>
    <row r="897" spans="1:25" ht="35.25" customHeight="1">
      <c r="A897" s="28"/>
      <c r="B897" s="28"/>
      <c r="C897" s="28"/>
      <c r="D897" s="28"/>
      <c r="E897" s="28"/>
      <c r="F897" s="28"/>
      <c r="G897" s="28"/>
      <c r="H897" s="51"/>
      <c r="I897" s="51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</row>
    <row r="898" spans="1:25" ht="35.25" customHeight="1">
      <c r="A898" s="28"/>
      <c r="B898" s="28"/>
      <c r="C898" s="28"/>
      <c r="D898" s="28"/>
      <c r="E898" s="28"/>
      <c r="F898" s="28"/>
      <c r="G898" s="28"/>
      <c r="H898" s="51"/>
      <c r="I898" s="51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</row>
    <row r="899" spans="1:25" ht="35.25" customHeight="1">
      <c r="A899" s="28"/>
      <c r="B899" s="28"/>
      <c r="C899" s="28"/>
      <c r="D899" s="28"/>
      <c r="E899" s="28"/>
      <c r="F899" s="28"/>
      <c r="G899" s="28"/>
      <c r="H899" s="51"/>
      <c r="I899" s="51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</row>
    <row r="900" spans="1:25" ht="35.25" customHeight="1">
      <c r="A900" s="28"/>
      <c r="B900" s="28"/>
      <c r="C900" s="28"/>
      <c r="D900" s="28"/>
      <c r="E900" s="28"/>
      <c r="F900" s="28"/>
      <c r="G900" s="28"/>
      <c r="H900" s="51"/>
      <c r="I900" s="51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35.25" customHeight="1">
      <c r="A901" s="28"/>
      <c r="B901" s="28"/>
      <c r="C901" s="28"/>
      <c r="D901" s="28"/>
      <c r="E901" s="28"/>
      <c r="F901" s="28"/>
      <c r="G901" s="28"/>
      <c r="H901" s="51"/>
      <c r="I901" s="51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</row>
    <row r="902" spans="1:25" ht="35.25" customHeight="1">
      <c r="A902" s="28"/>
      <c r="B902" s="28"/>
      <c r="C902" s="28"/>
      <c r="D902" s="28"/>
      <c r="E902" s="28"/>
      <c r="F902" s="28"/>
      <c r="G902" s="28"/>
      <c r="H902" s="51"/>
      <c r="I902" s="51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</row>
    <row r="903" spans="1:25" ht="35.25" customHeight="1">
      <c r="A903" s="28"/>
      <c r="B903" s="28"/>
      <c r="C903" s="28"/>
      <c r="D903" s="28"/>
      <c r="E903" s="28"/>
      <c r="F903" s="28"/>
      <c r="G903" s="28"/>
      <c r="H903" s="51"/>
      <c r="I903" s="51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</row>
    <row r="904" spans="1:25" ht="35.25" customHeight="1">
      <c r="A904" s="28"/>
      <c r="B904" s="28"/>
      <c r="C904" s="28"/>
      <c r="D904" s="28"/>
      <c r="E904" s="28"/>
      <c r="F904" s="28"/>
      <c r="G904" s="28"/>
      <c r="H904" s="51"/>
      <c r="I904" s="51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</row>
    <row r="905" spans="1:25" ht="35.25" customHeight="1">
      <c r="A905" s="28"/>
      <c r="B905" s="28"/>
      <c r="C905" s="28"/>
      <c r="D905" s="28"/>
      <c r="E905" s="28"/>
      <c r="F905" s="28"/>
      <c r="G905" s="28"/>
      <c r="H905" s="51"/>
      <c r="I905" s="51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</row>
    <row r="906" spans="1:25" ht="35.25" customHeight="1">
      <c r="A906" s="28"/>
      <c r="B906" s="28"/>
      <c r="C906" s="28"/>
      <c r="D906" s="28"/>
      <c r="E906" s="28"/>
      <c r="F906" s="28"/>
      <c r="G906" s="28"/>
      <c r="H906" s="51"/>
      <c r="I906" s="51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</row>
    <row r="907" spans="1:25" ht="35.25" customHeight="1">
      <c r="A907" s="28"/>
      <c r="B907" s="28"/>
      <c r="C907" s="28"/>
      <c r="D907" s="28"/>
      <c r="E907" s="28"/>
      <c r="F907" s="28"/>
      <c r="G907" s="28"/>
      <c r="H907" s="51"/>
      <c r="I907" s="51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</row>
    <row r="908" spans="1:25" ht="35.25" customHeight="1">
      <c r="A908" s="28"/>
      <c r="B908" s="28"/>
      <c r="C908" s="28"/>
      <c r="D908" s="28"/>
      <c r="E908" s="28"/>
      <c r="F908" s="28"/>
      <c r="G908" s="28"/>
      <c r="H908" s="51"/>
      <c r="I908" s="51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</row>
    <row r="909" spans="1:25" ht="35.25" customHeight="1">
      <c r="A909" s="28"/>
      <c r="B909" s="28"/>
      <c r="C909" s="28"/>
      <c r="D909" s="28"/>
      <c r="E909" s="28"/>
      <c r="F909" s="28"/>
      <c r="G909" s="28"/>
      <c r="H909" s="51"/>
      <c r="I909" s="51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</row>
    <row r="910" spans="1:25" ht="35.25" customHeight="1">
      <c r="A910" s="28"/>
      <c r="B910" s="28"/>
      <c r="C910" s="28"/>
      <c r="D910" s="28"/>
      <c r="E910" s="28"/>
      <c r="F910" s="28"/>
      <c r="G910" s="28"/>
      <c r="H910" s="51"/>
      <c r="I910" s="51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</row>
    <row r="911" spans="1:25" ht="35.25" customHeight="1">
      <c r="A911" s="28"/>
      <c r="B911" s="28"/>
      <c r="C911" s="28"/>
      <c r="D911" s="28"/>
      <c r="E911" s="28"/>
      <c r="F911" s="28"/>
      <c r="G911" s="28"/>
      <c r="H911" s="51"/>
      <c r="I911" s="51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</row>
    <row r="912" spans="1:25" ht="35.25" customHeight="1">
      <c r="A912" s="28"/>
      <c r="B912" s="28"/>
      <c r="C912" s="28"/>
      <c r="D912" s="28"/>
      <c r="E912" s="28"/>
      <c r="F912" s="28"/>
      <c r="G912" s="28"/>
      <c r="H912" s="51"/>
      <c r="I912" s="51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</row>
    <row r="913" spans="1:25" ht="35.25" customHeight="1">
      <c r="A913" s="28"/>
      <c r="B913" s="28"/>
      <c r="C913" s="28"/>
      <c r="D913" s="28"/>
      <c r="E913" s="28"/>
      <c r="F913" s="28"/>
      <c r="G913" s="28"/>
      <c r="H913" s="51"/>
      <c r="I913" s="51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</row>
    <row r="914" spans="1:25" ht="35.25" customHeight="1">
      <c r="A914" s="28"/>
      <c r="B914" s="28"/>
      <c r="C914" s="28"/>
      <c r="D914" s="28"/>
      <c r="E914" s="28"/>
      <c r="F914" s="28"/>
      <c r="G914" s="28"/>
      <c r="H914" s="51"/>
      <c r="I914" s="51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</row>
    <row r="915" spans="1:25" ht="35.25" customHeight="1">
      <c r="A915" s="28"/>
      <c r="B915" s="28"/>
      <c r="C915" s="28"/>
      <c r="D915" s="28"/>
      <c r="E915" s="28"/>
      <c r="F915" s="28"/>
      <c r="G915" s="28"/>
      <c r="H915" s="51"/>
      <c r="I915" s="51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</row>
    <row r="916" spans="1:25" ht="35.25" customHeight="1">
      <c r="A916" s="28"/>
      <c r="B916" s="28"/>
      <c r="C916" s="28"/>
      <c r="D916" s="28"/>
      <c r="E916" s="28"/>
      <c r="F916" s="28"/>
      <c r="G916" s="28"/>
      <c r="H916" s="51"/>
      <c r="I916" s="51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</row>
    <row r="917" spans="1:25" ht="35.25" customHeight="1">
      <c r="A917" s="28"/>
      <c r="B917" s="28"/>
      <c r="C917" s="28"/>
      <c r="D917" s="28"/>
      <c r="E917" s="28"/>
      <c r="F917" s="28"/>
      <c r="G917" s="28"/>
      <c r="H917" s="51"/>
      <c r="I917" s="51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</row>
    <row r="918" spans="1:25" ht="35.25" customHeight="1">
      <c r="A918" s="28"/>
      <c r="B918" s="28"/>
      <c r="C918" s="28"/>
      <c r="D918" s="28"/>
      <c r="E918" s="28"/>
      <c r="F918" s="28"/>
      <c r="G918" s="28"/>
      <c r="H918" s="51"/>
      <c r="I918" s="51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</row>
    <row r="919" spans="1:25" ht="35.25" customHeight="1">
      <c r="A919" s="28"/>
      <c r="B919" s="28"/>
      <c r="C919" s="28"/>
      <c r="D919" s="28"/>
      <c r="E919" s="28"/>
      <c r="F919" s="28"/>
      <c r="G919" s="28"/>
      <c r="H919" s="51"/>
      <c r="I919" s="51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</row>
    <row r="920" spans="1:25" ht="35.25" customHeight="1">
      <c r="A920" s="28"/>
      <c r="B920" s="28"/>
      <c r="C920" s="28"/>
      <c r="D920" s="28"/>
      <c r="E920" s="28"/>
      <c r="F920" s="28"/>
      <c r="G920" s="28"/>
      <c r="H920" s="51"/>
      <c r="I920" s="51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</row>
    <row r="921" spans="1:25" ht="35.25" customHeight="1">
      <c r="A921" s="28"/>
      <c r="B921" s="28"/>
      <c r="C921" s="28"/>
      <c r="D921" s="28"/>
      <c r="E921" s="28"/>
      <c r="F921" s="28"/>
      <c r="G921" s="28"/>
      <c r="H921" s="51"/>
      <c r="I921" s="51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</row>
    <row r="922" spans="1:25" ht="35.25" customHeight="1">
      <c r="A922" s="28"/>
      <c r="B922" s="28"/>
      <c r="C922" s="28"/>
      <c r="D922" s="28"/>
      <c r="E922" s="28"/>
      <c r="F922" s="28"/>
      <c r="G922" s="28"/>
      <c r="H922" s="51"/>
      <c r="I922" s="51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</row>
    <row r="923" spans="1:25" ht="35.25" customHeight="1">
      <c r="A923" s="28"/>
      <c r="B923" s="28"/>
      <c r="C923" s="28"/>
      <c r="D923" s="28"/>
      <c r="E923" s="28"/>
      <c r="F923" s="28"/>
      <c r="G923" s="28"/>
      <c r="H923" s="51"/>
      <c r="I923" s="51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</row>
    <row r="924" spans="1:25" ht="35.25" customHeight="1">
      <c r="A924" s="28"/>
      <c r="B924" s="28"/>
      <c r="C924" s="28"/>
      <c r="D924" s="28"/>
      <c r="E924" s="28"/>
      <c r="F924" s="28"/>
      <c r="G924" s="28"/>
      <c r="H924" s="51"/>
      <c r="I924" s="51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</row>
    <row r="925" spans="1:25" ht="35.25" customHeight="1">
      <c r="A925" s="28"/>
      <c r="B925" s="28"/>
      <c r="C925" s="28"/>
      <c r="D925" s="28"/>
      <c r="E925" s="28"/>
      <c r="F925" s="28"/>
      <c r="G925" s="28"/>
      <c r="H925" s="51"/>
      <c r="I925" s="51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</row>
    <row r="926" spans="1:25" ht="35.25" customHeight="1">
      <c r="A926" s="28"/>
      <c r="B926" s="28"/>
      <c r="C926" s="28"/>
      <c r="D926" s="28"/>
      <c r="E926" s="28"/>
      <c r="F926" s="28"/>
      <c r="G926" s="28"/>
      <c r="H926" s="51"/>
      <c r="I926" s="51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</row>
    <row r="927" spans="1:25" ht="35.25" customHeight="1">
      <c r="A927" s="28"/>
      <c r="B927" s="28"/>
      <c r="C927" s="28"/>
      <c r="D927" s="28"/>
      <c r="E927" s="28"/>
      <c r="F927" s="28"/>
      <c r="G927" s="28"/>
      <c r="H927" s="51"/>
      <c r="I927" s="51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</row>
    <row r="928" spans="1:25" ht="35.25" customHeight="1">
      <c r="A928" s="28"/>
      <c r="B928" s="28"/>
      <c r="C928" s="28"/>
      <c r="D928" s="28"/>
      <c r="E928" s="28"/>
      <c r="F928" s="28"/>
      <c r="G928" s="28"/>
      <c r="H928" s="51"/>
      <c r="I928" s="51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</row>
    <row r="929" spans="1:25" ht="35.25" customHeight="1">
      <c r="A929" s="28"/>
      <c r="B929" s="28"/>
      <c r="C929" s="28"/>
      <c r="D929" s="28"/>
      <c r="E929" s="28"/>
      <c r="F929" s="28"/>
      <c r="G929" s="28"/>
      <c r="H929" s="51"/>
      <c r="I929" s="51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</row>
    <row r="930" spans="1:25" ht="35.25" customHeight="1">
      <c r="A930" s="28"/>
      <c r="B930" s="28"/>
      <c r="C930" s="28"/>
      <c r="D930" s="28"/>
      <c r="E930" s="28"/>
      <c r="F930" s="28"/>
      <c r="G930" s="28"/>
      <c r="H930" s="51"/>
      <c r="I930" s="51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</row>
    <row r="931" spans="1:25" ht="35.25" customHeight="1">
      <c r="A931" s="28"/>
      <c r="B931" s="28"/>
      <c r="C931" s="28"/>
      <c r="D931" s="28"/>
      <c r="E931" s="28"/>
      <c r="F931" s="28"/>
      <c r="G931" s="28"/>
      <c r="H931" s="51"/>
      <c r="I931" s="51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</row>
    <row r="932" spans="1:25" ht="35.25" customHeight="1">
      <c r="A932" s="28"/>
      <c r="B932" s="28"/>
      <c r="C932" s="28"/>
      <c r="D932" s="28"/>
      <c r="E932" s="28"/>
      <c r="F932" s="28"/>
      <c r="G932" s="28"/>
      <c r="H932" s="51"/>
      <c r="I932" s="51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</row>
    <row r="933" spans="1:25" ht="35.25" customHeight="1">
      <c r="A933" s="28"/>
      <c r="B933" s="28"/>
      <c r="C933" s="28"/>
      <c r="D933" s="28"/>
      <c r="E933" s="28"/>
      <c r="F933" s="28"/>
      <c r="G933" s="28"/>
      <c r="H933" s="51"/>
      <c r="I933" s="51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</row>
    <row r="934" spans="1:25" ht="35.25" customHeight="1">
      <c r="A934" s="28"/>
      <c r="B934" s="28"/>
      <c r="C934" s="28"/>
      <c r="D934" s="28"/>
      <c r="E934" s="28"/>
      <c r="F934" s="28"/>
      <c r="G934" s="28"/>
      <c r="H934" s="51"/>
      <c r="I934" s="51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</row>
    <row r="935" spans="1:25" ht="35.25" customHeight="1">
      <c r="A935" s="28"/>
      <c r="B935" s="28"/>
      <c r="C935" s="28"/>
      <c r="D935" s="28"/>
      <c r="E935" s="28"/>
      <c r="F935" s="28"/>
      <c r="G935" s="28"/>
      <c r="H935" s="51"/>
      <c r="I935" s="51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</row>
    <row r="936" spans="1:25" ht="35.25" customHeight="1">
      <c r="A936" s="28"/>
      <c r="B936" s="28"/>
      <c r="C936" s="28"/>
      <c r="D936" s="28"/>
      <c r="E936" s="28"/>
      <c r="F936" s="28"/>
      <c r="G936" s="28"/>
      <c r="H936" s="51"/>
      <c r="I936" s="51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</row>
    <row r="937" spans="1:25" ht="35.25" customHeight="1">
      <c r="A937" s="28"/>
      <c r="B937" s="28"/>
      <c r="C937" s="28"/>
      <c r="D937" s="28"/>
      <c r="E937" s="28"/>
      <c r="F937" s="28"/>
      <c r="G937" s="28"/>
      <c r="H937" s="51"/>
      <c r="I937" s="51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</row>
    <row r="938" spans="1:25" ht="35.25" customHeight="1">
      <c r="A938" s="28"/>
      <c r="B938" s="28"/>
      <c r="C938" s="28"/>
      <c r="D938" s="28"/>
      <c r="E938" s="28"/>
      <c r="F938" s="28"/>
      <c r="G938" s="28"/>
      <c r="H938" s="51"/>
      <c r="I938" s="51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</row>
    <row r="939" spans="1:25" ht="35.25" customHeight="1">
      <c r="A939" s="28"/>
      <c r="B939" s="28"/>
      <c r="C939" s="28"/>
      <c r="D939" s="28"/>
      <c r="E939" s="28"/>
      <c r="F939" s="28"/>
      <c r="G939" s="28"/>
      <c r="H939" s="51"/>
      <c r="I939" s="51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</row>
    <row r="940" spans="1:25" ht="35.25" customHeight="1">
      <c r="A940" s="28"/>
      <c r="B940" s="28"/>
      <c r="C940" s="28"/>
      <c r="D940" s="28"/>
      <c r="E940" s="28"/>
      <c r="F940" s="28"/>
      <c r="G940" s="28"/>
      <c r="H940" s="51"/>
      <c r="I940" s="51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</row>
    <row r="941" spans="1:25" ht="35.25" customHeight="1">
      <c r="A941" s="28"/>
      <c r="B941" s="28"/>
      <c r="C941" s="28"/>
      <c r="D941" s="28"/>
      <c r="E941" s="28"/>
      <c r="F941" s="28"/>
      <c r="G941" s="28"/>
      <c r="H941" s="51"/>
      <c r="I941" s="51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</row>
    <row r="942" spans="1:25" ht="35.25" customHeight="1">
      <c r="A942" s="28"/>
      <c r="B942" s="28"/>
      <c r="C942" s="28"/>
      <c r="D942" s="28"/>
      <c r="E942" s="28"/>
      <c r="F942" s="28"/>
      <c r="G942" s="28"/>
      <c r="H942" s="51"/>
      <c r="I942" s="51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</row>
    <row r="943" spans="1:25" ht="35.25" customHeight="1">
      <c r="A943" s="28"/>
      <c r="B943" s="28"/>
      <c r="C943" s="28"/>
      <c r="D943" s="28"/>
      <c r="E943" s="28"/>
      <c r="F943" s="28"/>
      <c r="G943" s="28"/>
      <c r="H943" s="51"/>
      <c r="I943" s="51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</row>
    <row r="944" spans="1:25" ht="35.25" customHeight="1">
      <c r="A944" s="28"/>
      <c r="B944" s="28"/>
      <c r="C944" s="28"/>
      <c r="D944" s="28"/>
      <c r="E944" s="28"/>
      <c r="F944" s="28"/>
      <c r="G944" s="28"/>
      <c r="H944" s="51"/>
      <c r="I944" s="51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</row>
    <row r="945" spans="1:25" ht="35.25" customHeight="1">
      <c r="A945" s="28"/>
      <c r="B945" s="28"/>
      <c r="C945" s="28"/>
      <c r="D945" s="28"/>
      <c r="E945" s="28"/>
      <c r="F945" s="28"/>
      <c r="G945" s="28"/>
      <c r="H945" s="51"/>
      <c r="I945" s="51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</row>
    <row r="946" spans="1:25" ht="35.25" customHeight="1">
      <c r="A946" s="28"/>
      <c r="B946" s="28"/>
      <c r="C946" s="28"/>
      <c r="D946" s="28"/>
      <c r="E946" s="28"/>
      <c r="F946" s="28"/>
      <c r="G946" s="28"/>
      <c r="H946" s="51"/>
      <c r="I946" s="51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</row>
    <row r="947" spans="1:25" ht="35.25" customHeight="1">
      <c r="A947" s="28"/>
      <c r="B947" s="28"/>
      <c r="C947" s="28"/>
      <c r="D947" s="28"/>
      <c r="E947" s="28"/>
      <c r="F947" s="28"/>
      <c r="G947" s="28"/>
      <c r="H947" s="51"/>
      <c r="I947" s="51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</row>
    <row r="948" spans="1:25" ht="35.25" customHeight="1">
      <c r="A948" s="28"/>
      <c r="B948" s="28"/>
      <c r="C948" s="28"/>
      <c r="D948" s="28"/>
      <c r="E948" s="28"/>
      <c r="F948" s="28"/>
      <c r="G948" s="28"/>
      <c r="H948" s="51"/>
      <c r="I948" s="51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</row>
    <row r="949" spans="1:25" ht="35.25" customHeight="1">
      <c r="A949" s="28"/>
      <c r="B949" s="28"/>
      <c r="C949" s="28"/>
      <c r="D949" s="28"/>
      <c r="E949" s="28"/>
      <c r="F949" s="28"/>
      <c r="G949" s="28"/>
      <c r="H949" s="51"/>
      <c r="I949" s="51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</row>
    <row r="950" spans="1:25" ht="35.25" customHeight="1">
      <c r="A950" s="28"/>
      <c r="B950" s="28"/>
      <c r="C950" s="28"/>
      <c r="D950" s="28"/>
      <c r="E950" s="28"/>
      <c r="F950" s="28"/>
      <c r="G950" s="28"/>
      <c r="H950" s="51"/>
      <c r="I950" s="51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</row>
    <row r="951" spans="1:25" ht="35.25" customHeight="1">
      <c r="A951" s="28"/>
      <c r="B951" s="28"/>
      <c r="C951" s="28"/>
      <c r="D951" s="28"/>
      <c r="E951" s="28"/>
      <c r="F951" s="28"/>
      <c r="G951" s="28"/>
      <c r="H951" s="51"/>
      <c r="I951" s="51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</row>
    <row r="952" spans="1:25" ht="35.25" customHeight="1">
      <c r="A952" s="28"/>
      <c r="B952" s="28"/>
      <c r="C952" s="28"/>
      <c r="D952" s="28"/>
      <c r="E952" s="28"/>
      <c r="F952" s="28"/>
      <c r="G952" s="28"/>
      <c r="H952" s="51"/>
      <c r="I952" s="51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</row>
    <row r="953" spans="1:25" ht="35.25" customHeight="1">
      <c r="A953" s="28"/>
      <c r="B953" s="28"/>
      <c r="C953" s="28"/>
      <c r="D953" s="28"/>
      <c r="E953" s="28"/>
      <c r="F953" s="28"/>
      <c r="G953" s="28"/>
      <c r="H953" s="51"/>
      <c r="I953" s="51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</row>
    <row r="954" spans="1:25" ht="35.25" customHeight="1">
      <c r="A954" s="28"/>
      <c r="B954" s="28"/>
      <c r="C954" s="28"/>
      <c r="D954" s="28"/>
      <c r="E954" s="28"/>
      <c r="F954" s="28"/>
      <c r="G954" s="28"/>
      <c r="H954" s="51"/>
      <c r="I954" s="51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</row>
    <row r="955" spans="1:25" ht="35.25" customHeight="1">
      <c r="A955" s="28"/>
      <c r="B955" s="28"/>
      <c r="C955" s="28"/>
      <c r="D955" s="28"/>
      <c r="E955" s="28"/>
      <c r="F955" s="28"/>
      <c r="G955" s="28"/>
      <c r="H955" s="51"/>
      <c r="I955" s="51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</row>
    <row r="956" spans="1:25" ht="35.25" customHeight="1">
      <c r="A956" s="28"/>
      <c r="B956" s="28"/>
      <c r="C956" s="28"/>
      <c r="D956" s="28"/>
      <c r="E956" s="28"/>
      <c r="F956" s="28"/>
      <c r="G956" s="28"/>
      <c r="H956" s="51"/>
      <c r="I956" s="51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</row>
    <row r="957" spans="1:25" ht="35.25" customHeight="1">
      <c r="A957" s="28"/>
      <c r="B957" s="28"/>
      <c r="C957" s="28"/>
      <c r="D957" s="28"/>
      <c r="E957" s="28"/>
      <c r="F957" s="28"/>
      <c r="G957" s="28"/>
      <c r="H957" s="51"/>
      <c r="I957" s="51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</row>
    <row r="958" spans="1:25" ht="35.25" customHeight="1">
      <c r="A958" s="28"/>
      <c r="B958" s="28"/>
      <c r="C958" s="28"/>
      <c r="D958" s="28"/>
      <c r="E958" s="28"/>
      <c r="F958" s="28"/>
      <c r="G958" s="28"/>
      <c r="H958" s="51"/>
      <c r="I958" s="51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</row>
    <row r="959" spans="1:25" ht="35.25" customHeight="1">
      <c r="A959" s="28"/>
      <c r="B959" s="28"/>
      <c r="C959" s="28"/>
      <c r="D959" s="28"/>
      <c r="E959" s="28"/>
      <c r="F959" s="28"/>
      <c r="G959" s="28"/>
      <c r="H959" s="51"/>
      <c r="I959" s="51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</row>
    <row r="960" spans="1:25" ht="35.25" customHeight="1">
      <c r="A960" s="28"/>
      <c r="B960" s="28"/>
      <c r="C960" s="28"/>
      <c r="D960" s="28"/>
      <c r="E960" s="28"/>
      <c r="F960" s="28"/>
      <c r="G960" s="28"/>
      <c r="H960" s="51"/>
      <c r="I960" s="51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</row>
    <row r="961" spans="1:25" ht="35.25" customHeight="1">
      <c r="A961" s="28"/>
      <c r="B961" s="28"/>
      <c r="C961" s="28"/>
      <c r="D961" s="28"/>
      <c r="E961" s="28"/>
      <c r="F961" s="28"/>
      <c r="G961" s="28"/>
      <c r="H961" s="51"/>
      <c r="I961" s="51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</row>
    <row r="962" spans="1:25" ht="35.25" customHeight="1">
      <c r="A962" s="28"/>
      <c r="B962" s="28"/>
      <c r="C962" s="28"/>
      <c r="D962" s="28"/>
      <c r="E962" s="28"/>
      <c r="F962" s="28"/>
      <c r="G962" s="28"/>
      <c r="H962" s="51"/>
      <c r="I962" s="51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</row>
    <row r="963" spans="1:25" ht="35.25" customHeight="1">
      <c r="A963" s="28"/>
      <c r="B963" s="28"/>
      <c r="C963" s="28"/>
      <c r="D963" s="28"/>
      <c r="E963" s="28"/>
      <c r="F963" s="28"/>
      <c r="G963" s="28"/>
      <c r="H963" s="51"/>
      <c r="I963" s="51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</row>
    <row r="964" spans="1:25" ht="35.25" customHeight="1">
      <c r="A964" s="28"/>
      <c r="B964" s="28"/>
      <c r="C964" s="28"/>
      <c r="D964" s="28"/>
      <c r="E964" s="28"/>
      <c r="F964" s="28"/>
      <c r="G964" s="28"/>
      <c r="H964" s="51"/>
      <c r="I964" s="51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35.25" customHeight="1">
      <c r="A965" s="28"/>
      <c r="B965" s="28"/>
      <c r="C965" s="28"/>
      <c r="D965" s="28"/>
      <c r="E965" s="28"/>
      <c r="F965" s="28"/>
      <c r="G965" s="28"/>
      <c r="H965" s="51"/>
      <c r="I965" s="51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</row>
    <row r="966" spans="1:25" ht="35.25" customHeight="1">
      <c r="A966" s="28"/>
      <c r="B966" s="28"/>
      <c r="C966" s="28"/>
      <c r="D966" s="28"/>
      <c r="E966" s="28"/>
      <c r="F966" s="28"/>
      <c r="G966" s="28"/>
      <c r="H966" s="51"/>
      <c r="I966" s="51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</row>
    <row r="967" spans="1:25" ht="35.25" customHeight="1">
      <c r="A967" s="28"/>
      <c r="B967" s="28"/>
      <c r="C967" s="28"/>
      <c r="D967" s="28"/>
      <c r="E967" s="28"/>
      <c r="F967" s="28"/>
      <c r="G967" s="28"/>
      <c r="H967" s="51"/>
      <c r="I967" s="51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</row>
    <row r="968" spans="1:25" ht="35.25" customHeight="1">
      <c r="A968" s="28"/>
      <c r="B968" s="28"/>
      <c r="C968" s="28"/>
      <c r="D968" s="28"/>
      <c r="E968" s="28"/>
      <c r="F968" s="28"/>
      <c r="G968" s="28"/>
      <c r="H968" s="51"/>
      <c r="I968" s="51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</row>
    <row r="969" spans="1:25" ht="35.25" customHeight="1">
      <c r="A969" s="28"/>
      <c r="B969" s="28"/>
      <c r="C969" s="28"/>
      <c r="D969" s="28"/>
      <c r="E969" s="28"/>
      <c r="F969" s="28"/>
      <c r="G969" s="28"/>
      <c r="H969" s="51"/>
      <c r="I969" s="51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</row>
    <row r="970" spans="1:25" ht="35.25" customHeight="1">
      <c r="A970" s="28"/>
      <c r="B970" s="28"/>
      <c r="C970" s="28"/>
      <c r="D970" s="28"/>
      <c r="E970" s="28"/>
      <c r="F970" s="28"/>
      <c r="G970" s="28"/>
      <c r="H970" s="51"/>
      <c r="I970" s="51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</row>
    <row r="971" spans="1:25" ht="35.25" customHeight="1">
      <c r="A971" s="28"/>
      <c r="B971" s="28"/>
      <c r="C971" s="28"/>
      <c r="D971" s="28"/>
      <c r="E971" s="28"/>
      <c r="F971" s="28"/>
      <c r="G971" s="28"/>
      <c r="H971" s="51"/>
      <c r="I971" s="51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</row>
    <row r="972" spans="1:25" ht="35.25" customHeight="1">
      <c r="A972" s="28"/>
      <c r="B972" s="28"/>
      <c r="C972" s="28"/>
      <c r="D972" s="28"/>
      <c r="E972" s="28"/>
      <c r="F972" s="28"/>
      <c r="G972" s="28"/>
      <c r="H972" s="51"/>
      <c r="I972" s="51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</row>
    <row r="973" spans="1:25" ht="35.25" customHeight="1">
      <c r="A973" s="28"/>
      <c r="B973" s="28"/>
      <c r="C973" s="28"/>
      <c r="D973" s="28"/>
      <c r="E973" s="28"/>
      <c r="F973" s="28"/>
      <c r="G973" s="28"/>
      <c r="H973" s="51"/>
      <c r="I973" s="51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</row>
    <row r="974" spans="1:25" ht="35.25" customHeight="1">
      <c r="A974" s="28"/>
      <c r="B974" s="28"/>
      <c r="C974" s="28"/>
      <c r="D974" s="28"/>
      <c r="E974" s="28"/>
      <c r="F974" s="28"/>
      <c r="G974" s="28"/>
      <c r="H974" s="51"/>
      <c r="I974" s="51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</row>
    <row r="975" spans="1:25" ht="35.25" customHeight="1">
      <c r="A975" s="28"/>
      <c r="B975" s="28"/>
      <c r="C975" s="28"/>
      <c r="D975" s="28"/>
      <c r="E975" s="28"/>
      <c r="F975" s="28"/>
      <c r="G975" s="28"/>
      <c r="H975" s="51"/>
      <c r="I975" s="51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</row>
    <row r="976" spans="1:25" ht="35.25" customHeight="1">
      <c r="A976" s="28"/>
      <c r="B976" s="28"/>
      <c r="C976" s="28"/>
      <c r="D976" s="28"/>
      <c r="E976" s="28"/>
      <c r="F976" s="28"/>
      <c r="G976" s="28"/>
      <c r="H976" s="51"/>
      <c r="I976" s="51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</row>
    <row r="977" spans="1:25" ht="35.25" customHeight="1">
      <c r="A977" s="28"/>
      <c r="B977" s="28"/>
      <c r="C977" s="28"/>
      <c r="D977" s="28"/>
      <c r="E977" s="28"/>
      <c r="F977" s="28"/>
      <c r="G977" s="28"/>
      <c r="H977" s="51"/>
      <c r="I977" s="51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</row>
    <row r="978" spans="1:25" ht="35.25" customHeight="1">
      <c r="A978" s="28"/>
      <c r="B978" s="28"/>
      <c r="C978" s="28"/>
      <c r="D978" s="28"/>
      <c r="E978" s="28"/>
      <c r="F978" s="28"/>
      <c r="G978" s="28"/>
      <c r="H978" s="51"/>
      <c r="I978" s="51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</row>
    <row r="979" spans="1:25" ht="35.25" customHeight="1">
      <c r="A979" s="28"/>
      <c r="B979" s="28"/>
      <c r="C979" s="28"/>
      <c r="D979" s="28"/>
      <c r="E979" s="28"/>
      <c r="F979" s="28"/>
      <c r="G979" s="28"/>
      <c r="H979" s="51"/>
      <c r="I979" s="51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</row>
    <row r="980" spans="1:25" ht="35.25" customHeight="1">
      <c r="A980" s="28"/>
      <c r="B980" s="28"/>
      <c r="C980" s="28"/>
      <c r="D980" s="28"/>
      <c r="E980" s="28"/>
      <c r="F980" s="28"/>
      <c r="G980" s="28"/>
      <c r="H980" s="51"/>
      <c r="I980" s="51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</row>
    <row r="981" spans="1:25" ht="35.25" customHeight="1">
      <c r="A981" s="28"/>
      <c r="B981" s="28"/>
      <c r="C981" s="28"/>
      <c r="D981" s="28"/>
      <c r="E981" s="28"/>
      <c r="F981" s="28"/>
      <c r="G981" s="28"/>
      <c r="H981" s="51"/>
      <c r="I981" s="51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</row>
    <row r="982" spans="1:25" ht="35.25" customHeight="1">
      <c r="A982" s="28"/>
      <c r="B982" s="28"/>
      <c r="C982" s="28"/>
      <c r="D982" s="28"/>
      <c r="E982" s="28"/>
      <c r="F982" s="28"/>
      <c r="G982" s="28"/>
      <c r="H982" s="51"/>
      <c r="I982" s="51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</row>
    <row r="983" spans="1:25" ht="35.25" customHeight="1">
      <c r="A983" s="28"/>
      <c r="B983" s="28"/>
      <c r="C983" s="28"/>
      <c r="D983" s="28"/>
      <c r="E983" s="28"/>
      <c r="F983" s="28"/>
      <c r="G983" s="28"/>
      <c r="H983" s="51"/>
      <c r="I983" s="51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</row>
    <row r="984" spans="1:25" ht="35.25" customHeight="1">
      <c r="A984" s="28"/>
      <c r="B984" s="28"/>
      <c r="C984" s="28"/>
      <c r="D984" s="28"/>
      <c r="E984" s="28"/>
      <c r="F984" s="28"/>
      <c r="G984" s="28"/>
      <c r="H984" s="51"/>
      <c r="I984" s="51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</row>
    <row r="985" spans="1:25" ht="35.25" customHeight="1">
      <c r="A985" s="28"/>
      <c r="B985" s="28"/>
      <c r="C985" s="28"/>
      <c r="D985" s="28"/>
      <c r="E985" s="28"/>
      <c r="F985" s="28"/>
      <c r="G985" s="28"/>
      <c r="H985" s="51"/>
      <c r="I985" s="51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</row>
    <row r="986" spans="1:25" ht="35.25" customHeight="1">
      <c r="A986" s="28"/>
      <c r="B986" s="28"/>
      <c r="C986" s="28"/>
      <c r="D986" s="28"/>
      <c r="E986" s="28"/>
      <c r="F986" s="28"/>
      <c r="G986" s="28"/>
      <c r="H986" s="51"/>
      <c r="I986" s="51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</row>
    <row r="987" spans="1:25" ht="35.25" customHeight="1">
      <c r="A987" s="28"/>
      <c r="B987" s="28"/>
      <c r="C987" s="28"/>
      <c r="D987" s="28"/>
      <c r="E987" s="28"/>
      <c r="F987" s="28"/>
      <c r="G987" s="28"/>
      <c r="H987" s="51"/>
      <c r="I987" s="51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</row>
    <row r="988" spans="1:25" ht="35.25" customHeight="1">
      <c r="A988" s="28"/>
      <c r="B988" s="28"/>
      <c r="C988" s="28"/>
      <c r="D988" s="28"/>
      <c r="E988" s="28"/>
      <c r="F988" s="28"/>
      <c r="G988" s="28"/>
      <c r="H988" s="51"/>
      <c r="I988" s="51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</row>
    <row r="989" spans="1:25" ht="35.25" customHeight="1">
      <c r="A989" s="28"/>
      <c r="B989" s="28"/>
      <c r="C989" s="28"/>
      <c r="D989" s="28"/>
      <c r="E989" s="28"/>
      <c r="F989" s="28"/>
      <c r="G989" s="28"/>
      <c r="H989" s="51"/>
      <c r="I989" s="51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</row>
    <row r="990" spans="1:25" ht="35.25" customHeight="1">
      <c r="A990" s="28"/>
      <c r="B990" s="28"/>
      <c r="C990" s="28"/>
      <c r="D990" s="28"/>
      <c r="E990" s="28"/>
      <c r="F990" s="28"/>
      <c r="G990" s="28"/>
      <c r="H990" s="51"/>
      <c r="I990" s="51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</row>
    <row r="991" spans="1:25" ht="35.25" customHeight="1">
      <c r="A991" s="28"/>
      <c r="B991" s="28"/>
      <c r="C991" s="28"/>
      <c r="D991" s="28"/>
      <c r="E991" s="28"/>
      <c r="F991" s="28"/>
      <c r="G991" s="28"/>
      <c r="H991" s="51"/>
      <c r="I991" s="51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</row>
  </sheetData>
  <mergeCells count="7">
    <mergeCell ref="H2:I2"/>
    <mergeCell ref="H7:I7"/>
    <mergeCell ref="B10:C10"/>
    <mergeCell ref="D10:F10"/>
    <mergeCell ref="B2:C2"/>
    <mergeCell ref="E2:F2"/>
    <mergeCell ref="E7:F7"/>
  </mergeCells>
  <phoneticPr fontId="20" type="noConversion"/>
  <hyperlinks>
    <hyperlink ref="D10" r:id="rId1" xr:uid="{08EA9CDE-D6FF-4E15-9003-14FE0A8E8FEB}"/>
    <hyperlink ref="D10:F10" r:id="rId2" display="https://drive.google.com/file/d/1QCHiXjq6qoHyvZkpmJN9C5EQW9AOToOz/view?usp=drive_link" xr:uid="{B69535D0-1744-464F-9945-ECEFA041AB3C}"/>
  </hyperlinks>
  <pageMargins left="0.7" right="0.7" top="0.75" bottom="0.75" header="0.3" footer="0.3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  <outlinePr summaryBelow="0" summaryRight="0"/>
  </sheetPr>
  <dimension ref="A1:Z999"/>
  <sheetViews>
    <sheetView topLeftCell="E2" workbookViewId="0">
      <selection activeCell="O8" sqref="O8"/>
    </sheetView>
  </sheetViews>
  <sheetFormatPr defaultColWidth="12.7109375" defaultRowHeight="15" customHeight="1"/>
  <cols>
    <col min="1" max="1" width="7.42578125" customWidth="1"/>
    <col min="2" max="2" width="20.7109375" bestFit="1" customWidth="1"/>
  </cols>
  <sheetData>
    <row r="1" spans="1:26" ht="16.899999999999999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83.25" customHeight="1">
      <c r="A2" s="28"/>
      <c r="B2" s="173" t="s">
        <v>139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6.899999999999999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6.899999999999999">
      <c r="A4" s="28"/>
      <c r="B4" s="58"/>
      <c r="C4" s="113">
        <v>45627</v>
      </c>
      <c r="D4" s="113">
        <v>45658</v>
      </c>
      <c r="E4" s="113">
        <v>45689</v>
      </c>
      <c r="F4" s="113">
        <v>45717</v>
      </c>
      <c r="G4" s="113">
        <v>45748</v>
      </c>
      <c r="H4" s="113">
        <v>45778</v>
      </c>
      <c r="I4" s="113">
        <v>45809</v>
      </c>
      <c r="J4" s="113">
        <v>45839</v>
      </c>
      <c r="K4" s="113">
        <v>45870</v>
      </c>
      <c r="L4" s="113">
        <v>45901</v>
      </c>
      <c r="M4" s="113">
        <v>45931</v>
      </c>
      <c r="N4" s="113">
        <v>45962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6.899999999999999">
      <c r="A5" s="28"/>
      <c r="B5" s="59" t="s">
        <v>140</v>
      </c>
      <c r="C5" s="58">
        <v>17.5</v>
      </c>
      <c r="D5" s="58">
        <v>23.3</v>
      </c>
      <c r="E5" s="58">
        <v>27</v>
      </c>
      <c r="F5" s="58">
        <v>23.2</v>
      </c>
      <c r="G5" s="58">
        <v>23.2</v>
      </c>
      <c r="H5" s="58">
        <v>22.1</v>
      </c>
      <c r="I5" s="58">
        <v>21.2</v>
      </c>
      <c r="J5" s="58">
        <v>37.299999999999997</v>
      </c>
      <c r="K5" s="58">
        <v>24</v>
      </c>
      <c r="L5" s="58">
        <v>24.8</v>
      </c>
      <c r="M5" s="58">
        <v>26.2</v>
      </c>
      <c r="N5" s="58">
        <v>25.8</v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6.899999999999999">
      <c r="A6" s="28"/>
      <c r="B6" s="59" t="s">
        <v>141</v>
      </c>
      <c r="C6" s="58">
        <v>19.899999999999999</v>
      </c>
      <c r="D6" s="58">
        <v>35.700000000000003</v>
      </c>
      <c r="E6" s="58">
        <v>29.2</v>
      </c>
      <c r="F6" s="58">
        <v>25.2</v>
      </c>
      <c r="G6" s="58">
        <v>23.3</v>
      </c>
      <c r="H6" s="58">
        <v>20.6</v>
      </c>
      <c r="I6" s="58">
        <v>20</v>
      </c>
      <c r="J6" s="58">
        <v>34.5</v>
      </c>
      <c r="K6" s="58">
        <v>24.5</v>
      </c>
      <c r="L6" s="58">
        <v>25.2</v>
      </c>
      <c r="M6" s="58">
        <v>25.7</v>
      </c>
      <c r="N6" s="58">
        <v>29.3</v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5.75">
      <c r="A7" s="28"/>
      <c r="B7" s="133" t="s">
        <v>142</v>
      </c>
      <c r="C7" s="134">
        <v>40.200000000000003</v>
      </c>
      <c r="D7" s="134">
        <v>52.7</v>
      </c>
      <c r="E7" s="134">
        <v>45.4</v>
      </c>
      <c r="F7" s="134">
        <v>37.9</v>
      </c>
      <c r="G7" s="134">
        <v>33.4</v>
      </c>
      <c r="H7" s="134">
        <v>26.5</v>
      </c>
      <c r="I7" s="134">
        <v>28.5</v>
      </c>
      <c r="J7" s="134">
        <v>47.7</v>
      </c>
      <c r="K7" s="134">
        <v>46.5</v>
      </c>
      <c r="L7" s="134">
        <v>44.9</v>
      </c>
      <c r="M7" s="134">
        <v>39.299999999999997</v>
      </c>
      <c r="N7" s="134">
        <v>43.5</v>
      </c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5.75">
      <c r="A8" s="28"/>
      <c r="B8" s="59" t="s">
        <v>143</v>
      </c>
      <c r="C8" s="58">
        <v>70</v>
      </c>
      <c r="D8" s="58">
        <v>70</v>
      </c>
      <c r="E8" s="58">
        <v>60</v>
      </c>
      <c r="F8" s="58">
        <v>55</v>
      </c>
      <c r="G8" s="58">
        <v>50</v>
      </c>
      <c r="H8" s="58">
        <v>50</v>
      </c>
      <c r="I8" s="58">
        <v>50</v>
      </c>
      <c r="J8" s="58">
        <v>55</v>
      </c>
      <c r="K8" s="58">
        <v>50</v>
      </c>
      <c r="L8" s="58">
        <v>55</v>
      </c>
      <c r="M8" s="58">
        <v>55</v>
      </c>
      <c r="N8" s="58">
        <v>55</v>
      </c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5.7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6.899999999999999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6.899999999999999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6.899999999999999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6.899999999999999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6.899999999999999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6.899999999999999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6.899999999999999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6.899999999999999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6.899999999999999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6.899999999999999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6.899999999999999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6.899999999999999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6.899999999999999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6.899999999999999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6.899999999999999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6.899999999999999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6.899999999999999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6.899999999999999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6.899999999999999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37.5" customHeight="1">
      <c r="A29" s="28"/>
      <c r="B29" s="169" t="s">
        <v>144</v>
      </c>
      <c r="C29" s="151"/>
      <c r="D29" s="151"/>
      <c r="E29" s="151"/>
      <c r="F29" s="152"/>
      <c r="G29" s="174" t="s">
        <v>145</v>
      </c>
      <c r="H29" s="175"/>
      <c r="I29" s="175"/>
      <c r="J29" s="175"/>
      <c r="K29" s="176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37.5" customHeight="1">
      <c r="A30" s="28"/>
      <c r="B30" s="169" t="s">
        <v>146</v>
      </c>
      <c r="C30" s="151"/>
      <c r="D30" s="151"/>
      <c r="E30" s="151"/>
      <c r="F30" s="152"/>
      <c r="G30" s="170" t="s">
        <v>147</v>
      </c>
      <c r="H30" s="171"/>
      <c r="I30" s="171"/>
      <c r="J30" s="171"/>
      <c r="K30" s="172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7.45">
      <c r="A31" s="28"/>
      <c r="B31" s="169"/>
      <c r="C31" s="151"/>
      <c r="D31" s="151"/>
      <c r="E31" s="151"/>
      <c r="F31" s="152"/>
      <c r="G31" s="170" t="s">
        <v>148</v>
      </c>
      <c r="H31" s="171"/>
      <c r="I31" s="171"/>
      <c r="J31" s="171"/>
      <c r="K31" s="172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6.899999999999999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6.899999999999999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6.899999999999999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6.899999999999999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6.899999999999999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6.899999999999999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6.899999999999999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6.899999999999999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6.899999999999999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6.899999999999999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6.899999999999999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6.899999999999999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6.899999999999999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6.899999999999999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6.899999999999999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6.899999999999999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6.899999999999999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6.899999999999999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6.899999999999999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6.899999999999999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6.899999999999999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6.899999999999999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6.899999999999999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6.899999999999999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6.899999999999999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6.899999999999999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6.899999999999999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6.899999999999999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6.899999999999999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6.899999999999999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6.899999999999999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6.899999999999999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6.899999999999999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6.899999999999999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6.899999999999999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6.899999999999999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6.899999999999999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6.899999999999999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6.899999999999999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6.899999999999999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6.899999999999999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6.899999999999999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6.899999999999999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6.899999999999999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6.899999999999999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6.899999999999999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6.899999999999999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6.899999999999999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6.899999999999999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6.899999999999999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6.899999999999999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6.899999999999999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6.899999999999999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6.899999999999999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6.899999999999999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6.899999999999999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6.899999999999999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6.899999999999999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6.899999999999999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6.899999999999999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6.899999999999999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6.899999999999999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6.899999999999999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6.899999999999999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6.899999999999999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6.899999999999999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6.899999999999999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6.899999999999999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6.899999999999999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6.899999999999999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6.899999999999999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6.899999999999999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6.899999999999999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6.899999999999999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6.899999999999999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6.899999999999999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6.899999999999999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6.899999999999999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6.899999999999999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6.899999999999999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6.899999999999999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6.899999999999999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6.899999999999999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6.899999999999999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6.899999999999999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6.899999999999999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6.899999999999999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6.899999999999999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6.899999999999999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6.899999999999999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6.899999999999999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6.899999999999999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6.899999999999999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6.899999999999999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6.899999999999999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6.899999999999999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6.899999999999999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6.899999999999999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6.899999999999999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6.899999999999999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6.899999999999999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6.899999999999999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6.899999999999999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6.899999999999999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6.899999999999999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6.899999999999999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6.899999999999999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6.899999999999999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6.899999999999999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6.899999999999999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6.899999999999999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6.899999999999999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6.899999999999999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6.899999999999999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6.899999999999999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6.899999999999999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6.899999999999999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6.899999999999999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6.899999999999999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6.899999999999999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6.899999999999999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6.899999999999999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6.899999999999999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6.899999999999999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6.899999999999999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6.899999999999999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6.899999999999999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6.899999999999999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6.899999999999999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6.899999999999999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6.899999999999999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6.899999999999999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6.899999999999999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6.899999999999999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6.899999999999999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6.899999999999999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6.899999999999999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6.899999999999999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6.899999999999999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6.899999999999999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6.899999999999999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6.899999999999999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6.899999999999999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6.899999999999999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6.899999999999999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6.899999999999999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6.899999999999999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6.899999999999999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6.899999999999999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6.899999999999999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6.899999999999999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6.899999999999999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6.899999999999999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6.899999999999999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6.899999999999999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6.899999999999999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6.899999999999999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6.899999999999999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6.899999999999999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6.899999999999999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6.899999999999999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6.899999999999999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6.899999999999999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6.899999999999999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6.899999999999999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6.899999999999999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6.899999999999999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6.899999999999999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6.899999999999999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6.899999999999999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6.899999999999999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6.899999999999999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6.899999999999999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6.899999999999999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6.899999999999999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6.899999999999999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6.899999999999999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6.899999999999999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6.899999999999999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6.899999999999999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6.899999999999999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6.899999999999999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6.899999999999999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6.899999999999999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6.899999999999999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6.899999999999999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6.899999999999999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6.899999999999999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6.899999999999999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6.899999999999999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6.899999999999999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6.899999999999999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6.899999999999999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6.899999999999999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6.899999999999999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6.899999999999999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6.899999999999999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6.899999999999999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6.899999999999999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6.899999999999999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6.899999999999999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6.899999999999999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6.899999999999999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6.899999999999999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6.899999999999999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6.899999999999999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6.899999999999999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6.899999999999999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6.899999999999999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6.899999999999999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6.899999999999999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6.899999999999999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6.899999999999999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6.899999999999999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6.899999999999999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6.899999999999999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6.899999999999999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6.899999999999999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6.899999999999999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6.899999999999999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6.899999999999999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6.899999999999999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6.899999999999999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6.899999999999999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6.899999999999999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6.899999999999999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6.899999999999999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6.899999999999999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6.899999999999999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6.899999999999999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6.899999999999999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6.899999999999999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6.899999999999999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6.899999999999999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6.899999999999999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6.899999999999999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6.899999999999999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6.899999999999999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6.899999999999999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6.899999999999999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6.899999999999999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6.899999999999999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6.899999999999999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6.899999999999999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6.899999999999999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6.899999999999999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6.899999999999999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6.899999999999999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6.899999999999999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6.899999999999999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6.899999999999999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6.899999999999999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6.899999999999999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6.899999999999999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6.899999999999999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6.899999999999999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6.899999999999999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6.899999999999999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6.899999999999999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6.899999999999999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6.899999999999999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6.899999999999999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6.899999999999999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6.899999999999999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6.899999999999999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6.899999999999999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6.899999999999999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6.899999999999999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6.899999999999999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6.899999999999999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6.899999999999999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6.899999999999999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6.899999999999999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6.899999999999999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6.899999999999999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6.899999999999999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6.899999999999999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6.899999999999999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6.899999999999999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6.899999999999999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6.899999999999999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6.899999999999999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6.899999999999999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6.899999999999999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6.899999999999999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6.899999999999999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6.899999999999999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6.899999999999999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6.899999999999999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6.899999999999999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6.899999999999999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6.899999999999999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6.899999999999999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6.899999999999999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6.899999999999999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6.899999999999999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6.899999999999999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6.899999999999999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6.899999999999999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6.899999999999999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6.899999999999999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6.899999999999999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6.899999999999999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6.899999999999999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6.899999999999999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6.899999999999999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6.899999999999999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6.899999999999999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6.899999999999999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6.899999999999999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6.899999999999999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6.899999999999999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6.899999999999999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6.899999999999999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6.899999999999999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6.899999999999999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6.899999999999999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6.899999999999999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6.899999999999999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6.899999999999999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6.899999999999999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6.899999999999999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6.899999999999999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6.899999999999999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6.899999999999999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6.899999999999999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6.899999999999999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6.899999999999999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6.899999999999999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6.899999999999999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6.899999999999999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6.899999999999999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6.899999999999999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6.899999999999999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6.899999999999999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6.899999999999999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6.899999999999999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6.899999999999999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6.899999999999999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6.899999999999999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6.899999999999999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6.899999999999999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6.899999999999999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6.899999999999999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6.899999999999999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6.899999999999999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6.899999999999999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6.899999999999999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6.899999999999999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6.899999999999999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6.899999999999999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6.899999999999999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6.899999999999999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6.899999999999999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6.899999999999999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6.899999999999999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6.899999999999999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6.899999999999999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6.899999999999999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6.899999999999999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6.899999999999999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6.899999999999999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6.899999999999999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6.899999999999999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6.899999999999999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6.899999999999999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6.899999999999999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6.899999999999999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6.899999999999999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6.899999999999999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6.899999999999999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6.899999999999999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6.899999999999999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6.899999999999999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6.899999999999999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6.899999999999999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6.899999999999999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6.899999999999999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6.899999999999999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6.899999999999999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6.899999999999999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6.899999999999999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6.899999999999999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6.899999999999999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6.899999999999999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6.899999999999999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6.899999999999999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6.899999999999999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6.899999999999999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6.899999999999999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6.899999999999999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6.899999999999999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6.899999999999999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6.899999999999999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6.899999999999999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6.899999999999999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6.899999999999999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6.899999999999999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6.899999999999999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6.899999999999999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6.899999999999999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6.899999999999999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6.899999999999999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6.899999999999999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6.899999999999999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6.899999999999999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6.899999999999999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6.899999999999999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6.899999999999999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6.899999999999999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16.899999999999999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16.899999999999999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16.899999999999999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16.899999999999999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16.899999999999999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16.899999999999999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16.899999999999999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16.899999999999999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16.899999999999999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16.899999999999999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16.899999999999999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16.899999999999999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16.899999999999999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16.899999999999999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16.899999999999999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16.899999999999999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16.899999999999999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16.899999999999999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16.899999999999999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16.899999999999999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16.899999999999999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16.899999999999999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16.899999999999999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16.899999999999999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16.899999999999999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16.899999999999999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16.899999999999999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16.899999999999999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16.899999999999999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16.899999999999999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16.899999999999999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16.899999999999999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16.899999999999999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16.899999999999999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16.899999999999999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16.899999999999999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16.899999999999999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16.899999999999999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16.899999999999999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16.899999999999999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16.899999999999999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6.899999999999999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16.899999999999999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16.899999999999999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16.899999999999999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16.899999999999999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16.899999999999999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16.899999999999999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16.899999999999999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16.899999999999999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16.899999999999999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16.899999999999999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16.899999999999999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16.899999999999999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16.899999999999999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16.899999999999999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16.899999999999999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16.899999999999999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16.899999999999999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16.899999999999999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16.899999999999999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16.899999999999999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16.899999999999999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16.899999999999999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16.899999999999999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16.899999999999999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16.899999999999999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16.899999999999999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16.899999999999999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16.899999999999999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16.899999999999999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16.899999999999999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16.899999999999999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16.899999999999999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16.899999999999999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16.899999999999999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16.899999999999999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16.899999999999999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16.899999999999999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16.899999999999999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16.899999999999999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16.899999999999999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16.899999999999999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16.899999999999999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16.899999999999999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16.899999999999999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16.899999999999999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16.899999999999999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16.899999999999999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16.899999999999999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16.899999999999999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16.899999999999999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16.899999999999999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16.899999999999999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16.899999999999999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16.899999999999999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16.899999999999999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16.899999999999999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16.899999999999999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16.899999999999999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16.899999999999999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16.899999999999999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16.899999999999999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16.899999999999999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16.899999999999999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16.899999999999999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16.899999999999999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16.899999999999999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16.899999999999999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16.899999999999999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16.899999999999999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16.899999999999999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16.899999999999999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16.899999999999999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16.899999999999999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16.899999999999999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16.899999999999999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16.899999999999999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16.899999999999999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16.899999999999999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16.899999999999999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16.899999999999999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16.899999999999999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16.899999999999999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16.899999999999999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16.899999999999999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16.899999999999999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16.899999999999999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16.899999999999999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16.899999999999999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16.899999999999999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16.899999999999999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16.899999999999999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16.899999999999999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16.899999999999999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16.899999999999999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16.899999999999999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16.899999999999999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16.899999999999999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16.899999999999999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16.899999999999999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16.899999999999999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16.899999999999999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16.899999999999999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16.899999999999999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16.899999999999999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16.899999999999999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6.899999999999999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6.899999999999999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16.899999999999999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16.899999999999999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16.899999999999999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16.899999999999999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16.899999999999999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16.899999999999999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6.899999999999999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6.899999999999999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16.899999999999999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16.899999999999999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16.899999999999999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16.899999999999999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16.899999999999999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16.899999999999999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16.899999999999999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16.899999999999999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16.899999999999999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16.899999999999999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16.899999999999999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16.899999999999999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16.899999999999999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16.899999999999999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16.899999999999999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16.899999999999999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16.899999999999999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16.899999999999999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16.899999999999999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16.899999999999999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16.899999999999999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16.899999999999999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16.899999999999999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16.899999999999999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16.899999999999999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16.899999999999999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16.899999999999999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16.899999999999999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16.899999999999999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16.899999999999999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16.899999999999999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16.899999999999999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16.899999999999999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16.899999999999999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16.899999999999999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16.899999999999999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16.899999999999999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16.899999999999999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16.899999999999999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16.899999999999999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16.899999999999999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16.899999999999999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16.899999999999999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16.899999999999999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6.899999999999999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16.899999999999999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16.899999999999999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16.899999999999999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16.899999999999999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6.899999999999999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6.899999999999999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16.899999999999999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16.899999999999999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16.899999999999999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16.899999999999999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16.899999999999999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16.899999999999999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16.899999999999999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6.899999999999999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6.899999999999999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16.899999999999999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16.899999999999999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16.899999999999999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16.899999999999999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16.899999999999999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16.899999999999999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16.899999999999999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16.899999999999999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16.899999999999999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16.899999999999999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16.899999999999999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16.899999999999999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16.899999999999999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16.899999999999999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16.899999999999999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16.899999999999999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16.899999999999999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16.899999999999999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16.899999999999999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16.899999999999999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16.899999999999999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16.899999999999999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16.899999999999999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16.899999999999999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16.899999999999999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16.899999999999999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16.899999999999999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16.899999999999999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16.899999999999999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16.899999999999999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16.899999999999999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16.899999999999999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16.899999999999999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16.899999999999999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16.899999999999999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16.899999999999999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16.899999999999999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16.899999999999999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16.899999999999999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16.899999999999999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16.899999999999999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16.899999999999999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16.899999999999999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16.899999999999999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16.899999999999999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16.899999999999999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16.899999999999999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16.899999999999999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16.899999999999999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16.899999999999999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16.899999999999999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16.899999999999999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16.899999999999999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16.899999999999999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16.899999999999999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16.899999999999999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16.899999999999999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16.899999999999999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16.899999999999999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16.899999999999999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16.899999999999999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16.899999999999999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16.899999999999999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16.899999999999999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16.899999999999999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16.899999999999999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16.899999999999999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16.899999999999999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16.899999999999999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16.899999999999999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16.899999999999999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16.899999999999999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16.899999999999999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16.899999999999999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16.899999999999999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16.899999999999999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16.899999999999999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16.899999999999999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16.899999999999999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16.899999999999999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16.899999999999999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16.899999999999999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16.899999999999999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16.899999999999999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16.899999999999999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16.899999999999999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16.899999999999999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16.899999999999999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16.899999999999999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16.899999999999999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16.899999999999999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16.899999999999999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16.899999999999999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16.899999999999999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16.899999999999999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16.899999999999999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16.899999999999999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16.899999999999999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16.899999999999999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16.899999999999999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16.899999999999999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16.899999999999999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16.899999999999999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16.899999999999999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16.899999999999999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16.899999999999999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16.899999999999999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16.899999999999999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16.899999999999999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16.899999999999999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16.899999999999999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16.899999999999999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16.899999999999999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16.899999999999999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16.899999999999999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16.899999999999999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16.899999999999999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16.899999999999999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16.899999999999999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16.899999999999999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16.899999999999999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16.899999999999999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16.899999999999999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16.899999999999999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16.899999999999999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16.899999999999999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16.899999999999999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16.899999999999999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16.899999999999999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16.899999999999999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16.899999999999999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16.899999999999999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16.899999999999999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16.899999999999999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16.899999999999999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16.899999999999999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16.899999999999999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16.899999999999999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16.899999999999999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16.899999999999999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16.899999999999999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16.899999999999999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16.899999999999999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16.899999999999999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16.899999999999999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16.899999999999999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16.899999999999999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16.899999999999999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16.899999999999999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16.899999999999999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16.899999999999999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16.899999999999999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16.899999999999999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16.899999999999999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16.899999999999999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16.899999999999999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16.899999999999999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16.899999999999999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16.899999999999999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16.899999999999999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16.899999999999999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16.899999999999999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16.899999999999999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16.899999999999999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16.899999999999999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16.899999999999999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16.899999999999999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16.899999999999999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16.899999999999999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16.899999999999999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16.899999999999999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16.899999999999999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16.899999999999999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16.899999999999999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16.899999999999999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16.899999999999999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16.899999999999999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16.899999999999999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16.899999999999999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16.899999999999999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16.899999999999999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16.899999999999999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16.899999999999999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16.899999999999999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16.899999999999999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16.899999999999999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16.899999999999999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16.899999999999999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16.899999999999999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16.899999999999999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16.899999999999999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16.899999999999999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16.899999999999999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16.899999999999999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16.899999999999999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16.899999999999999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16.899999999999999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16.899999999999999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16.899999999999999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16.899999999999999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16.899999999999999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16.899999999999999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16.899999999999999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16.899999999999999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16.899999999999999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16.899999999999999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16.899999999999999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16.899999999999999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16.899999999999999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16.899999999999999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16.899999999999999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16.899999999999999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16.899999999999999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16.899999999999999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16.899999999999999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16.899999999999999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16.899999999999999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16.899999999999999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16.899999999999999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16.899999999999999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16.899999999999999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16.899999999999999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16.899999999999999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16.899999999999999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16.899999999999999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16.899999999999999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16.899999999999999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16.899999999999999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16.899999999999999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16.899999999999999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16.899999999999999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16.899999999999999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16.899999999999999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16.899999999999999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16.899999999999999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16.899999999999999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16.899999999999999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16.899999999999999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16.899999999999999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16.899999999999999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16.899999999999999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16.899999999999999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16.899999999999999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16.899999999999999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16.899999999999999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16.899999999999999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16.899999999999999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16.899999999999999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16.899999999999999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16.899999999999999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16.899999999999999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16.899999999999999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16.899999999999999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16.899999999999999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16.899999999999999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16.899999999999999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16.899999999999999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16.899999999999999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16.899999999999999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16.899999999999999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16.899999999999999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16.899999999999999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16.899999999999999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16.899999999999999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16.899999999999999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16.899999999999999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16.899999999999999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16.899999999999999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16.899999999999999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16.899999999999999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16.899999999999999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16.899999999999999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16.899999999999999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16.899999999999999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16.899999999999999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16.899999999999999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16.899999999999999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16.899999999999999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16.899999999999999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16.899999999999999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16.899999999999999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16.899999999999999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16.899999999999999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16.899999999999999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16.899999999999999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16.899999999999999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16.899999999999999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16.899999999999999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16.899999999999999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16.899999999999999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16.899999999999999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16.899999999999999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16.899999999999999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16.899999999999999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ht="16.899999999999999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ht="16.899999999999999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ht="16.899999999999999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ht="16.899999999999999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ht="16.899999999999999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ht="16.899999999999999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ht="16.899999999999999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ht="16.899999999999999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ht="16.899999999999999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ht="16.899999999999999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ht="16.899999999999999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ht="16.899999999999999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ht="16.899999999999999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ht="16.899999999999999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ht="16.899999999999999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ht="16.899999999999999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ht="16.899999999999999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ht="16.899999999999999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ht="16.899999999999999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ht="16.899999999999999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ht="16.899999999999999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ht="16.899999999999999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ht="16.899999999999999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ht="16.899999999999999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:26" ht="16.899999999999999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:26" ht="16.899999999999999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:26" ht="16.899999999999999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:26" ht="16.899999999999999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:26" ht="16.899999999999999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:26" ht="16.899999999999999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:26" ht="16.899999999999999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:26" ht="16.899999999999999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:26" ht="16.899999999999999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:26" ht="16.899999999999999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:26" ht="16.899999999999999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:26" ht="16.899999999999999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:26" ht="16.899999999999999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:26" ht="16.899999999999999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:26" ht="16.899999999999999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:26" ht="16.899999999999999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:26" ht="16.899999999999999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:26" ht="16.899999999999999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:26" ht="16.899999999999999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:26" ht="16.899999999999999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:26" ht="16.899999999999999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:26" ht="16.899999999999999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1:26" ht="15" customHeight="1">
      <c r="A999" s="122"/>
      <c r="B999" s="122"/>
      <c r="C999" s="122"/>
      <c r="D999" s="122"/>
      <c r="E999" s="122"/>
      <c r="F999" s="122"/>
      <c r="G999" s="28"/>
      <c r="H999" s="28"/>
      <c r="I999" s="28"/>
      <c r="J999" s="28"/>
      <c r="K999" s="28"/>
      <c r="L999" s="122"/>
      <c r="M999" s="122"/>
      <c r="N999" s="122"/>
      <c r="O999" s="122"/>
      <c r="P999" s="122"/>
      <c r="Q999" s="122"/>
      <c r="R999" s="122"/>
      <c r="S999" s="122"/>
      <c r="T999" s="122"/>
      <c r="U999" s="122"/>
      <c r="V999" s="122"/>
      <c r="W999" s="122"/>
      <c r="X999" s="122"/>
      <c r="Y999" s="122"/>
      <c r="Z999" s="122"/>
    </row>
  </sheetData>
  <mergeCells count="7">
    <mergeCell ref="B31:F31"/>
    <mergeCell ref="G31:K31"/>
    <mergeCell ref="B2:N2"/>
    <mergeCell ref="B29:F29"/>
    <mergeCell ref="G29:K29"/>
    <mergeCell ref="B30:F30"/>
    <mergeCell ref="G30:K30"/>
  </mergeCells>
  <hyperlinks>
    <hyperlink ref="G31:K31" r:id="rId1" display="https://www.indec.gob.ar/ftp/cuadros/economia/EOH_cuadros_dic25.zip" xr:uid="{CF7C48F8-52FA-4042-85CE-8E9E6C1B0938}"/>
    <hyperlink ref="G30:K30" r:id="rId2" display="https://www.indec.gob.ar/ftp/cuadros/economia/EOH_cuadros_dic24.zip" xr:uid="{88367999-F132-46C5-9687-4530BE9484DD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  <outlinePr summaryBelow="0" summaryRight="0"/>
  </sheetPr>
  <dimension ref="A1:AP1026"/>
  <sheetViews>
    <sheetView topLeftCell="A81" zoomScale="50" zoomScaleNormal="90" workbookViewId="0">
      <selection activeCell="C98" sqref="C98"/>
    </sheetView>
  </sheetViews>
  <sheetFormatPr defaultColWidth="12.7109375" defaultRowHeight="15" customHeight="1"/>
  <cols>
    <col min="1" max="1" width="6.140625" customWidth="1"/>
    <col min="2" max="2" width="17.7109375" customWidth="1"/>
    <col min="3" max="3" width="16.140625" bestFit="1" customWidth="1"/>
    <col min="4" max="4" width="20" bestFit="1" customWidth="1"/>
    <col min="5" max="6" width="20.7109375" customWidth="1"/>
    <col min="7" max="7" width="24.140625" customWidth="1"/>
    <col min="8" max="8" width="19.85546875" customWidth="1"/>
    <col min="9" max="9" width="15.5703125" customWidth="1"/>
    <col min="10" max="10" width="14.85546875" customWidth="1"/>
    <col min="11" max="11" width="14.7109375" customWidth="1"/>
    <col min="12" max="13" width="19.85546875" customWidth="1"/>
    <col min="14" max="33" width="14.7109375" customWidth="1"/>
  </cols>
  <sheetData>
    <row r="1" spans="1:42" ht="26.2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1"/>
      <c r="AI1" s="61"/>
      <c r="AJ1" s="61"/>
      <c r="AK1" s="61"/>
      <c r="AL1" s="61"/>
      <c r="AM1" s="61"/>
      <c r="AN1" s="61"/>
      <c r="AO1" s="61"/>
      <c r="AP1" s="61"/>
    </row>
    <row r="2" spans="1:42" ht="44.25" customHeight="1">
      <c r="A2" s="2"/>
      <c r="B2" s="179" t="s">
        <v>149</v>
      </c>
      <c r="C2" s="151"/>
      <c r="D2" s="151"/>
      <c r="E2" s="151"/>
      <c r="F2" s="151"/>
      <c r="G2" s="151"/>
      <c r="H2" s="152"/>
      <c r="I2" s="60"/>
      <c r="J2" s="28"/>
      <c r="K2" s="28"/>
      <c r="L2" s="28"/>
      <c r="M2" s="28"/>
      <c r="N2" s="28"/>
      <c r="O2" s="28"/>
      <c r="P2" s="28"/>
      <c r="Q2" s="28"/>
      <c r="R2" s="28"/>
      <c r="S2" s="28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1"/>
      <c r="AI2" s="61"/>
      <c r="AJ2" s="61"/>
      <c r="AK2" s="61"/>
      <c r="AL2" s="61"/>
      <c r="AM2" s="61"/>
      <c r="AN2" s="61"/>
      <c r="AO2" s="61"/>
      <c r="AP2" s="61"/>
    </row>
    <row r="3" spans="1:42" ht="26.25" customHeight="1">
      <c r="A3" s="60"/>
      <c r="B3" s="180" t="s">
        <v>150</v>
      </c>
      <c r="C3" s="151"/>
      <c r="D3" s="151"/>
      <c r="E3" s="151"/>
      <c r="F3" s="151"/>
      <c r="G3" s="151"/>
      <c r="H3" s="152"/>
      <c r="I3" s="28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</row>
    <row r="4" spans="1:42" ht="34.9">
      <c r="A4" s="2"/>
      <c r="B4" s="62" t="s">
        <v>151</v>
      </c>
      <c r="C4" s="62" t="s">
        <v>152</v>
      </c>
      <c r="D4" s="62" t="s">
        <v>153</v>
      </c>
      <c r="E4" s="62" t="s">
        <v>154</v>
      </c>
      <c r="F4" s="63" t="s">
        <v>155</v>
      </c>
      <c r="G4" s="62" t="s">
        <v>156</v>
      </c>
      <c r="H4" s="135" t="s">
        <v>4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61"/>
      <c r="AI4" s="61"/>
      <c r="AJ4" s="61"/>
      <c r="AK4" s="61"/>
      <c r="AL4" s="61"/>
      <c r="AM4" s="61"/>
      <c r="AN4" s="61"/>
      <c r="AO4" s="61"/>
      <c r="AP4" s="122"/>
    </row>
    <row r="5" spans="1:42" ht="34.9">
      <c r="A5" s="3"/>
      <c r="B5" s="64" t="s">
        <v>157</v>
      </c>
      <c r="C5" s="52">
        <v>12</v>
      </c>
      <c r="D5" s="52">
        <v>1</v>
      </c>
      <c r="E5" s="55">
        <f>E33</f>
        <v>3000000</v>
      </c>
      <c r="F5" s="52">
        <v>0.8</v>
      </c>
      <c r="G5" s="65">
        <f>(E5*C5*F5)</f>
        <v>28800000</v>
      </c>
      <c r="H5" s="60"/>
      <c r="I5" s="124"/>
      <c r="J5" s="125"/>
      <c r="K5" s="126"/>
      <c r="L5" s="28"/>
      <c r="M5" s="28"/>
      <c r="N5" s="28"/>
      <c r="O5" s="28"/>
      <c r="P5" s="28"/>
      <c r="Q5" s="28"/>
      <c r="R5" s="28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1"/>
      <c r="AH5" s="61"/>
      <c r="AI5" s="61"/>
      <c r="AJ5" s="61"/>
      <c r="AK5" s="61"/>
      <c r="AL5" s="61"/>
      <c r="AM5" s="61"/>
      <c r="AN5" s="61"/>
      <c r="AO5" s="61"/>
      <c r="AP5" s="122"/>
    </row>
    <row r="6" spans="1:42" ht="34.9">
      <c r="A6" s="3"/>
      <c r="B6" s="64" t="s">
        <v>158</v>
      </c>
      <c r="C6" s="52">
        <v>12</v>
      </c>
      <c r="D6" s="52">
        <v>1</v>
      </c>
      <c r="E6" s="55">
        <f>D33</f>
        <v>2800000</v>
      </c>
      <c r="F6" s="52">
        <v>0.6</v>
      </c>
      <c r="G6" s="65">
        <f t="shared" ref="G6:G29" si="0">(E6*C6*F6)</f>
        <v>20160000</v>
      </c>
      <c r="H6" s="60"/>
      <c r="I6" s="124"/>
      <c r="J6" s="125"/>
      <c r="K6" s="125"/>
      <c r="L6" s="66"/>
      <c r="M6" s="66"/>
      <c r="N6" s="66"/>
      <c r="O6" s="66"/>
      <c r="P6" s="66"/>
      <c r="Q6" s="66"/>
      <c r="R6" s="66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1"/>
      <c r="AH6" s="61"/>
      <c r="AI6" s="61"/>
      <c r="AJ6" s="61"/>
      <c r="AK6" s="61"/>
      <c r="AL6" s="61"/>
      <c r="AM6" s="61"/>
      <c r="AN6" s="61"/>
      <c r="AO6" s="61"/>
      <c r="AP6" s="122"/>
    </row>
    <row r="7" spans="1:42" ht="34.9">
      <c r="A7" s="3"/>
      <c r="B7" s="64" t="s">
        <v>159</v>
      </c>
      <c r="C7" s="52">
        <v>12</v>
      </c>
      <c r="D7" s="52">
        <v>1</v>
      </c>
      <c r="E7" s="55">
        <f>C33</f>
        <v>2600000</v>
      </c>
      <c r="F7" s="52">
        <v>0.5</v>
      </c>
      <c r="G7" s="65">
        <f t="shared" si="0"/>
        <v>15600000</v>
      </c>
      <c r="H7" s="67"/>
      <c r="I7" s="127"/>
      <c r="J7" s="128"/>
      <c r="K7" s="128"/>
      <c r="L7" s="68"/>
      <c r="M7" s="68"/>
      <c r="N7" s="68"/>
      <c r="O7" s="68"/>
      <c r="P7" s="68"/>
      <c r="Q7" s="66"/>
      <c r="R7" s="66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1"/>
      <c r="AH7" s="61"/>
      <c r="AI7" s="61"/>
      <c r="AJ7" s="61"/>
      <c r="AK7" s="61"/>
      <c r="AL7" s="61"/>
      <c r="AM7" s="61"/>
      <c r="AN7" s="61"/>
      <c r="AO7" s="61"/>
      <c r="AP7" s="122"/>
    </row>
    <row r="8" spans="1:42" ht="52.15">
      <c r="A8" s="3"/>
      <c r="B8" s="64" t="s">
        <v>160</v>
      </c>
      <c r="C8" s="52">
        <v>12</v>
      </c>
      <c r="D8" s="52">
        <v>1</v>
      </c>
      <c r="E8" s="55">
        <f>E33</f>
        <v>3000000</v>
      </c>
      <c r="F8" s="52">
        <v>0.7</v>
      </c>
      <c r="G8" s="65">
        <f t="shared" si="0"/>
        <v>25200000</v>
      </c>
      <c r="H8" s="66"/>
      <c r="I8" s="127"/>
      <c r="J8" s="125"/>
      <c r="K8" s="125"/>
      <c r="L8" s="66"/>
      <c r="M8" s="66"/>
      <c r="N8" s="66"/>
      <c r="O8" s="66"/>
      <c r="P8" s="66"/>
      <c r="Q8" s="66"/>
      <c r="R8" s="66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1"/>
      <c r="AH8" s="61"/>
      <c r="AI8" s="61"/>
      <c r="AJ8" s="61"/>
      <c r="AK8" s="61"/>
      <c r="AL8" s="61"/>
      <c r="AM8" s="61"/>
      <c r="AN8" s="61"/>
      <c r="AO8" s="61"/>
      <c r="AP8" s="122"/>
    </row>
    <row r="9" spans="1:42" ht="34.9">
      <c r="A9" s="3"/>
      <c r="B9" s="64" t="s">
        <v>161</v>
      </c>
      <c r="C9" s="52">
        <v>12</v>
      </c>
      <c r="D9" s="52">
        <v>1</v>
      </c>
      <c r="E9" s="55">
        <f>D33</f>
        <v>2800000</v>
      </c>
      <c r="F9" s="52">
        <v>0.5</v>
      </c>
      <c r="G9" s="65">
        <f t="shared" si="0"/>
        <v>16800000</v>
      </c>
      <c r="H9" s="60"/>
      <c r="I9" s="127"/>
      <c r="J9" s="129"/>
      <c r="K9" s="129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1"/>
      <c r="AH9" s="61"/>
      <c r="AI9" s="61"/>
      <c r="AJ9" s="61"/>
      <c r="AK9" s="61"/>
      <c r="AL9" s="61"/>
      <c r="AM9" s="61"/>
      <c r="AN9" s="61"/>
      <c r="AO9" s="61"/>
      <c r="AP9" s="122"/>
    </row>
    <row r="10" spans="1:42" ht="34.9">
      <c r="A10" s="3"/>
      <c r="B10" s="64" t="s">
        <v>162</v>
      </c>
      <c r="C10" s="52">
        <v>12</v>
      </c>
      <c r="D10" s="52">
        <v>1</v>
      </c>
      <c r="E10" s="55">
        <f>C33</f>
        <v>2600000</v>
      </c>
      <c r="F10" s="52">
        <v>0.5</v>
      </c>
      <c r="G10" s="65">
        <f t="shared" si="0"/>
        <v>15600000</v>
      </c>
      <c r="H10" s="60"/>
      <c r="I10" s="127"/>
      <c r="J10" s="129"/>
      <c r="K10" s="129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1"/>
      <c r="AH10" s="61"/>
      <c r="AI10" s="61"/>
      <c r="AJ10" s="61"/>
      <c r="AK10" s="61"/>
      <c r="AL10" s="61"/>
      <c r="AM10" s="61"/>
      <c r="AN10" s="61"/>
      <c r="AO10" s="61"/>
      <c r="AP10" s="122"/>
    </row>
    <row r="11" spans="1:42" ht="34.9">
      <c r="A11" s="3"/>
      <c r="B11" s="64" t="s">
        <v>163</v>
      </c>
      <c r="C11" s="52">
        <v>12</v>
      </c>
      <c r="D11" s="52">
        <v>1</v>
      </c>
      <c r="E11" s="55">
        <f>E33</f>
        <v>3000000</v>
      </c>
      <c r="F11" s="52">
        <v>0.6</v>
      </c>
      <c r="G11" s="65">
        <f t="shared" si="0"/>
        <v>21600000</v>
      </c>
      <c r="H11" s="60"/>
      <c r="I11" s="127"/>
      <c r="J11" s="129"/>
      <c r="K11" s="129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1"/>
      <c r="AH11" s="61"/>
      <c r="AI11" s="61"/>
      <c r="AJ11" s="61"/>
      <c r="AK11" s="61"/>
      <c r="AL11" s="61"/>
      <c r="AM11" s="61"/>
      <c r="AN11" s="61"/>
      <c r="AO11" s="61"/>
      <c r="AP11" s="122"/>
    </row>
    <row r="12" spans="1:42" ht="34.9">
      <c r="A12" s="3"/>
      <c r="B12" s="64" t="s">
        <v>164</v>
      </c>
      <c r="C12" s="52">
        <v>12</v>
      </c>
      <c r="D12" s="52">
        <v>1</v>
      </c>
      <c r="E12" s="55">
        <f>E33</f>
        <v>3000000</v>
      </c>
      <c r="F12" s="52">
        <v>0.5</v>
      </c>
      <c r="G12" s="65">
        <f t="shared" si="0"/>
        <v>18000000</v>
      </c>
      <c r="H12" s="60"/>
      <c r="I12" s="127"/>
      <c r="J12" s="129"/>
      <c r="K12" s="130"/>
      <c r="L12" s="61"/>
      <c r="M12" s="61"/>
      <c r="N12" s="61"/>
      <c r="O12" s="61"/>
      <c r="P12" s="61"/>
      <c r="Q12" s="61"/>
      <c r="R12" s="61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1"/>
      <c r="AK12" s="61"/>
      <c r="AL12" s="61"/>
      <c r="AM12" s="61"/>
      <c r="AN12" s="61"/>
      <c r="AO12" s="61"/>
      <c r="AP12" s="122"/>
    </row>
    <row r="13" spans="1:42" ht="34.9">
      <c r="A13" s="3"/>
      <c r="B13" s="64" t="s">
        <v>165</v>
      </c>
      <c r="C13" s="52">
        <v>12</v>
      </c>
      <c r="D13" s="52">
        <v>1</v>
      </c>
      <c r="E13" s="55">
        <f>D33</f>
        <v>2800000</v>
      </c>
      <c r="F13" s="52">
        <v>0.5</v>
      </c>
      <c r="G13" s="65">
        <f t="shared" si="0"/>
        <v>16800000</v>
      </c>
      <c r="H13" s="60"/>
      <c r="I13" s="127"/>
      <c r="J13" s="129"/>
      <c r="K13" s="130"/>
      <c r="L13" s="61"/>
      <c r="M13" s="61"/>
      <c r="N13" s="61"/>
      <c r="O13" s="61"/>
      <c r="P13" s="61"/>
      <c r="Q13" s="61"/>
      <c r="R13" s="61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1"/>
      <c r="AK13" s="61"/>
      <c r="AL13" s="61"/>
      <c r="AM13" s="61"/>
      <c r="AN13" s="61"/>
      <c r="AO13" s="61"/>
      <c r="AP13" s="122"/>
    </row>
    <row r="14" spans="1:42" ht="34.9">
      <c r="A14" s="3"/>
      <c r="B14" s="64" t="s">
        <v>166</v>
      </c>
      <c r="C14" s="52">
        <v>12</v>
      </c>
      <c r="D14" s="52">
        <v>1</v>
      </c>
      <c r="E14" s="55">
        <f>C33</f>
        <v>2600000</v>
      </c>
      <c r="F14" s="52">
        <v>0.5</v>
      </c>
      <c r="G14" s="65">
        <f t="shared" si="0"/>
        <v>15600000</v>
      </c>
      <c r="H14" s="60"/>
      <c r="I14" s="127"/>
      <c r="J14" s="129"/>
      <c r="K14" s="130"/>
      <c r="L14" s="61"/>
      <c r="M14" s="61"/>
      <c r="N14" s="61"/>
      <c r="O14" s="61"/>
      <c r="P14" s="61"/>
      <c r="Q14" s="61"/>
      <c r="R14" s="61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1"/>
      <c r="AK14" s="61"/>
      <c r="AL14" s="61"/>
      <c r="AM14" s="61"/>
      <c r="AN14" s="61"/>
      <c r="AO14" s="61"/>
      <c r="AP14" s="122"/>
    </row>
    <row r="15" spans="1:42" ht="34.9">
      <c r="A15" s="3"/>
      <c r="B15" s="64" t="s">
        <v>167</v>
      </c>
      <c r="C15" s="52">
        <v>12</v>
      </c>
      <c r="D15" s="52">
        <v>1</v>
      </c>
      <c r="E15" s="55">
        <f>E33</f>
        <v>3000000</v>
      </c>
      <c r="F15" s="52">
        <v>0.5</v>
      </c>
      <c r="G15" s="65">
        <f t="shared" si="0"/>
        <v>18000000</v>
      </c>
      <c r="H15" s="60"/>
      <c r="I15" s="127"/>
      <c r="J15" s="129"/>
      <c r="K15" s="130"/>
      <c r="L15" s="61"/>
      <c r="M15" s="61"/>
      <c r="N15" s="61"/>
      <c r="O15" s="61"/>
      <c r="P15" s="61"/>
      <c r="Q15" s="61"/>
      <c r="R15" s="61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1"/>
      <c r="AK15" s="61"/>
      <c r="AL15" s="61"/>
      <c r="AM15" s="61"/>
      <c r="AN15" s="61"/>
      <c r="AO15" s="61"/>
      <c r="AP15" s="122"/>
    </row>
    <row r="16" spans="1:42" ht="34.9">
      <c r="A16" s="3"/>
      <c r="B16" s="64" t="s">
        <v>168</v>
      </c>
      <c r="C16" s="52">
        <v>12</v>
      </c>
      <c r="D16" s="52">
        <v>1</v>
      </c>
      <c r="E16" s="55">
        <f>D33</f>
        <v>2800000</v>
      </c>
      <c r="F16" s="52">
        <v>0.5</v>
      </c>
      <c r="G16" s="65">
        <f t="shared" si="0"/>
        <v>16800000</v>
      </c>
      <c r="H16" s="60"/>
      <c r="I16" s="127"/>
      <c r="J16" s="129"/>
      <c r="K16" s="130"/>
      <c r="L16" s="61"/>
      <c r="M16" s="61"/>
      <c r="N16" s="61"/>
      <c r="O16" s="61"/>
      <c r="P16" s="61"/>
      <c r="Q16" s="61"/>
      <c r="R16" s="61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1"/>
      <c r="AK16" s="61"/>
      <c r="AL16" s="61"/>
      <c r="AM16" s="61"/>
      <c r="AN16" s="61"/>
      <c r="AO16" s="61"/>
      <c r="AP16" s="122"/>
    </row>
    <row r="17" spans="1:42" ht="34.9">
      <c r="A17" s="3"/>
      <c r="B17" s="64" t="s">
        <v>169</v>
      </c>
      <c r="C17" s="52">
        <v>12</v>
      </c>
      <c r="D17" s="52">
        <v>1</v>
      </c>
      <c r="E17" s="55">
        <f>C33</f>
        <v>2600000</v>
      </c>
      <c r="F17" s="52">
        <v>0.5</v>
      </c>
      <c r="G17" s="65">
        <f t="shared" si="0"/>
        <v>15600000</v>
      </c>
      <c r="H17" s="60"/>
      <c r="I17" s="127"/>
      <c r="J17" s="129"/>
      <c r="K17" s="130"/>
      <c r="L17" s="61"/>
      <c r="M17" s="61"/>
      <c r="N17" s="61"/>
      <c r="O17" s="61"/>
      <c r="P17" s="61"/>
      <c r="Q17" s="61"/>
      <c r="R17" s="61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1"/>
      <c r="AK17" s="61"/>
      <c r="AL17" s="61"/>
      <c r="AM17" s="61"/>
      <c r="AN17" s="61"/>
      <c r="AO17" s="61"/>
      <c r="AP17" s="122"/>
    </row>
    <row r="18" spans="1:42" ht="34.9" customHeight="1">
      <c r="A18" s="3"/>
      <c r="B18" s="64" t="s">
        <v>170</v>
      </c>
      <c r="C18" s="52">
        <v>12</v>
      </c>
      <c r="D18" s="52">
        <v>1</v>
      </c>
      <c r="E18" s="55">
        <f>C33</f>
        <v>2600000</v>
      </c>
      <c r="F18" s="52">
        <v>0.55000000000000004</v>
      </c>
      <c r="G18" s="65">
        <f t="shared" si="0"/>
        <v>17160000</v>
      </c>
      <c r="H18" s="60"/>
      <c r="I18" s="127"/>
      <c r="J18" s="129"/>
      <c r="K18" s="130"/>
      <c r="L18" s="123"/>
      <c r="M18" s="61"/>
      <c r="N18" s="61"/>
      <c r="O18" s="61"/>
      <c r="P18" s="61"/>
      <c r="Q18" s="61"/>
      <c r="R18" s="61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1"/>
      <c r="AK18" s="61"/>
      <c r="AL18" s="61"/>
      <c r="AM18" s="61"/>
      <c r="AN18" s="61"/>
      <c r="AO18" s="61"/>
      <c r="AP18" s="122"/>
    </row>
    <row r="19" spans="1:42" ht="34.9">
      <c r="A19" s="3"/>
      <c r="B19" s="64" t="s">
        <v>171</v>
      </c>
      <c r="C19" s="52">
        <v>12</v>
      </c>
      <c r="D19" s="52">
        <v>1</v>
      </c>
      <c r="E19" s="55">
        <f>C33</f>
        <v>2600000</v>
      </c>
      <c r="F19" s="52">
        <v>0.55000000000000004</v>
      </c>
      <c r="G19" s="65">
        <f t="shared" si="0"/>
        <v>17160000</v>
      </c>
      <c r="H19" s="60"/>
      <c r="I19" s="127"/>
      <c r="J19" s="129"/>
      <c r="K19" s="130"/>
      <c r="L19" s="123"/>
      <c r="M19" s="61"/>
      <c r="N19" s="61"/>
      <c r="O19" s="61"/>
      <c r="P19" s="61"/>
      <c r="Q19" s="61"/>
      <c r="R19" s="61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1"/>
      <c r="AK19" s="61"/>
      <c r="AL19" s="61"/>
      <c r="AM19" s="61"/>
      <c r="AN19" s="61"/>
      <c r="AO19" s="61"/>
      <c r="AP19" s="122"/>
    </row>
    <row r="20" spans="1:42" ht="34.9" customHeight="1">
      <c r="A20" s="3"/>
      <c r="B20" s="64" t="s">
        <v>172</v>
      </c>
      <c r="C20" s="52">
        <v>12</v>
      </c>
      <c r="D20" s="52">
        <v>1</v>
      </c>
      <c r="E20" s="55">
        <f>C33</f>
        <v>2600000</v>
      </c>
      <c r="F20" s="52">
        <v>0.5</v>
      </c>
      <c r="G20" s="65">
        <f t="shared" si="0"/>
        <v>15600000</v>
      </c>
      <c r="H20" s="60"/>
      <c r="I20" s="127"/>
      <c r="J20" s="129"/>
      <c r="K20" s="130"/>
      <c r="L20" s="123"/>
      <c r="M20" s="123"/>
      <c r="N20" s="61"/>
      <c r="O20" s="61"/>
      <c r="P20" s="61"/>
      <c r="Q20" s="61"/>
      <c r="R20" s="61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1"/>
      <c r="AK20" s="61"/>
      <c r="AL20" s="61"/>
      <c r="AM20" s="61"/>
      <c r="AN20" s="61"/>
      <c r="AO20" s="61"/>
      <c r="AP20" s="122"/>
    </row>
    <row r="21" spans="1:42" ht="34.9">
      <c r="A21" s="3"/>
      <c r="B21" s="64" t="s">
        <v>173</v>
      </c>
      <c r="C21" s="52">
        <v>12</v>
      </c>
      <c r="D21" s="52">
        <v>1</v>
      </c>
      <c r="E21" s="55">
        <f>C33</f>
        <v>2600000</v>
      </c>
      <c r="F21" s="52">
        <v>0.5</v>
      </c>
      <c r="G21" s="65">
        <f t="shared" si="0"/>
        <v>15600000</v>
      </c>
      <c r="H21" s="60"/>
      <c r="I21" s="127"/>
      <c r="J21" s="129"/>
      <c r="K21" s="130"/>
      <c r="L21" s="123"/>
      <c r="M21" s="123"/>
      <c r="N21" s="61"/>
      <c r="O21" s="61"/>
      <c r="P21" s="61"/>
      <c r="Q21" s="61"/>
      <c r="R21" s="61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1"/>
      <c r="AK21" s="61"/>
      <c r="AL21" s="61"/>
      <c r="AM21" s="61"/>
      <c r="AN21" s="61"/>
      <c r="AO21" s="61"/>
      <c r="AP21" s="122"/>
    </row>
    <row r="22" spans="1:42" ht="34.9">
      <c r="A22" s="3"/>
      <c r="B22" s="64" t="s">
        <v>174</v>
      </c>
      <c r="C22" s="52">
        <v>12</v>
      </c>
      <c r="D22" s="52">
        <v>1</v>
      </c>
      <c r="E22" s="55">
        <f>D33</f>
        <v>2800000</v>
      </c>
      <c r="F22" s="52">
        <v>0.5</v>
      </c>
      <c r="G22" s="65">
        <f t="shared" si="0"/>
        <v>16800000</v>
      </c>
      <c r="H22" s="60"/>
      <c r="I22" s="127"/>
      <c r="J22" s="129"/>
      <c r="K22" s="130"/>
      <c r="L22" s="123"/>
      <c r="M22" s="123"/>
      <c r="N22" s="61"/>
      <c r="O22" s="61"/>
      <c r="P22" s="61"/>
      <c r="Q22" s="61"/>
      <c r="R22" s="61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1"/>
      <c r="AK22" s="61"/>
      <c r="AL22" s="61"/>
      <c r="AM22" s="61"/>
      <c r="AN22" s="61"/>
      <c r="AO22" s="61"/>
      <c r="AP22" s="122"/>
    </row>
    <row r="23" spans="1:42" ht="34.9">
      <c r="A23" s="3"/>
      <c r="B23" s="64" t="s">
        <v>175</v>
      </c>
      <c r="C23" s="52">
        <v>12</v>
      </c>
      <c r="D23" s="52">
        <v>1</v>
      </c>
      <c r="E23" s="55">
        <f>C33</f>
        <v>2600000</v>
      </c>
      <c r="F23" s="52">
        <v>0.5</v>
      </c>
      <c r="G23" s="65">
        <f t="shared" si="0"/>
        <v>15600000</v>
      </c>
      <c r="H23" s="60"/>
      <c r="I23" s="127"/>
      <c r="J23" s="129"/>
      <c r="K23" s="130"/>
      <c r="L23" s="123"/>
      <c r="M23" s="123"/>
      <c r="N23" s="61"/>
      <c r="O23" s="61"/>
      <c r="P23" s="61"/>
      <c r="Q23" s="61"/>
      <c r="R23" s="61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61"/>
      <c r="AL23" s="61"/>
      <c r="AM23" s="61"/>
      <c r="AN23" s="61"/>
      <c r="AO23" s="61"/>
      <c r="AP23" s="122"/>
    </row>
    <row r="24" spans="1:42" ht="52.15">
      <c r="A24" s="3"/>
      <c r="B24" s="64" t="s">
        <v>176</v>
      </c>
      <c r="C24" s="52">
        <v>12</v>
      </c>
      <c r="D24" s="52">
        <v>1</v>
      </c>
      <c r="E24" s="55">
        <f>E33</f>
        <v>3000000</v>
      </c>
      <c r="F24" s="52">
        <v>0.6</v>
      </c>
      <c r="G24" s="65">
        <f t="shared" si="0"/>
        <v>21600000</v>
      </c>
      <c r="H24" s="60"/>
      <c r="I24" s="127"/>
      <c r="J24" s="129"/>
      <c r="K24" s="130"/>
      <c r="L24" s="61"/>
      <c r="M24" s="61"/>
      <c r="N24" s="61"/>
      <c r="O24" s="61"/>
      <c r="P24" s="61"/>
      <c r="Q24" s="61"/>
      <c r="R24" s="61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1"/>
      <c r="AK24" s="61"/>
      <c r="AL24" s="61"/>
      <c r="AM24" s="61"/>
      <c r="AN24" s="61"/>
      <c r="AO24" s="61"/>
      <c r="AP24" s="122"/>
    </row>
    <row r="25" spans="1:42" ht="34.9">
      <c r="A25" s="3"/>
      <c r="B25" s="64" t="s">
        <v>177</v>
      </c>
      <c r="C25" s="52">
        <v>12</v>
      </c>
      <c r="D25" s="52">
        <v>1</v>
      </c>
      <c r="E25" s="55">
        <f>C33</f>
        <v>2600000</v>
      </c>
      <c r="F25" s="52">
        <v>0.5</v>
      </c>
      <c r="G25" s="65">
        <f t="shared" si="0"/>
        <v>15600000</v>
      </c>
      <c r="H25" s="60"/>
      <c r="I25" s="127"/>
      <c r="J25" s="129"/>
      <c r="K25" s="130"/>
      <c r="L25" s="61"/>
      <c r="M25" s="61"/>
      <c r="N25" s="61"/>
      <c r="O25" s="61"/>
      <c r="P25" s="61"/>
      <c r="Q25" s="61"/>
      <c r="R25" s="61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1"/>
      <c r="AK25" s="61"/>
      <c r="AL25" s="61"/>
      <c r="AM25" s="61"/>
      <c r="AN25" s="61"/>
      <c r="AO25" s="61"/>
      <c r="AP25" s="122"/>
    </row>
    <row r="26" spans="1:42" ht="52.15">
      <c r="A26" s="3"/>
      <c r="B26" s="64" t="s">
        <v>178</v>
      </c>
      <c r="C26" s="52">
        <v>12</v>
      </c>
      <c r="D26" s="52">
        <v>1</v>
      </c>
      <c r="E26" s="55">
        <f>E33</f>
        <v>3000000</v>
      </c>
      <c r="F26" s="52">
        <v>0.6</v>
      </c>
      <c r="G26" s="65">
        <f t="shared" si="0"/>
        <v>21600000</v>
      </c>
      <c r="H26" s="60"/>
      <c r="I26" s="127"/>
      <c r="J26" s="129"/>
      <c r="K26" s="130"/>
      <c r="L26" s="61"/>
      <c r="M26" s="61"/>
      <c r="N26" s="61"/>
      <c r="O26" s="61"/>
      <c r="P26" s="61"/>
      <c r="Q26" s="61"/>
      <c r="R26" s="61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1"/>
      <c r="AK26" s="61"/>
      <c r="AL26" s="61"/>
      <c r="AM26" s="61"/>
      <c r="AN26" s="61"/>
      <c r="AO26" s="61"/>
      <c r="AP26" s="122"/>
    </row>
    <row r="27" spans="1:42" ht="34.9">
      <c r="A27" s="3"/>
      <c r="B27" s="64" t="s">
        <v>179</v>
      </c>
      <c r="C27" s="52">
        <v>12</v>
      </c>
      <c r="D27" s="52">
        <v>1</v>
      </c>
      <c r="E27" s="55">
        <f>D33</f>
        <v>2800000</v>
      </c>
      <c r="F27" s="52">
        <v>0.5</v>
      </c>
      <c r="G27" s="65">
        <f t="shared" si="0"/>
        <v>16800000</v>
      </c>
      <c r="H27" s="60"/>
      <c r="I27" s="131"/>
      <c r="J27" s="129"/>
      <c r="K27" s="130"/>
      <c r="L27" s="61"/>
      <c r="M27" s="61"/>
      <c r="N27" s="61"/>
      <c r="O27" s="61"/>
      <c r="P27" s="61"/>
      <c r="Q27" s="61"/>
      <c r="R27" s="61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1"/>
      <c r="AK27" s="61"/>
      <c r="AL27" s="61"/>
      <c r="AM27" s="61"/>
      <c r="AN27" s="61"/>
      <c r="AO27" s="61"/>
      <c r="AP27" s="122"/>
    </row>
    <row r="28" spans="1:42" ht="52.15">
      <c r="A28" s="3"/>
      <c r="B28" s="64" t="s">
        <v>180</v>
      </c>
      <c r="C28" s="52">
        <v>12</v>
      </c>
      <c r="D28" s="52">
        <v>1</v>
      </c>
      <c r="E28" s="55">
        <f>E33</f>
        <v>3000000</v>
      </c>
      <c r="F28" s="52">
        <v>0.6</v>
      </c>
      <c r="G28" s="65">
        <f t="shared" si="0"/>
        <v>21600000</v>
      </c>
      <c r="H28" s="60"/>
      <c r="I28" s="131"/>
      <c r="J28" s="129"/>
      <c r="K28" s="130"/>
      <c r="L28" s="61"/>
      <c r="M28" s="61"/>
      <c r="N28" s="61"/>
      <c r="O28" s="61"/>
      <c r="P28" s="61"/>
      <c r="Q28" s="61"/>
      <c r="R28" s="61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1"/>
      <c r="AK28" s="61"/>
      <c r="AL28" s="61"/>
      <c r="AM28" s="61"/>
      <c r="AN28" s="61"/>
      <c r="AO28" s="61"/>
      <c r="AP28" s="122"/>
    </row>
    <row r="29" spans="1:42" ht="52.15">
      <c r="A29" s="3"/>
      <c r="B29" s="64" t="s">
        <v>181</v>
      </c>
      <c r="C29" s="52">
        <v>12</v>
      </c>
      <c r="D29" s="52">
        <v>1</v>
      </c>
      <c r="E29" s="55">
        <f>E33</f>
        <v>3000000</v>
      </c>
      <c r="F29" s="52">
        <v>0.7</v>
      </c>
      <c r="G29" s="65">
        <f t="shared" si="0"/>
        <v>25200000</v>
      </c>
      <c r="H29" s="60"/>
      <c r="I29" s="129"/>
      <c r="J29" s="129"/>
      <c r="K29" s="130"/>
      <c r="L29" s="61"/>
      <c r="M29" s="61"/>
      <c r="N29" s="61"/>
      <c r="O29" s="61"/>
      <c r="P29" s="61"/>
      <c r="Q29" s="61"/>
      <c r="R29" s="61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1"/>
      <c r="AK29" s="61"/>
      <c r="AL29" s="61"/>
      <c r="AM29" s="61"/>
      <c r="AN29" s="61"/>
      <c r="AO29" s="61"/>
      <c r="AP29" s="122"/>
    </row>
    <row r="30" spans="1:42" ht="26.25" customHeight="1">
      <c r="A30" s="60"/>
      <c r="B30" s="60"/>
      <c r="C30" s="60"/>
      <c r="D30" s="60"/>
      <c r="E30" s="60"/>
      <c r="F30" s="60"/>
      <c r="G30" s="60"/>
      <c r="H30" s="60"/>
      <c r="I30" s="129"/>
      <c r="J30" s="129"/>
      <c r="K30" s="129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</row>
    <row r="31" spans="1:42" ht="26.25" customHeight="1">
      <c r="A31" s="60"/>
      <c r="B31" s="177" t="s">
        <v>182</v>
      </c>
      <c r="C31" s="178" t="s">
        <v>183</v>
      </c>
      <c r="D31" s="151"/>
      <c r="E31" s="152"/>
      <c r="F31" s="60"/>
      <c r="G31" s="60"/>
      <c r="H31" s="60"/>
      <c r="I31" s="129"/>
      <c r="J31" s="129"/>
      <c r="K31" s="129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</row>
    <row r="32" spans="1:42" ht="26.25" customHeight="1">
      <c r="A32" s="60"/>
      <c r="B32" s="163"/>
      <c r="C32" s="69" t="s">
        <v>184</v>
      </c>
      <c r="D32" s="70" t="s">
        <v>185</v>
      </c>
      <c r="E32" s="69" t="s">
        <v>186</v>
      </c>
      <c r="F32" s="60"/>
      <c r="G32" s="60"/>
      <c r="H32" s="60"/>
      <c r="I32" s="129"/>
      <c r="J32" s="129"/>
      <c r="K32" s="129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</row>
    <row r="33" spans="1:42" ht="26.25" customHeight="1">
      <c r="A33" s="60"/>
      <c r="B33" s="71" t="s">
        <v>187</v>
      </c>
      <c r="C33" s="71">
        <v>2600000</v>
      </c>
      <c r="D33" s="71">
        <v>2800000</v>
      </c>
      <c r="E33" s="71">
        <v>3000000</v>
      </c>
      <c r="F33" s="60"/>
      <c r="G33" s="60"/>
      <c r="H33" s="60"/>
      <c r="I33" s="129"/>
      <c r="J33" s="129"/>
      <c r="K33" s="129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</row>
    <row r="34" spans="1:42" ht="26.25" customHeight="1">
      <c r="A34" s="60"/>
      <c r="B34" s="60"/>
      <c r="C34" s="60"/>
      <c r="D34" s="60"/>
      <c r="E34" s="60"/>
      <c r="F34" s="60"/>
      <c r="G34" s="60"/>
      <c r="H34" s="60"/>
      <c r="I34" s="129"/>
      <c r="J34" s="129"/>
      <c r="K34" s="129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</row>
    <row r="35" spans="1:42" ht="26.25" customHeight="1">
      <c r="A35" s="60"/>
      <c r="B35" s="180" t="s">
        <v>188</v>
      </c>
      <c r="C35" s="151"/>
      <c r="D35" s="151"/>
      <c r="E35" s="151"/>
      <c r="F35" s="151"/>
      <c r="G35" s="151"/>
      <c r="H35" s="152"/>
      <c r="I35" s="126"/>
      <c r="J35" s="129"/>
      <c r="K35" s="129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</row>
    <row r="36" spans="1:42" ht="34.9">
      <c r="A36" s="60"/>
      <c r="B36" s="62" t="s">
        <v>151</v>
      </c>
      <c r="C36" s="62" t="s">
        <v>152</v>
      </c>
      <c r="D36" s="62" t="s">
        <v>153</v>
      </c>
      <c r="E36" s="62" t="s">
        <v>154</v>
      </c>
      <c r="F36" s="63" t="s">
        <v>155</v>
      </c>
      <c r="G36" s="62" t="s">
        <v>156</v>
      </c>
      <c r="H36" s="135" t="s">
        <v>4</v>
      </c>
      <c r="I36" s="129"/>
      <c r="J36" s="129"/>
      <c r="K36" s="129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122"/>
    </row>
    <row r="37" spans="1:42" ht="34.9">
      <c r="A37" s="60"/>
      <c r="B37" s="64" t="s">
        <v>157</v>
      </c>
      <c r="C37" s="52">
        <v>12</v>
      </c>
      <c r="D37" s="52">
        <v>1</v>
      </c>
      <c r="E37" s="55">
        <f>E65</f>
        <v>3800000</v>
      </c>
      <c r="F37" s="52">
        <v>0.9</v>
      </c>
      <c r="G37" s="65">
        <f>(E37*C37*F37)</f>
        <v>41040000</v>
      </c>
      <c r="H37" s="60"/>
      <c r="I37" s="124"/>
      <c r="J37" s="125"/>
      <c r="K37" s="126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122"/>
    </row>
    <row r="38" spans="1:42" ht="34.9">
      <c r="A38" s="60"/>
      <c r="B38" s="64" t="s">
        <v>158</v>
      </c>
      <c r="C38" s="52">
        <v>12</v>
      </c>
      <c r="D38" s="52">
        <v>1</v>
      </c>
      <c r="E38" s="55">
        <f>D65</f>
        <v>3600000</v>
      </c>
      <c r="F38" s="52">
        <v>0.7</v>
      </c>
      <c r="G38" s="65">
        <f t="shared" ref="G38:G61" si="1">(E38*C38*F38)</f>
        <v>30239999.999999996</v>
      </c>
      <c r="H38" s="60"/>
      <c r="I38" s="124"/>
      <c r="J38" s="125"/>
      <c r="K38" s="125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122"/>
    </row>
    <row r="39" spans="1:42" ht="34.9">
      <c r="A39" s="60"/>
      <c r="B39" s="64" t="s">
        <v>159</v>
      </c>
      <c r="C39" s="52">
        <v>12</v>
      </c>
      <c r="D39" s="52">
        <v>1</v>
      </c>
      <c r="E39" s="55">
        <f>C65</f>
        <v>3400000</v>
      </c>
      <c r="F39" s="52">
        <v>0.6</v>
      </c>
      <c r="G39" s="65">
        <f t="shared" si="1"/>
        <v>24480000</v>
      </c>
      <c r="H39" s="67"/>
      <c r="I39" s="127"/>
      <c r="J39" s="128"/>
      <c r="K39" s="128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122"/>
    </row>
    <row r="40" spans="1:42" ht="52.15">
      <c r="A40" s="60"/>
      <c r="B40" s="64" t="s">
        <v>160</v>
      </c>
      <c r="C40" s="52">
        <v>12</v>
      </c>
      <c r="D40" s="52">
        <v>1</v>
      </c>
      <c r="E40" s="55">
        <f>E65</f>
        <v>3800000</v>
      </c>
      <c r="F40" s="52">
        <v>0.8</v>
      </c>
      <c r="G40" s="65">
        <f t="shared" si="1"/>
        <v>36480000</v>
      </c>
      <c r="H40" s="66"/>
      <c r="I40" s="127"/>
      <c r="J40" s="125"/>
      <c r="K40" s="125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122"/>
    </row>
    <row r="41" spans="1:42" ht="34.9">
      <c r="A41" s="60"/>
      <c r="B41" s="64" t="s">
        <v>161</v>
      </c>
      <c r="C41" s="52">
        <v>12</v>
      </c>
      <c r="D41" s="52">
        <v>1</v>
      </c>
      <c r="E41" s="55">
        <f>D65</f>
        <v>3600000</v>
      </c>
      <c r="F41" s="52">
        <v>0.6</v>
      </c>
      <c r="G41" s="65">
        <f t="shared" si="1"/>
        <v>25920000</v>
      </c>
      <c r="H41" s="60"/>
      <c r="I41" s="127"/>
      <c r="J41" s="129"/>
      <c r="K41" s="129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122"/>
    </row>
    <row r="42" spans="1:42" ht="34.9">
      <c r="A42" s="60"/>
      <c r="B42" s="64" t="s">
        <v>162</v>
      </c>
      <c r="C42" s="52">
        <v>12</v>
      </c>
      <c r="D42" s="52">
        <v>1</v>
      </c>
      <c r="E42" s="55">
        <f>C65</f>
        <v>3400000</v>
      </c>
      <c r="F42" s="52">
        <v>0.6</v>
      </c>
      <c r="G42" s="65">
        <f t="shared" si="1"/>
        <v>24480000</v>
      </c>
      <c r="H42" s="60"/>
      <c r="I42" s="127"/>
      <c r="J42" s="129"/>
      <c r="K42" s="129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122"/>
    </row>
    <row r="43" spans="1:42" ht="34.9">
      <c r="A43" s="60"/>
      <c r="B43" s="64" t="s">
        <v>163</v>
      </c>
      <c r="C43" s="52">
        <v>12</v>
      </c>
      <c r="D43" s="52">
        <v>1</v>
      </c>
      <c r="E43" s="55">
        <f>E65</f>
        <v>3800000</v>
      </c>
      <c r="F43" s="52">
        <v>0.7</v>
      </c>
      <c r="G43" s="65">
        <f t="shared" si="1"/>
        <v>31919999.999999996</v>
      </c>
      <c r="H43" s="60"/>
      <c r="I43" s="127"/>
      <c r="J43" s="129"/>
      <c r="K43" s="129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122"/>
    </row>
    <row r="44" spans="1:42" ht="34.9">
      <c r="A44" s="60"/>
      <c r="B44" s="64" t="s">
        <v>164</v>
      </c>
      <c r="C44" s="52">
        <v>12</v>
      </c>
      <c r="D44" s="52">
        <v>1</v>
      </c>
      <c r="E44" s="55">
        <f>E65</f>
        <v>3800000</v>
      </c>
      <c r="F44" s="52">
        <v>0.6</v>
      </c>
      <c r="G44" s="65">
        <f t="shared" si="1"/>
        <v>27360000</v>
      </c>
      <c r="H44" s="60"/>
      <c r="I44" s="127"/>
      <c r="J44" s="129"/>
      <c r="K44" s="13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122"/>
    </row>
    <row r="45" spans="1:42" ht="34.9">
      <c r="A45" s="60"/>
      <c r="B45" s="64" t="s">
        <v>165</v>
      </c>
      <c r="C45" s="52">
        <v>12</v>
      </c>
      <c r="D45" s="52">
        <v>1</v>
      </c>
      <c r="E45" s="55">
        <f>D65</f>
        <v>3600000</v>
      </c>
      <c r="F45" s="52">
        <v>0.6</v>
      </c>
      <c r="G45" s="65">
        <f t="shared" si="1"/>
        <v>25920000</v>
      </c>
      <c r="H45" s="60"/>
      <c r="I45" s="127"/>
      <c r="J45" s="129"/>
      <c r="K45" s="13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122"/>
    </row>
    <row r="46" spans="1:42" ht="34.9">
      <c r="A46" s="60"/>
      <c r="B46" s="64" t="s">
        <v>166</v>
      </c>
      <c r="C46" s="52">
        <v>12</v>
      </c>
      <c r="D46" s="52">
        <v>1</v>
      </c>
      <c r="E46" s="55">
        <f>C65</f>
        <v>3400000</v>
      </c>
      <c r="F46" s="52">
        <v>0.6</v>
      </c>
      <c r="G46" s="65">
        <f t="shared" si="1"/>
        <v>24480000</v>
      </c>
      <c r="H46" s="60"/>
      <c r="I46" s="127"/>
      <c r="J46" s="129"/>
      <c r="K46" s="13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122"/>
    </row>
    <row r="47" spans="1:42" ht="34.9">
      <c r="A47" s="60"/>
      <c r="B47" s="64" t="s">
        <v>167</v>
      </c>
      <c r="C47" s="52">
        <v>12</v>
      </c>
      <c r="D47" s="52">
        <v>1</v>
      </c>
      <c r="E47" s="55">
        <f>E65</f>
        <v>3800000</v>
      </c>
      <c r="F47" s="52">
        <v>0.6</v>
      </c>
      <c r="G47" s="65">
        <f t="shared" si="1"/>
        <v>27360000</v>
      </c>
      <c r="H47" s="60"/>
      <c r="I47" s="127"/>
      <c r="J47" s="129"/>
      <c r="K47" s="13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122"/>
    </row>
    <row r="48" spans="1:42" ht="34.9">
      <c r="A48" s="60"/>
      <c r="B48" s="64" t="s">
        <v>168</v>
      </c>
      <c r="C48" s="52">
        <v>12</v>
      </c>
      <c r="D48" s="52">
        <v>1</v>
      </c>
      <c r="E48" s="55">
        <f>D65</f>
        <v>3600000</v>
      </c>
      <c r="F48" s="52">
        <v>0.6</v>
      </c>
      <c r="G48" s="65">
        <f t="shared" si="1"/>
        <v>25920000</v>
      </c>
      <c r="H48" s="60"/>
      <c r="I48" s="127"/>
      <c r="J48" s="129"/>
      <c r="K48" s="13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122"/>
    </row>
    <row r="49" spans="1:42" ht="34.9">
      <c r="A49" s="60"/>
      <c r="B49" s="64" t="s">
        <v>169</v>
      </c>
      <c r="C49" s="52">
        <v>12</v>
      </c>
      <c r="D49" s="52">
        <v>1</v>
      </c>
      <c r="E49" s="55">
        <f>C65</f>
        <v>3400000</v>
      </c>
      <c r="F49" s="52">
        <v>0.6</v>
      </c>
      <c r="G49" s="65">
        <f t="shared" si="1"/>
        <v>24480000</v>
      </c>
      <c r="H49" s="60"/>
      <c r="I49" s="127"/>
      <c r="J49" s="129"/>
      <c r="K49" s="13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</row>
    <row r="50" spans="1:42" ht="34.9">
      <c r="A50" s="60"/>
      <c r="B50" s="64" t="s">
        <v>170</v>
      </c>
      <c r="C50" s="52">
        <v>12</v>
      </c>
      <c r="D50" s="52">
        <v>1</v>
      </c>
      <c r="E50" s="55">
        <f>C65</f>
        <v>3400000</v>
      </c>
      <c r="F50" s="52">
        <v>0.65</v>
      </c>
      <c r="G50" s="65">
        <f t="shared" si="1"/>
        <v>26520000</v>
      </c>
      <c r="H50" s="60"/>
      <c r="I50" s="127"/>
      <c r="J50" s="129"/>
      <c r="K50" s="13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</row>
    <row r="51" spans="1:42" ht="34.9">
      <c r="A51" s="60"/>
      <c r="B51" s="64" t="s">
        <v>171</v>
      </c>
      <c r="C51" s="52">
        <v>12</v>
      </c>
      <c r="D51" s="52">
        <v>1</v>
      </c>
      <c r="E51" s="55">
        <f>C65</f>
        <v>3400000</v>
      </c>
      <c r="F51" s="52">
        <v>0.65</v>
      </c>
      <c r="G51" s="65">
        <f t="shared" si="1"/>
        <v>26520000</v>
      </c>
      <c r="H51" s="60"/>
      <c r="I51" s="127"/>
      <c r="J51" s="129"/>
      <c r="K51" s="13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</row>
    <row r="52" spans="1:42" ht="34.9">
      <c r="A52" s="60"/>
      <c r="B52" s="64" t="s">
        <v>172</v>
      </c>
      <c r="C52" s="52">
        <v>12</v>
      </c>
      <c r="D52" s="52">
        <v>1</v>
      </c>
      <c r="E52" s="55">
        <f>C65</f>
        <v>3400000</v>
      </c>
      <c r="F52" s="52">
        <v>0.6</v>
      </c>
      <c r="G52" s="65">
        <f t="shared" si="1"/>
        <v>24480000</v>
      </c>
      <c r="H52" s="60"/>
      <c r="I52" s="127"/>
      <c r="J52" s="129"/>
      <c r="K52" s="13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</row>
    <row r="53" spans="1:42" ht="34.9">
      <c r="A53" s="60"/>
      <c r="B53" s="64" t="s">
        <v>173</v>
      </c>
      <c r="C53" s="52">
        <v>12</v>
      </c>
      <c r="D53" s="52">
        <v>1</v>
      </c>
      <c r="E53" s="55">
        <f>C65</f>
        <v>3400000</v>
      </c>
      <c r="F53" s="52">
        <v>0.6</v>
      </c>
      <c r="G53" s="65">
        <f t="shared" si="1"/>
        <v>24480000</v>
      </c>
      <c r="H53" s="60"/>
      <c r="I53" s="127"/>
      <c r="J53" s="129"/>
      <c r="K53" s="13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1"/>
      <c r="AF53" s="60"/>
      <c r="AG53" s="60"/>
      <c r="AH53" s="61"/>
      <c r="AI53" s="61"/>
      <c r="AJ53" s="61"/>
      <c r="AK53" s="61"/>
      <c r="AL53" s="61"/>
      <c r="AM53" s="61"/>
      <c r="AN53" s="61"/>
      <c r="AO53" s="61"/>
      <c r="AP53" s="61"/>
    </row>
    <row r="54" spans="1:42" ht="34.9">
      <c r="A54" s="60"/>
      <c r="B54" s="64" t="s">
        <v>174</v>
      </c>
      <c r="C54" s="52">
        <v>12</v>
      </c>
      <c r="D54" s="52">
        <v>1</v>
      </c>
      <c r="E54" s="55">
        <f>D65</f>
        <v>3600000</v>
      </c>
      <c r="F54" s="52">
        <v>0.6</v>
      </c>
      <c r="G54" s="65">
        <f t="shared" si="1"/>
        <v>25920000</v>
      </c>
      <c r="H54" s="119"/>
      <c r="I54" s="127"/>
      <c r="J54" s="129"/>
      <c r="K54" s="13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1"/>
      <c r="AF54" s="60"/>
      <c r="AG54" s="60"/>
      <c r="AH54" s="61"/>
      <c r="AI54" s="61"/>
      <c r="AJ54" s="61"/>
      <c r="AK54" s="61"/>
      <c r="AL54" s="61"/>
      <c r="AM54" s="61"/>
      <c r="AN54" s="61"/>
      <c r="AO54" s="61"/>
      <c r="AP54" s="61"/>
    </row>
    <row r="55" spans="1:42" ht="34.9">
      <c r="A55" s="60"/>
      <c r="B55" s="64" t="s">
        <v>175</v>
      </c>
      <c r="C55" s="52">
        <v>12</v>
      </c>
      <c r="D55" s="52">
        <v>1</v>
      </c>
      <c r="E55" s="55">
        <f>C65</f>
        <v>3400000</v>
      </c>
      <c r="F55" s="52">
        <v>0.6</v>
      </c>
      <c r="G55" s="65">
        <f t="shared" si="1"/>
        <v>24480000</v>
      </c>
      <c r="H55" s="2"/>
      <c r="I55" s="127"/>
      <c r="J55" s="129"/>
      <c r="K55" s="13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1"/>
      <c r="AE55" s="60"/>
      <c r="AF55" s="60"/>
      <c r="AG55" s="61"/>
      <c r="AH55" s="61"/>
      <c r="AI55" s="61"/>
      <c r="AJ55" s="61"/>
      <c r="AK55" s="61"/>
      <c r="AL55" s="61"/>
      <c r="AM55" s="61"/>
      <c r="AN55" s="61"/>
      <c r="AO55" s="61"/>
      <c r="AP55" s="122"/>
    </row>
    <row r="56" spans="1:42" ht="52.15">
      <c r="A56" s="60"/>
      <c r="B56" s="64" t="s">
        <v>176</v>
      </c>
      <c r="C56" s="52">
        <v>12</v>
      </c>
      <c r="D56" s="52">
        <v>1</v>
      </c>
      <c r="E56" s="55">
        <f>E65</f>
        <v>3800000</v>
      </c>
      <c r="F56" s="52">
        <v>0.7</v>
      </c>
      <c r="G56" s="65">
        <f t="shared" si="1"/>
        <v>31919999.999999996</v>
      </c>
      <c r="H56" s="60"/>
      <c r="I56" s="127"/>
      <c r="J56" s="129"/>
      <c r="K56" s="13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1"/>
      <c r="AH56" s="61"/>
      <c r="AI56" s="61"/>
      <c r="AJ56" s="61"/>
      <c r="AK56" s="61"/>
      <c r="AL56" s="61"/>
      <c r="AM56" s="61"/>
      <c r="AN56" s="61"/>
      <c r="AO56" s="61"/>
      <c r="AP56" s="122"/>
    </row>
    <row r="57" spans="1:42" ht="34.9">
      <c r="A57" s="60"/>
      <c r="B57" s="64" t="s">
        <v>177</v>
      </c>
      <c r="C57" s="52">
        <v>12</v>
      </c>
      <c r="D57" s="52">
        <v>1</v>
      </c>
      <c r="E57" s="55">
        <f>C65</f>
        <v>3400000</v>
      </c>
      <c r="F57" s="52">
        <v>0.6</v>
      </c>
      <c r="G57" s="65">
        <f t="shared" si="1"/>
        <v>24480000</v>
      </c>
      <c r="H57" s="60"/>
      <c r="I57" s="127"/>
      <c r="J57" s="129"/>
      <c r="K57" s="13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1"/>
      <c r="AH57" s="61"/>
      <c r="AI57" s="61"/>
      <c r="AJ57" s="61"/>
      <c r="AK57" s="61"/>
      <c r="AL57" s="61"/>
      <c r="AM57" s="61"/>
      <c r="AN57" s="61"/>
      <c r="AO57" s="61"/>
      <c r="AP57" s="122"/>
    </row>
    <row r="58" spans="1:42" ht="52.15">
      <c r="A58" s="60"/>
      <c r="B58" s="64" t="s">
        <v>178</v>
      </c>
      <c r="C58" s="52">
        <v>12</v>
      </c>
      <c r="D58" s="52">
        <v>1</v>
      </c>
      <c r="E58" s="55">
        <f>E65</f>
        <v>3800000</v>
      </c>
      <c r="F58" s="52">
        <v>0.7</v>
      </c>
      <c r="G58" s="65">
        <f t="shared" si="1"/>
        <v>31919999.999999996</v>
      </c>
      <c r="H58" s="67"/>
      <c r="I58" s="127"/>
      <c r="J58" s="129"/>
      <c r="K58" s="13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1"/>
      <c r="AH58" s="61"/>
      <c r="AI58" s="61"/>
      <c r="AJ58" s="61"/>
      <c r="AK58" s="61"/>
      <c r="AL58" s="61"/>
      <c r="AM58" s="61"/>
      <c r="AN58" s="61"/>
      <c r="AO58" s="61"/>
      <c r="AP58" s="122"/>
    </row>
    <row r="59" spans="1:42" ht="34.9">
      <c r="A59" s="60"/>
      <c r="B59" s="64" t="s">
        <v>179</v>
      </c>
      <c r="C59" s="52">
        <v>12</v>
      </c>
      <c r="D59" s="52">
        <v>1</v>
      </c>
      <c r="E59" s="55">
        <f>D65</f>
        <v>3600000</v>
      </c>
      <c r="F59" s="52">
        <v>0.6</v>
      </c>
      <c r="G59" s="65">
        <f t="shared" si="1"/>
        <v>25920000</v>
      </c>
      <c r="H59" s="66"/>
      <c r="I59" s="131"/>
      <c r="J59" s="129"/>
      <c r="K59" s="13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1"/>
      <c r="AH59" s="61"/>
      <c r="AI59" s="61"/>
      <c r="AJ59" s="61"/>
      <c r="AK59" s="61"/>
      <c r="AL59" s="61"/>
      <c r="AM59" s="61"/>
      <c r="AN59" s="61"/>
      <c r="AO59" s="61"/>
      <c r="AP59" s="122"/>
    </row>
    <row r="60" spans="1:42" ht="52.15">
      <c r="A60" s="60"/>
      <c r="B60" s="64" t="s">
        <v>180</v>
      </c>
      <c r="C60" s="52">
        <v>12</v>
      </c>
      <c r="D60" s="52">
        <v>1</v>
      </c>
      <c r="E60" s="55">
        <f>E65</f>
        <v>3800000</v>
      </c>
      <c r="F60" s="52">
        <v>0.7</v>
      </c>
      <c r="G60" s="65">
        <f t="shared" si="1"/>
        <v>31919999.999999996</v>
      </c>
      <c r="H60" s="60"/>
      <c r="I60" s="131"/>
      <c r="J60" s="129"/>
      <c r="K60" s="13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1"/>
      <c r="AH60" s="61"/>
      <c r="AI60" s="61"/>
      <c r="AJ60" s="61"/>
      <c r="AK60" s="61"/>
      <c r="AL60" s="61"/>
      <c r="AM60" s="61"/>
      <c r="AN60" s="61"/>
      <c r="AO60" s="61"/>
      <c r="AP60" s="122"/>
    </row>
    <row r="61" spans="1:42" ht="52.15">
      <c r="A61" s="60"/>
      <c r="B61" s="64" t="s">
        <v>181</v>
      </c>
      <c r="C61" s="52">
        <v>12</v>
      </c>
      <c r="D61" s="52">
        <v>1</v>
      </c>
      <c r="E61" s="55">
        <f>E65</f>
        <v>3800000</v>
      </c>
      <c r="F61" s="52">
        <v>0.8</v>
      </c>
      <c r="G61" s="65">
        <f t="shared" si="1"/>
        <v>36480000</v>
      </c>
      <c r="H61" s="60"/>
      <c r="I61" s="129"/>
      <c r="J61" s="129"/>
      <c r="K61" s="13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1"/>
      <c r="AH61" s="61"/>
      <c r="AI61" s="61"/>
      <c r="AJ61" s="61"/>
      <c r="AK61" s="61"/>
      <c r="AL61" s="61"/>
      <c r="AM61" s="61"/>
      <c r="AN61" s="61"/>
      <c r="AO61" s="61"/>
      <c r="AP61" s="122"/>
    </row>
    <row r="62" spans="1:42" ht="26.25" customHeight="1">
      <c r="A62" s="60"/>
      <c r="B62" s="60"/>
      <c r="C62" s="60"/>
      <c r="D62" s="60"/>
      <c r="E62" s="60"/>
      <c r="F62" s="60"/>
      <c r="G62" s="60"/>
      <c r="H62" s="60"/>
      <c r="I62" s="129"/>
      <c r="J62" s="129"/>
      <c r="K62" s="129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1"/>
      <c r="AI62" s="61"/>
      <c r="AJ62" s="61"/>
      <c r="AK62" s="61"/>
      <c r="AL62" s="61"/>
      <c r="AM62" s="61"/>
      <c r="AN62" s="61"/>
      <c r="AO62" s="61"/>
      <c r="AP62" s="61"/>
    </row>
    <row r="63" spans="1:42" ht="26.25" customHeight="1">
      <c r="A63" s="60"/>
      <c r="B63" s="177" t="s">
        <v>182</v>
      </c>
      <c r="C63" s="178" t="s">
        <v>189</v>
      </c>
      <c r="D63" s="151"/>
      <c r="E63" s="152"/>
      <c r="F63" s="60"/>
      <c r="G63" s="60"/>
      <c r="H63" s="60"/>
      <c r="I63" s="129"/>
      <c r="J63" s="129"/>
      <c r="K63" s="129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1"/>
      <c r="AI63" s="61"/>
      <c r="AJ63" s="61"/>
      <c r="AK63" s="61"/>
      <c r="AL63" s="61"/>
      <c r="AM63" s="61"/>
      <c r="AN63" s="61"/>
      <c r="AO63" s="61"/>
      <c r="AP63" s="61"/>
    </row>
    <row r="64" spans="1:42" ht="26.25" customHeight="1">
      <c r="A64" s="60"/>
      <c r="B64" s="163"/>
      <c r="C64" s="69" t="s">
        <v>184</v>
      </c>
      <c r="D64" s="70" t="s">
        <v>185</v>
      </c>
      <c r="E64" s="69" t="s">
        <v>186</v>
      </c>
      <c r="F64" s="60"/>
      <c r="G64" s="60"/>
      <c r="H64" s="60"/>
      <c r="I64" s="129"/>
      <c r="J64" s="129"/>
      <c r="K64" s="129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  <c r="AI64" s="61"/>
      <c r="AJ64" s="61"/>
      <c r="AK64" s="61"/>
      <c r="AL64" s="61"/>
      <c r="AM64" s="61"/>
      <c r="AN64" s="61"/>
      <c r="AO64" s="61"/>
      <c r="AP64" s="61"/>
    </row>
    <row r="65" spans="1:42" ht="57" customHeight="1">
      <c r="A65" s="60"/>
      <c r="B65" s="71" t="s">
        <v>187</v>
      </c>
      <c r="C65" s="71">
        <v>3400000</v>
      </c>
      <c r="D65" s="71">
        <v>3600000</v>
      </c>
      <c r="E65" s="71">
        <v>3800000</v>
      </c>
      <c r="F65" s="135" t="s">
        <v>190</v>
      </c>
      <c r="G65" s="60"/>
      <c r="H65" s="60"/>
      <c r="I65" s="129"/>
      <c r="J65" s="129"/>
      <c r="K65" s="129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1"/>
      <c r="AI65" s="61"/>
      <c r="AJ65" s="61"/>
      <c r="AK65" s="61"/>
      <c r="AL65" s="61"/>
      <c r="AM65" s="61"/>
      <c r="AN65" s="61"/>
      <c r="AO65" s="61"/>
      <c r="AP65" s="61"/>
    </row>
    <row r="66" spans="1:42" ht="26.25" customHeight="1">
      <c r="A66" s="60"/>
      <c r="B66" s="60"/>
      <c r="C66" s="60"/>
      <c r="D66" s="60"/>
      <c r="E66" s="60"/>
      <c r="F66" s="60"/>
      <c r="G66" s="60"/>
      <c r="H66" s="60"/>
      <c r="I66" s="129"/>
      <c r="J66" s="129"/>
      <c r="K66" s="129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1"/>
      <c r="AI66" s="61"/>
      <c r="AJ66" s="61"/>
      <c r="AK66" s="61"/>
      <c r="AL66" s="61"/>
      <c r="AM66" s="61"/>
      <c r="AN66" s="61"/>
      <c r="AO66" s="61"/>
      <c r="AP66" s="61"/>
    </row>
    <row r="67" spans="1:42" ht="26.25" customHeight="1">
      <c r="A67" s="60"/>
      <c r="B67" s="137" t="s">
        <v>191</v>
      </c>
      <c r="C67" s="118"/>
      <c r="D67" s="118"/>
      <c r="E67" s="118"/>
      <c r="F67" s="118"/>
      <c r="G67" s="118"/>
      <c r="H67" s="60"/>
      <c r="I67" s="129"/>
      <c r="J67" s="129"/>
      <c r="K67" s="129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1"/>
      <c r="AI67" s="61"/>
      <c r="AJ67" s="61"/>
      <c r="AK67" s="61"/>
      <c r="AL67" s="61"/>
      <c r="AM67" s="61"/>
      <c r="AN67" s="61"/>
      <c r="AO67" s="61"/>
      <c r="AP67" s="61"/>
    </row>
    <row r="68" spans="1:42" ht="34.9">
      <c r="A68" s="60"/>
      <c r="B68" s="62" t="s">
        <v>151</v>
      </c>
      <c r="C68" s="62" t="s">
        <v>152</v>
      </c>
      <c r="D68" s="62" t="s">
        <v>153</v>
      </c>
      <c r="E68" s="62" t="s">
        <v>154</v>
      </c>
      <c r="F68" s="63" t="s">
        <v>155</v>
      </c>
      <c r="G68" s="62" t="s">
        <v>156</v>
      </c>
      <c r="H68" s="60"/>
      <c r="I68" s="129"/>
      <c r="J68" s="129"/>
      <c r="K68" s="129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1"/>
      <c r="AI68" s="61"/>
      <c r="AJ68" s="61"/>
      <c r="AK68" s="61"/>
      <c r="AL68" s="61"/>
      <c r="AM68" s="61"/>
      <c r="AN68" s="61"/>
      <c r="AO68" s="61"/>
      <c r="AP68" s="61"/>
    </row>
    <row r="69" spans="1:42" ht="34.9">
      <c r="A69" s="60"/>
      <c r="B69" s="64" t="s">
        <v>157</v>
      </c>
      <c r="C69" s="52">
        <v>12</v>
      </c>
      <c r="D69" s="52">
        <v>1</v>
      </c>
      <c r="E69" s="55">
        <f>E97</f>
        <v>4700000</v>
      </c>
      <c r="F69" s="52">
        <v>1</v>
      </c>
      <c r="G69" s="65">
        <f>(E69*C69*F69)</f>
        <v>56400000</v>
      </c>
      <c r="H69" s="60"/>
      <c r="I69" s="124"/>
      <c r="J69" s="125"/>
      <c r="K69" s="126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1"/>
      <c r="AI69" s="61"/>
      <c r="AJ69" s="61"/>
      <c r="AK69" s="61"/>
      <c r="AL69" s="61"/>
      <c r="AM69" s="61"/>
      <c r="AN69" s="61"/>
      <c r="AO69" s="61"/>
      <c r="AP69" s="61"/>
    </row>
    <row r="70" spans="1:42" ht="34.9">
      <c r="A70" s="60"/>
      <c r="B70" s="64" t="s">
        <v>158</v>
      </c>
      <c r="C70" s="52">
        <v>12</v>
      </c>
      <c r="D70" s="52">
        <v>1</v>
      </c>
      <c r="E70" s="55">
        <f>D97</f>
        <v>4500000</v>
      </c>
      <c r="F70" s="52">
        <v>0.8</v>
      </c>
      <c r="G70" s="65">
        <f t="shared" ref="G70:G93" si="2">(E70*C70*F70)</f>
        <v>43200000</v>
      </c>
      <c r="H70" s="60"/>
      <c r="I70" s="124"/>
      <c r="J70" s="125"/>
      <c r="K70" s="125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1"/>
      <c r="AI70" s="61"/>
      <c r="AJ70" s="61"/>
      <c r="AK70" s="61"/>
      <c r="AL70" s="61"/>
      <c r="AM70" s="61"/>
      <c r="AN70" s="61"/>
      <c r="AO70" s="61"/>
      <c r="AP70" s="61"/>
    </row>
    <row r="71" spans="1:42" ht="34.9">
      <c r="A71" s="60"/>
      <c r="B71" s="64" t="s">
        <v>159</v>
      </c>
      <c r="C71" s="52">
        <v>12</v>
      </c>
      <c r="D71" s="52">
        <v>1</v>
      </c>
      <c r="E71" s="55">
        <f>C97</f>
        <v>4300000</v>
      </c>
      <c r="F71" s="52">
        <v>0.7</v>
      </c>
      <c r="G71" s="65">
        <f t="shared" si="2"/>
        <v>36120000</v>
      </c>
      <c r="H71" s="60"/>
      <c r="I71" s="127"/>
      <c r="J71" s="128"/>
      <c r="K71" s="128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1"/>
      <c r="AI71" s="61"/>
      <c r="AJ71" s="61"/>
      <c r="AK71" s="61"/>
      <c r="AL71" s="61"/>
      <c r="AM71" s="61"/>
      <c r="AN71" s="61"/>
      <c r="AO71" s="61"/>
      <c r="AP71" s="61"/>
    </row>
    <row r="72" spans="1:42" ht="52.15">
      <c r="A72" s="60"/>
      <c r="B72" s="64" t="s">
        <v>160</v>
      </c>
      <c r="C72" s="52">
        <v>12</v>
      </c>
      <c r="D72" s="52">
        <v>1</v>
      </c>
      <c r="E72" s="55">
        <f>E97</f>
        <v>4700000</v>
      </c>
      <c r="F72" s="52">
        <v>0.9</v>
      </c>
      <c r="G72" s="65">
        <f t="shared" si="2"/>
        <v>50760000</v>
      </c>
      <c r="H72" s="60"/>
      <c r="I72" s="127"/>
      <c r="J72" s="125"/>
      <c r="K72" s="125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1"/>
      <c r="AI72" s="61"/>
      <c r="AJ72" s="61"/>
      <c r="AK72" s="61"/>
      <c r="AL72" s="61"/>
      <c r="AM72" s="61"/>
      <c r="AN72" s="61"/>
      <c r="AO72" s="61"/>
      <c r="AP72" s="61"/>
    </row>
    <row r="73" spans="1:42" ht="34.9">
      <c r="A73" s="60"/>
      <c r="B73" s="64" t="s">
        <v>161</v>
      </c>
      <c r="C73" s="52">
        <v>12</v>
      </c>
      <c r="D73" s="52">
        <v>1</v>
      </c>
      <c r="E73" s="55">
        <f>D97</f>
        <v>4500000</v>
      </c>
      <c r="F73" s="52">
        <v>0.7</v>
      </c>
      <c r="G73" s="65">
        <f t="shared" si="2"/>
        <v>37800000</v>
      </c>
      <c r="H73" s="60"/>
      <c r="I73" s="127"/>
      <c r="J73" s="129"/>
      <c r="K73" s="129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1"/>
      <c r="AI73" s="61"/>
      <c r="AJ73" s="61"/>
      <c r="AK73" s="61"/>
      <c r="AL73" s="61"/>
      <c r="AM73" s="61"/>
      <c r="AN73" s="61"/>
      <c r="AO73" s="61"/>
      <c r="AP73" s="61"/>
    </row>
    <row r="74" spans="1:42" ht="34.9">
      <c r="A74" s="60"/>
      <c r="B74" s="64" t="s">
        <v>162</v>
      </c>
      <c r="C74" s="52">
        <v>12</v>
      </c>
      <c r="D74" s="52">
        <v>1</v>
      </c>
      <c r="E74" s="55">
        <f>C97</f>
        <v>4300000</v>
      </c>
      <c r="F74" s="52">
        <v>0.7</v>
      </c>
      <c r="G74" s="65">
        <f t="shared" si="2"/>
        <v>36120000</v>
      </c>
      <c r="H74" s="60"/>
      <c r="I74" s="127"/>
      <c r="J74" s="129"/>
      <c r="K74" s="129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1"/>
      <c r="AI74" s="61"/>
      <c r="AJ74" s="61"/>
      <c r="AK74" s="61"/>
      <c r="AL74" s="61"/>
      <c r="AM74" s="61"/>
      <c r="AN74" s="61"/>
      <c r="AO74" s="61"/>
      <c r="AP74" s="61"/>
    </row>
    <row r="75" spans="1:42" ht="34.9">
      <c r="A75" s="60"/>
      <c r="B75" s="64" t="s">
        <v>163</v>
      </c>
      <c r="C75" s="52">
        <v>12</v>
      </c>
      <c r="D75" s="52">
        <v>1</v>
      </c>
      <c r="E75" s="55">
        <f>E97</f>
        <v>4700000</v>
      </c>
      <c r="F75" s="52">
        <v>0.8</v>
      </c>
      <c r="G75" s="65">
        <f t="shared" si="2"/>
        <v>45120000</v>
      </c>
      <c r="H75" s="60"/>
      <c r="I75" s="127"/>
      <c r="J75" s="129"/>
      <c r="K75" s="129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1"/>
      <c r="AI75" s="61"/>
      <c r="AJ75" s="61"/>
      <c r="AK75" s="61"/>
      <c r="AL75" s="61"/>
      <c r="AM75" s="61"/>
      <c r="AN75" s="61"/>
      <c r="AO75" s="61"/>
      <c r="AP75" s="61"/>
    </row>
    <row r="76" spans="1:42" ht="34.9">
      <c r="A76" s="60"/>
      <c r="B76" s="64" t="s">
        <v>164</v>
      </c>
      <c r="C76" s="52">
        <v>12</v>
      </c>
      <c r="D76" s="52">
        <v>1</v>
      </c>
      <c r="E76" s="55">
        <f>E97</f>
        <v>4700000</v>
      </c>
      <c r="F76" s="52">
        <v>0.7</v>
      </c>
      <c r="G76" s="65">
        <f t="shared" si="2"/>
        <v>39480000</v>
      </c>
      <c r="H76" s="60"/>
      <c r="I76" s="127"/>
      <c r="J76" s="129"/>
      <c r="K76" s="13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1"/>
      <c r="AI76" s="61"/>
      <c r="AJ76" s="61"/>
      <c r="AK76" s="61"/>
      <c r="AL76" s="61"/>
      <c r="AM76" s="61"/>
      <c r="AN76" s="61"/>
      <c r="AO76" s="61"/>
      <c r="AP76" s="61"/>
    </row>
    <row r="77" spans="1:42" ht="34.9">
      <c r="A77" s="60"/>
      <c r="B77" s="64" t="s">
        <v>165</v>
      </c>
      <c r="C77" s="52">
        <v>12</v>
      </c>
      <c r="D77" s="52">
        <v>1</v>
      </c>
      <c r="E77" s="55">
        <f>D97</f>
        <v>4500000</v>
      </c>
      <c r="F77" s="52">
        <v>0.7</v>
      </c>
      <c r="G77" s="65">
        <f t="shared" si="2"/>
        <v>37800000</v>
      </c>
      <c r="H77" s="60"/>
      <c r="I77" s="127"/>
      <c r="J77" s="129"/>
      <c r="K77" s="13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1"/>
      <c r="AI77" s="61"/>
      <c r="AJ77" s="61"/>
      <c r="AK77" s="61"/>
      <c r="AL77" s="61"/>
      <c r="AM77" s="61"/>
      <c r="AN77" s="61"/>
      <c r="AO77" s="61"/>
      <c r="AP77" s="61"/>
    </row>
    <row r="78" spans="1:42" ht="34.9">
      <c r="A78" s="60"/>
      <c r="B78" s="64" t="s">
        <v>166</v>
      </c>
      <c r="C78" s="52">
        <v>12</v>
      </c>
      <c r="D78" s="52">
        <v>1</v>
      </c>
      <c r="E78" s="55">
        <f>C97</f>
        <v>4300000</v>
      </c>
      <c r="F78" s="52">
        <v>0.7</v>
      </c>
      <c r="G78" s="65">
        <f t="shared" si="2"/>
        <v>36120000</v>
      </c>
      <c r="H78" s="60"/>
      <c r="I78" s="127"/>
      <c r="J78" s="129"/>
      <c r="K78" s="13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1"/>
      <c r="AI78" s="61"/>
      <c r="AJ78" s="61"/>
      <c r="AK78" s="61"/>
      <c r="AL78" s="61"/>
      <c r="AM78" s="61"/>
      <c r="AN78" s="61"/>
      <c r="AO78" s="61"/>
      <c r="AP78" s="61"/>
    </row>
    <row r="79" spans="1:42" ht="34.9">
      <c r="A79" s="60"/>
      <c r="B79" s="64" t="s">
        <v>167</v>
      </c>
      <c r="C79" s="52">
        <v>12</v>
      </c>
      <c r="D79" s="52">
        <v>1</v>
      </c>
      <c r="E79" s="55">
        <f>E97</f>
        <v>4700000</v>
      </c>
      <c r="F79" s="52">
        <v>0.7</v>
      </c>
      <c r="G79" s="65">
        <f t="shared" si="2"/>
        <v>39480000</v>
      </c>
      <c r="H79" s="60"/>
      <c r="I79" s="127"/>
      <c r="J79" s="129"/>
      <c r="K79" s="13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1"/>
      <c r="AI79" s="61"/>
      <c r="AJ79" s="61"/>
      <c r="AK79" s="61"/>
      <c r="AL79" s="61"/>
      <c r="AM79" s="61"/>
      <c r="AN79" s="61"/>
      <c r="AO79" s="61"/>
      <c r="AP79" s="61"/>
    </row>
    <row r="80" spans="1:42" ht="34.9">
      <c r="A80" s="60"/>
      <c r="B80" s="64" t="s">
        <v>168</v>
      </c>
      <c r="C80" s="52">
        <v>12</v>
      </c>
      <c r="D80" s="52">
        <v>1</v>
      </c>
      <c r="E80" s="55">
        <f>D97</f>
        <v>4500000</v>
      </c>
      <c r="F80" s="52">
        <v>0.7</v>
      </c>
      <c r="G80" s="65">
        <f t="shared" si="2"/>
        <v>37800000</v>
      </c>
      <c r="H80" s="60"/>
      <c r="I80" s="127"/>
      <c r="J80" s="129"/>
      <c r="K80" s="13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1"/>
      <c r="AI80" s="61"/>
      <c r="AJ80" s="61"/>
      <c r="AK80" s="61"/>
      <c r="AL80" s="61"/>
      <c r="AM80" s="61"/>
      <c r="AN80" s="61"/>
      <c r="AO80" s="61"/>
      <c r="AP80" s="61"/>
    </row>
    <row r="81" spans="1:42" ht="34.9">
      <c r="A81" s="60"/>
      <c r="B81" s="64" t="s">
        <v>169</v>
      </c>
      <c r="C81" s="52">
        <v>12</v>
      </c>
      <c r="D81" s="52">
        <v>1</v>
      </c>
      <c r="E81" s="55">
        <f>C97</f>
        <v>4300000</v>
      </c>
      <c r="F81" s="52">
        <v>0.7</v>
      </c>
      <c r="G81" s="65">
        <f t="shared" si="2"/>
        <v>36120000</v>
      </c>
      <c r="H81" s="60"/>
      <c r="I81" s="127"/>
      <c r="J81" s="129"/>
      <c r="K81" s="13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1"/>
      <c r="AI81" s="61"/>
      <c r="AJ81" s="61"/>
      <c r="AK81" s="61"/>
      <c r="AL81" s="61"/>
      <c r="AM81" s="61"/>
      <c r="AN81" s="61"/>
      <c r="AO81" s="61"/>
      <c r="AP81" s="61"/>
    </row>
    <row r="82" spans="1:42" ht="34.9">
      <c r="A82" s="60"/>
      <c r="B82" s="64" t="s">
        <v>170</v>
      </c>
      <c r="C82" s="52">
        <v>12</v>
      </c>
      <c r="D82" s="52">
        <v>1</v>
      </c>
      <c r="E82" s="55">
        <f>C97</f>
        <v>4300000</v>
      </c>
      <c r="F82" s="52">
        <v>0.75</v>
      </c>
      <c r="G82" s="65">
        <f t="shared" si="2"/>
        <v>38700000</v>
      </c>
      <c r="H82" s="60"/>
      <c r="I82" s="127"/>
      <c r="J82" s="129"/>
      <c r="K82" s="13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1"/>
      <c r="AI82" s="61"/>
      <c r="AJ82" s="61"/>
      <c r="AK82" s="61"/>
      <c r="AL82" s="61"/>
      <c r="AM82" s="61"/>
      <c r="AN82" s="61"/>
      <c r="AO82" s="61"/>
      <c r="AP82" s="61"/>
    </row>
    <row r="83" spans="1:42" ht="34.9">
      <c r="A83" s="60"/>
      <c r="B83" s="64" t="s">
        <v>171</v>
      </c>
      <c r="C83" s="52">
        <v>12</v>
      </c>
      <c r="D83" s="52">
        <v>1</v>
      </c>
      <c r="E83" s="55">
        <f>C97</f>
        <v>4300000</v>
      </c>
      <c r="F83" s="52">
        <v>0.75</v>
      </c>
      <c r="G83" s="65">
        <f t="shared" si="2"/>
        <v>38700000</v>
      </c>
      <c r="H83" s="60"/>
      <c r="I83" s="127"/>
      <c r="J83" s="129"/>
      <c r="K83" s="13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1"/>
      <c r="AI83" s="61"/>
      <c r="AJ83" s="61"/>
      <c r="AK83" s="61"/>
      <c r="AL83" s="61"/>
      <c r="AM83" s="61"/>
      <c r="AN83" s="61"/>
      <c r="AO83" s="61"/>
      <c r="AP83" s="61"/>
    </row>
    <row r="84" spans="1:42" ht="34.9">
      <c r="A84" s="60"/>
      <c r="B84" s="64" t="s">
        <v>172</v>
      </c>
      <c r="C84" s="52">
        <v>12</v>
      </c>
      <c r="D84" s="52">
        <v>1</v>
      </c>
      <c r="E84" s="55">
        <f>C97</f>
        <v>4300000</v>
      </c>
      <c r="F84" s="52">
        <v>0.75</v>
      </c>
      <c r="G84" s="65">
        <f t="shared" si="2"/>
        <v>38700000</v>
      </c>
      <c r="H84" s="60"/>
      <c r="I84" s="127"/>
      <c r="J84" s="129"/>
      <c r="K84" s="13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1"/>
      <c r="AI84" s="61"/>
      <c r="AJ84" s="61"/>
      <c r="AK84" s="61"/>
      <c r="AL84" s="61"/>
      <c r="AM84" s="61"/>
      <c r="AN84" s="61"/>
      <c r="AO84" s="61"/>
      <c r="AP84" s="61"/>
    </row>
    <row r="85" spans="1:42" ht="34.9">
      <c r="A85" s="60"/>
      <c r="B85" s="64" t="s">
        <v>173</v>
      </c>
      <c r="C85" s="52">
        <v>12</v>
      </c>
      <c r="D85" s="52">
        <v>1</v>
      </c>
      <c r="E85" s="55">
        <f>C97</f>
        <v>4300000</v>
      </c>
      <c r="F85" s="52">
        <v>0.75</v>
      </c>
      <c r="G85" s="65">
        <f t="shared" si="2"/>
        <v>38700000</v>
      </c>
      <c r="H85" s="60"/>
      <c r="I85" s="127"/>
      <c r="J85" s="129"/>
      <c r="K85" s="13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1"/>
      <c r="AI85" s="61"/>
      <c r="AJ85" s="61"/>
      <c r="AK85" s="61"/>
      <c r="AL85" s="61"/>
      <c r="AM85" s="61"/>
      <c r="AN85" s="61"/>
      <c r="AO85" s="61"/>
      <c r="AP85" s="61"/>
    </row>
    <row r="86" spans="1:42" ht="34.9">
      <c r="A86" s="60"/>
      <c r="B86" s="64" t="s">
        <v>174</v>
      </c>
      <c r="C86" s="52">
        <v>12</v>
      </c>
      <c r="D86" s="52">
        <v>1</v>
      </c>
      <c r="E86" s="55">
        <f>D97</f>
        <v>4500000</v>
      </c>
      <c r="F86" s="52">
        <v>0.7</v>
      </c>
      <c r="G86" s="65">
        <f t="shared" si="2"/>
        <v>37800000</v>
      </c>
      <c r="H86" s="60"/>
      <c r="I86" s="127"/>
      <c r="J86" s="129"/>
      <c r="K86" s="13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1"/>
      <c r="AI86" s="61"/>
      <c r="AJ86" s="61"/>
      <c r="AK86" s="61"/>
      <c r="AL86" s="61"/>
      <c r="AM86" s="61"/>
      <c r="AN86" s="61"/>
      <c r="AO86" s="61"/>
      <c r="AP86" s="61"/>
    </row>
    <row r="87" spans="1:42" ht="34.9">
      <c r="A87" s="60"/>
      <c r="B87" s="64" t="s">
        <v>175</v>
      </c>
      <c r="C87" s="52">
        <v>12</v>
      </c>
      <c r="D87" s="52">
        <v>1</v>
      </c>
      <c r="E87" s="55">
        <f>C97</f>
        <v>4300000</v>
      </c>
      <c r="F87" s="52">
        <v>0.7</v>
      </c>
      <c r="G87" s="65">
        <f t="shared" si="2"/>
        <v>36120000</v>
      </c>
      <c r="H87" s="60"/>
      <c r="I87" s="127"/>
      <c r="J87" s="129"/>
      <c r="K87" s="13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1"/>
      <c r="AI87" s="61"/>
      <c r="AJ87" s="61"/>
      <c r="AK87" s="61"/>
      <c r="AL87" s="61"/>
      <c r="AM87" s="61"/>
      <c r="AN87" s="61"/>
      <c r="AO87" s="61"/>
      <c r="AP87" s="61"/>
    </row>
    <row r="88" spans="1:42" ht="52.15">
      <c r="A88" s="60"/>
      <c r="B88" s="64" t="s">
        <v>176</v>
      </c>
      <c r="C88" s="52">
        <v>12</v>
      </c>
      <c r="D88" s="52">
        <v>1</v>
      </c>
      <c r="E88" s="55">
        <f>E97</f>
        <v>4700000</v>
      </c>
      <c r="F88" s="52">
        <v>0.8</v>
      </c>
      <c r="G88" s="65">
        <f t="shared" si="2"/>
        <v>45120000</v>
      </c>
      <c r="H88" s="60"/>
      <c r="I88" s="127"/>
      <c r="J88" s="129"/>
      <c r="K88" s="13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1"/>
      <c r="AI88" s="61"/>
      <c r="AJ88" s="61"/>
      <c r="AK88" s="61"/>
      <c r="AL88" s="61"/>
      <c r="AM88" s="61"/>
      <c r="AN88" s="61"/>
      <c r="AO88" s="61"/>
      <c r="AP88" s="61"/>
    </row>
    <row r="89" spans="1:42" ht="34.9">
      <c r="A89" s="60"/>
      <c r="B89" s="64" t="s">
        <v>177</v>
      </c>
      <c r="C89" s="52">
        <v>12</v>
      </c>
      <c r="D89" s="52">
        <v>1</v>
      </c>
      <c r="E89" s="55">
        <f>C97</f>
        <v>4300000</v>
      </c>
      <c r="F89" s="52">
        <v>0.7</v>
      </c>
      <c r="G89" s="65">
        <f t="shared" si="2"/>
        <v>36120000</v>
      </c>
      <c r="H89" s="60"/>
      <c r="I89" s="127"/>
      <c r="J89" s="129"/>
      <c r="K89" s="13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1"/>
      <c r="AI89" s="61"/>
      <c r="AJ89" s="61"/>
      <c r="AK89" s="61"/>
      <c r="AL89" s="61"/>
      <c r="AM89" s="61"/>
      <c r="AN89" s="61"/>
      <c r="AO89" s="61"/>
      <c r="AP89" s="61"/>
    </row>
    <row r="90" spans="1:42" ht="52.15">
      <c r="A90" s="60"/>
      <c r="B90" s="64" t="s">
        <v>178</v>
      </c>
      <c r="C90" s="52">
        <v>12</v>
      </c>
      <c r="D90" s="52">
        <v>1</v>
      </c>
      <c r="E90" s="55">
        <f>E97</f>
        <v>4700000</v>
      </c>
      <c r="F90" s="52">
        <v>0.8</v>
      </c>
      <c r="G90" s="65">
        <f t="shared" si="2"/>
        <v>45120000</v>
      </c>
      <c r="H90" s="60"/>
      <c r="I90" s="127"/>
      <c r="J90" s="129"/>
      <c r="K90" s="13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1"/>
      <c r="AI90" s="61"/>
      <c r="AJ90" s="61"/>
      <c r="AK90" s="61"/>
      <c r="AL90" s="61"/>
      <c r="AM90" s="61"/>
      <c r="AN90" s="61"/>
      <c r="AO90" s="61"/>
      <c r="AP90" s="61"/>
    </row>
    <row r="91" spans="1:42" ht="34.9">
      <c r="A91" s="60"/>
      <c r="B91" s="64" t="s">
        <v>179</v>
      </c>
      <c r="C91" s="52">
        <v>12</v>
      </c>
      <c r="D91" s="52">
        <v>1</v>
      </c>
      <c r="E91" s="55">
        <f>D97</f>
        <v>4500000</v>
      </c>
      <c r="F91" s="52">
        <v>0.7</v>
      </c>
      <c r="G91" s="65">
        <f t="shared" si="2"/>
        <v>37800000</v>
      </c>
      <c r="H91" s="60"/>
      <c r="I91" s="131"/>
      <c r="J91" s="129"/>
      <c r="K91" s="13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1"/>
      <c r="AI91" s="61"/>
      <c r="AJ91" s="61"/>
      <c r="AK91" s="61"/>
      <c r="AL91" s="61"/>
      <c r="AM91" s="61"/>
      <c r="AN91" s="61"/>
      <c r="AO91" s="61"/>
      <c r="AP91" s="61"/>
    </row>
    <row r="92" spans="1:42" ht="52.15">
      <c r="A92" s="60"/>
      <c r="B92" s="64" t="s">
        <v>180</v>
      </c>
      <c r="C92" s="52">
        <v>12</v>
      </c>
      <c r="D92" s="52">
        <v>1</v>
      </c>
      <c r="E92" s="55">
        <f>E97</f>
        <v>4700000</v>
      </c>
      <c r="F92" s="52">
        <v>0.8</v>
      </c>
      <c r="G92" s="65">
        <f t="shared" si="2"/>
        <v>45120000</v>
      </c>
      <c r="H92" s="60"/>
      <c r="I92" s="131"/>
      <c r="J92" s="129"/>
      <c r="K92" s="13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1"/>
      <c r="AI92" s="61"/>
      <c r="AJ92" s="61"/>
      <c r="AK92" s="61"/>
      <c r="AL92" s="61"/>
      <c r="AM92" s="61"/>
      <c r="AN92" s="61"/>
      <c r="AO92" s="61"/>
      <c r="AP92" s="61"/>
    </row>
    <row r="93" spans="1:42" ht="52.15">
      <c r="A93" s="60"/>
      <c r="B93" s="64" t="s">
        <v>181</v>
      </c>
      <c r="C93" s="52">
        <v>12</v>
      </c>
      <c r="D93" s="52">
        <v>1</v>
      </c>
      <c r="E93" s="55">
        <f>E97</f>
        <v>4700000</v>
      </c>
      <c r="F93" s="52">
        <v>0.9</v>
      </c>
      <c r="G93" s="65">
        <f t="shared" si="2"/>
        <v>50760000</v>
      </c>
      <c r="H93" s="60"/>
      <c r="I93" s="129"/>
      <c r="J93" s="129"/>
      <c r="K93" s="13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1"/>
      <c r="AI93" s="61"/>
      <c r="AJ93" s="61"/>
      <c r="AK93" s="61"/>
      <c r="AL93" s="61"/>
      <c r="AM93" s="61"/>
      <c r="AN93" s="61"/>
      <c r="AO93" s="61"/>
      <c r="AP93" s="61"/>
    </row>
    <row r="94" spans="1:42" ht="26.25" customHeight="1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1"/>
      <c r="AI94" s="61"/>
      <c r="AJ94" s="61"/>
      <c r="AK94" s="61"/>
      <c r="AL94" s="61"/>
      <c r="AM94" s="61"/>
      <c r="AN94" s="61"/>
      <c r="AO94" s="61"/>
      <c r="AP94" s="61"/>
    </row>
    <row r="95" spans="1:42" ht="26.25" customHeight="1">
      <c r="A95" s="60"/>
      <c r="B95" s="177" t="s">
        <v>182</v>
      </c>
      <c r="C95" s="178" t="s">
        <v>192</v>
      </c>
      <c r="D95" s="151"/>
      <c r="E95" s="152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1"/>
      <c r="AI95" s="61"/>
      <c r="AJ95" s="61"/>
      <c r="AK95" s="61"/>
      <c r="AL95" s="61"/>
      <c r="AM95" s="61"/>
      <c r="AN95" s="61"/>
      <c r="AO95" s="61"/>
      <c r="AP95" s="61"/>
    </row>
    <row r="96" spans="1:42" ht="26.25" customHeight="1">
      <c r="A96" s="60"/>
      <c r="B96" s="163"/>
      <c r="C96" s="69" t="s">
        <v>184</v>
      </c>
      <c r="D96" s="70" t="s">
        <v>185</v>
      </c>
      <c r="E96" s="69" t="s">
        <v>186</v>
      </c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1"/>
      <c r="AI96" s="61"/>
      <c r="AJ96" s="61"/>
      <c r="AK96" s="61"/>
      <c r="AL96" s="61"/>
      <c r="AM96" s="61"/>
      <c r="AN96" s="61"/>
      <c r="AO96" s="61"/>
      <c r="AP96" s="61"/>
    </row>
    <row r="97" spans="1:42" ht="53.45" customHeight="1">
      <c r="A97" s="60"/>
      <c r="B97" s="71" t="s">
        <v>187</v>
      </c>
      <c r="C97" s="71">
        <v>4300000</v>
      </c>
      <c r="D97" s="71">
        <v>4500000</v>
      </c>
      <c r="E97" s="71">
        <v>4700000</v>
      </c>
      <c r="F97" s="135" t="s">
        <v>190</v>
      </c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1"/>
      <c r="AI97" s="61"/>
      <c r="AJ97" s="61"/>
      <c r="AK97" s="61"/>
      <c r="AL97" s="61"/>
      <c r="AM97" s="61"/>
      <c r="AN97" s="61"/>
      <c r="AO97" s="61"/>
      <c r="AP97" s="61"/>
    </row>
    <row r="98" spans="1:42" ht="26.25" customHeight="1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1"/>
      <c r="AI98" s="61"/>
      <c r="AJ98" s="61"/>
      <c r="AK98" s="61"/>
      <c r="AL98" s="61"/>
      <c r="AM98" s="61"/>
      <c r="AN98" s="61"/>
      <c r="AO98" s="61"/>
      <c r="AP98" s="61"/>
    </row>
    <row r="99" spans="1:42" ht="26.25" customHeight="1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1"/>
      <c r="AI99" s="61"/>
      <c r="AJ99" s="61"/>
      <c r="AK99" s="61"/>
      <c r="AL99" s="61"/>
      <c r="AM99" s="61"/>
      <c r="AN99" s="61"/>
      <c r="AO99" s="61"/>
      <c r="AP99" s="61"/>
    </row>
    <row r="100" spans="1:42" ht="26.25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1"/>
      <c r="AI100" s="61"/>
      <c r="AJ100" s="61"/>
      <c r="AK100" s="61"/>
      <c r="AL100" s="61"/>
      <c r="AM100" s="61"/>
      <c r="AN100" s="61"/>
      <c r="AO100" s="61"/>
      <c r="AP100" s="61"/>
    </row>
    <row r="101" spans="1:42" ht="26.25" customHeight="1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1"/>
      <c r="AI101" s="61"/>
      <c r="AJ101" s="61"/>
      <c r="AK101" s="61"/>
      <c r="AL101" s="61"/>
      <c r="AM101" s="61"/>
      <c r="AN101" s="61"/>
      <c r="AO101" s="61"/>
      <c r="AP101" s="61"/>
    </row>
    <row r="102" spans="1:42" ht="26.25" customHeight="1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1"/>
      <c r="AI102" s="61"/>
      <c r="AJ102" s="61"/>
      <c r="AK102" s="61"/>
      <c r="AL102" s="61"/>
      <c r="AM102" s="61"/>
      <c r="AN102" s="61"/>
      <c r="AO102" s="61"/>
      <c r="AP102" s="61"/>
    </row>
    <row r="103" spans="1:42" ht="26.25" customHeight="1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1"/>
      <c r="AI103" s="61"/>
      <c r="AJ103" s="61"/>
      <c r="AK103" s="61"/>
      <c r="AL103" s="61"/>
      <c r="AM103" s="61"/>
      <c r="AN103" s="61"/>
      <c r="AO103" s="61"/>
      <c r="AP103" s="61"/>
    </row>
    <row r="104" spans="1:42" ht="26.25" customHeight="1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1"/>
      <c r="AI104" s="61"/>
      <c r="AJ104" s="61"/>
      <c r="AK104" s="61"/>
      <c r="AL104" s="61"/>
      <c r="AM104" s="61"/>
      <c r="AN104" s="61"/>
      <c r="AO104" s="61"/>
      <c r="AP104" s="61"/>
    </row>
    <row r="105" spans="1:42" ht="26.25" customHeight="1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1"/>
      <c r="AI105" s="61"/>
      <c r="AJ105" s="61"/>
      <c r="AK105" s="61"/>
      <c r="AL105" s="61"/>
      <c r="AM105" s="61"/>
      <c r="AN105" s="61"/>
      <c r="AO105" s="61"/>
      <c r="AP105" s="61"/>
    </row>
    <row r="106" spans="1:42" ht="26.25" customHeight="1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1"/>
      <c r="AI106" s="61"/>
      <c r="AJ106" s="61"/>
      <c r="AK106" s="61"/>
      <c r="AL106" s="61"/>
      <c r="AM106" s="61"/>
      <c r="AN106" s="61"/>
      <c r="AO106" s="61"/>
      <c r="AP106" s="61"/>
    </row>
    <row r="107" spans="1:42" ht="26.25" customHeight="1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1"/>
      <c r="AI107" s="61"/>
      <c r="AJ107" s="61"/>
      <c r="AK107" s="61"/>
      <c r="AL107" s="61"/>
      <c r="AM107" s="61"/>
      <c r="AN107" s="61"/>
      <c r="AO107" s="61"/>
      <c r="AP107" s="61"/>
    </row>
    <row r="108" spans="1:42" ht="26.25" customHeight="1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1"/>
      <c r="AI108" s="61"/>
      <c r="AJ108" s="61"/>
      <c r="AK108" s="61"/>
      <c r="AL108" s="61"/>
      <c r="AM108" s="61"/>
      <c r="AN108" s="61"/>
      <c r="AO108" s="61"/>
      <c r="AP108" s="61"/>
    </row>
    <row r="109" spans="1:42" ht="26.25" customHeight="1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1"/>
      <c r="AI109" s="61"/>
      <c r="AJ109" s="61"/>
      <c r="AK109" s="61"/>
      <c r="AL109" s="61"/>
      <c r="AM109" s="61"/>
      <c r="AN109" s="61"/>
      <c r="AO109" s="61"/>
      <c r="AP109" s="61"/>
    </row>
    <row r="110" spans="1:42" ht="26.25" customHeight="1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1"/>
      <c r="AI110" s="61"/>
      <c r="AJ110" s="61"/>
      <c r="AK110" s="61"/>
      <c r="AL110" s="61"/>
      <c r="AM110" s="61"/>
      <c r="AN110" s="61"/>
      <c r="AO110" s="61"/>
      <c r="AP110" s="61"/>
    </row>
    <row r="111" spans="1:42" ht="26.25" customHeight="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1"/>
      <c r="AI111" s="61"/>
      <c r="AJ111" s="61"/>
      <c r="AK111" s="61"/>
      <c r="AL111" s="61"/>
      <c r="AM111" s="61"/>
      <c r="AN111" s="61"/>
      <c r="AO111" s="61"/>
      <c r="AP111" s="61"/>
    </row>
    <row r="112" spans="1:42" ht="26.25" customHeigh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1"/>
      <c r="AI112" s="61"/>
      <c r="AJ112" s="61"/>
      <c r="AK112" s="61"/>
      <c r="AL112" s="61"/>
      <c r="AM112" s="61"/>
      <c r="AN112" s="61"/>
      <c r="AO112" s="61"/>
      <c r="AP112" s="61"/>
    </row>
    <row r="113" spans="1:42" ht="26.25" customHeigh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1"/>
      <c r="AI113" s="61"/>
      <c r="AJ113" s="61"/>
      <c r="AK113" s="61"/>
      <c r="AL113" s="61"/>
      <c r="AM113" s="61"/>
      <c r="AN113" s="61"/>
      <c r="AO113" s="61"/>
      <c r="AP113" s="61"/>
    </row>
    <row r="114" spans="1:42" ht="26.25" customHeigh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1"/>
      <c r="AI114" s="61"/>
      <c r="AJ114" s="61"/>
      <c r="AK114" s="61"/>
      <c r="AL114" s="61"/>
      <c r="AM114" s="61"/>
      <c r="AN114" s="61"/>
      <c r="AO114" s="61"/>
      <c r="AP114" s="61"/>
    </row>
    <row r="115" spans="1:42" ht="26.25" customHeight="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1"/>
      <c r="AI115" s="61"/>
      <c r="AJ115" s="61"/>
      <c r="AK115" s="61"/>
      <c r="AL115" s="61"/>
      <c r="AM115" s="61"/>
      <c r="AN115" s="61"/>
      <c r="AO115" s="61"/>
      <c r="AP115" s="61"/>
    </row>
    <row r="116" spans="1:42" ht="26.25" customHeight="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1"/>
      <c r="AI116" s="61"/>
      <c r="AJ116" s="61"/>
      <c r="AK116" s="61"/>
      <c r="AL116" s="61"/>
      <c r="AM116" s="61"/>
      <c r="AN116" s="61"/>
      <c r="AO116" s="61"/>
      <c r="AP116" s="61"/>
    </row>
    <row r="117" spans="1:42" ht="26.25" customHeight="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1"/>
      <c r="AI117" s="61"/>
      <c r="AJ117" s="61"/>
      <c r="AK117" s="61"/>
      <c r="AL117" s="61"/>
      <c r="AM117" s="61"/>
      <c r="AN117" s="61"/>
      <c r="AO117" s="61"/>
      <c r="AP117" s="61"/>
    </row>
    <row r="118" spans="1:42" ht="26.25" customHeight="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1"/>
      <c r="AI118" s="61"/>
      <c r="AJ118" s="61"/>
      <c r="AK118" s="61"/>
      <c r="AL118" s="61"/>
      <c r="AM118" s="61"/>
      <c r="AN118" s="61"/>
      <c r="AO118" s="61"/>
      <c r="AP118" s="61"/>
    </row>
    <row r="119" spans="1:42" ht="26.25" customHeight="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1"/>
      <c r="AI119" s="61"/>
      <c r="AJ119" s="61"/>
      <c r="AK119" s="61"/>
      <c r="AL119" s="61"/>
      <c r="AM119" s="61"/>
      <c r="AN119" s="61"/>
      <c r="AO119" s="61"/>
      <c r="AP119" s="61"/>
    </row>
    <row r="120" spans="1:42" ht="26.25" customHeight="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1"/>
      <c r="AI120" s="61"/>
      <c r="AJ120" s="61"/>
      <c r="AK120" s="61"/>
      <c r="AL120" s="61"/>
      <c r="AM120" s="61"/>
      <c r="AN120" s="61"/>
      <c r="AO120" s="61"/>
      <c r="AP120" s="61"/>
    </row>
    <row r="121" spans="1:42" ht="26.25" customHeight="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1"/>
      <c r="AI121" s="61"/>
      <c r="AJ121" s="61"/>
      <c r="AK121" s="61"/>
      <c r="AL121" s="61"/>
      <c r="AM121" s="61"/>
      <c r="AN121" s="61"/>
      <c r="AO121" s="61"/>
      <c r="AP121" s="61"/>
    </row>
    <row r="122" spans="1:42" ht="26.25" customHeight="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1"/>
      <c r="AI122" s="61"/>
      <c r="AJ122" s="61"/>
      <c r="AK122" s="61"/>
      <c r="AL122" s="61"/>
      <c r="AM122" s="61"/>
      <c r="AN122" s="61"/>
      <c r="AO122" s="61"/>
      <c r="AP122" s="61"/>
    </row>
    <row r="123" spans="1:42" ht="26.25" customHeight="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1"/>
      <c r="AI123" s="61"/>
      <c r="AJ123" s="61"/>
      <c r="AK123" s="61"/>
      <c r="AL123" s="61"/>
      <c r="AM123" s="61"/>
      <c r="AN123" s="61"/>
      <c r="AO123" s="61"/>
      <c r="AP123" s="61"/>
    </row>
    <row r="124" spans="1:42" ht="26.25" customHeight="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1"/>
      <c r="AI124" s="61"/>
      <c r="AJ124" s="61"/>
      <c r="AK124" s="61"/>
      <c r="AL124" s="61"/>
      <c r="AM124" s="61"/>
      <c r="AN124" s="61"/>
      <c r="AO124" s="61"/>
      <c r="AP124" s="61"/>
    </row>
    <row r="125" spans="1:42" ht="26.25" customHeight="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1"/>
      <c r="AI125" s="61"/>
      <c r="AJ125" s="61"/>
      <c r="AK125" s="61"/>
      <c r="AL125" s="61"/>
      <c r="AM125" s="61"/>
      <c r="AN125" s="61"/>
      <c r="AO125" s="61"/>
      <c r="AP125" s="61"/>
    </row>
    <row r="126" spans="1:42" ht="26.25" customHeight="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1"/>
      <c r="AI126" s="61"/>
      <c r="AJ126" s="61"/>
      <c r="AK126" s="61"/>
      <c r="AL126" s="61"/>
      <c r="AM126" s="61"/>
      <c r="AN126" s="61"/>
      <c r="AO126" s="61"/>
      <c r="AP126" s="61"/>
    </row>
    <row r="127" spans="1:42" ht="26.25" customHeight="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1"/>
      <c r="AI127" s="61"/>
      <c r="AJ127" s="61"/>
      <c r="AK127" s="61"/>
      <c r="AL127" s="61"/>
      <c r="AM127" s="61"/>
      <c r="AN127" s="61"/>
      <c r="AO127" s="61"/>
      <c r="AP127" s="61"/>
    </row>
    <row r="128" spans="1:42" ht="26.25" customHeight="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1"/>
      <c r="AI128" s="61"/>
      <c r="AJ128" s="61"/>
      <c r="AK128" s="61"/>
      <c r="AL128" s="61"/>
      <c r="AM128" s="61"/>
      <c r="AN128" s="61"/>
      <c r="AO128" s="61"/>
      <c r="AP128" s="61"/>
    </row>
    <row r="129" spans="1:42" ht="26.25" customHeight="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1"/>
      <c r="AI129" s="61"/>
      <c r="AJ129" s="61"/>
      <c r="AK129" s="61"/>
      <c r="AL129" s="61"/>
      <c r="AM129" s="61"/>
      <c r="AN129" s="61"/>
      <c r="AO129" s="61"/>
      <c r="AP129" s="61"/>
    </row>
    <row r="130" spans="1:42" ht="26.25" customHeight="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1"/>
      <c r="AI130" s="61"/>
      <c r="AJ130" s="61"/>
      <c r="AK130" s="61"/>
      <c r="AL130" s="61"/>
      <c r="AM130" s="61"/>
      <c r="AN130" s="61"/>
      <c r="AO130" s="61"/>
      <c r="AP130" s="61"/>
    </row>
    <row r="131" spans="1:42" ht="26.25" customHeigh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1"/>
      <c r="AI131" s="61"/>
      <c r="AJ131" s="61"/>
      <c r="AK131" s="61"/>
      <c r="AL131" s="61"/>
      <c r="AM131" s="61"/>
      <c r="AN131" s="61"/>
      <c r="AO131" s="61"/>
      <c r="AP131" s="61"/>
    </row>
    <row r="132" spans="1:42" ht="26.25" customHeigh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1"/>
      <c r="AI132" s="61"/>
      <c r="AJ132" s="61"/>
      <c r="AK132" s="61"/>
      <c r="AL132" s="61"/>
      <c r="AM132" s="61"/>
      <c r="AN132" s="61"/>
      <c r="AO132" s="61"/>
      <c r="AP132" s="61"/>
    </row>
    <row r="133" spans="1:42" ht="26.25" customHeigh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1"/>
      <c r="AI133" s="61"/>
      <c r="AJ133" s="61"/>
      <c r="AK133" s="61"/>
      <c r="AL133" s="61"/>
      <c r="AM133" s="61"/>
      <c r="AN133" s="61"/>
      <c r="AO133" s="61"/>
      <c r="AP133" s="61"/>
    </row>
    <row r="134" spans="1:42" ht="26.25" customHeigh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1"/>
      <c r="AI134" s="61"/>
      <c r="AJ134" s="61"/>
      <c r="AK134" s="61"/>
      <c r="AL134" s="61"/>
      <c r="AM134" s="61"/>
      <c r="AN134" s="61"/>
      <c r="AO134" s="61"/>
      <c r="AP134" s="61"/>
    </row>
    <row r="135" spans="1:42" ht="26.25" customHeigh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1"/>
      <c r="AI135" s="61"/>
      <c r="AJ135" s="61"/>
      <c r="AK135" s="61"/>
      <c r="AL135" s="61"/>
      <c r="AM135" s="61"/>
      <c r="AN135" s="61"/>
      <c r="AO135" s="61"/>
      <c r="AP135" s="61"/>
    </row>
    <row r="136" spans="1:42" ht="26.25" customHeigh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1"/>
      <c r="AI136" s="61"/>
      <c r="AJ136" s="61"/>
      <c r="AK136" s="61"/>
      <c r="AL136" s="61"/>
      <c r="AM136" s="61"/>
      <c r="AN136" s="61"/>
      <c r="AO136" s="61"/>
      <c r="AP136" s="61"/>
    </row>
    <row r="137" spans="1:42" ht="26.25" customHeigh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1"/>
      <c r="AI137" s="61"/>
      <c r="AJ137" s="61"/>
      <c r="AK137" s="61"/>
      <c r="AL137" s="61"/>
      <c r="AM137" s="61"/>
      <c r="AN137" s="61"/>
      <c r="AO137" s="61"/>
      <c r="AP137" s="61"/>
    </row>
    <row r="138" spans="1:42" ht="26.25" customHeigh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1"/>
      <c r="AI138" s="61"/>
      <c r="AJ138" s="61"/>
      <c r="AK138" s="61"/>
      <c r="AL138" s="61"/>
      <c r="AM138" s="61"/>
      <c r="AN138" s="61"/>
      <c r="AO138" s="61"/>
      <c r="AP138" s="61"/>
    </row>
    <row r="139" spans="1:42" ht="26.25" customHeigh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1"/>
      <c r="AI139" s="61"/>
      <c r="AJ139" s="61"/>
      <c r="AK139" s="61"/>
      <c r="AL139" s="61"/>
      <c r="AM139" s="61"/>
      <c r="AN139" s="61"/>
      <c r="AO139" s="61"/>
      <c r="AP139" s="61"/>
    </row>
    <row r="140" spans="1:42" ht="26.25" customHeigh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1"/>
      <c r="AI140" s="61"/>
      <c r="AJ140" s="61"/>
      <c r="AK140" s="61"/>
      <c r="AL140" s="61"/>
      <c r="AM140" s="61"/>
      <c r="AN140" s="61"/>
      <c r="AO140" s="61"/>
      <c r="AP140" s="61"/>
    </row>
    <row r="141" spans="1:42" ht="26.25" customHeigh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1"/>
      <c r="AI141" s="61"/>
      <c r="AJ141" s="61"/>
      <c r="AK141" s="61"/>
      <c r="AL141" s="61"/>
      <c r="AM141" s="61"/>
      <c r="AN141" s="61"/>
      <c r="AO141" s="61"/>
      <c r="AP141" s="61"/>
    </row>
    <row r="142" spans="1:42" ht="26.25" customHeigh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1"/>
      <c r="AI142" s="61"/>
      <c r="AJ142" s="61"/>
      <c r="AK142" s="61"/>
      <c r="AL142" s="61"/>
      <c r="AM142" s="61"/>
      <c r="AN142" s="61"/>
      <c r="AO142" s="61"/>
      <c r="AP142" s="61"/>
    </row>
    <row r="143" spans="1:42" ht="26.25" customHeigh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1"/>
      <c r="AI143" s="61"/>
      <c r="AJ143" s="61"/>
      <c r="AK143" s="61"/>
      <c r="AL143" s="61"/>
      <c r="AM143" s="61"/>
      <c r="AN143" s="61"/>
      <c r="AO143" s="61"/>
      <c r="AP143" s="61"/>
    </row>
    <row r="144" spans="1:42" ht="26.25" customHeigh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1"/>
      <c r="AI144" s="61"/>
      <c r="AJ144" s="61"/>
      <c r="AK144" s="61"/>
      <c r="AL144" s="61"/>
      <c r="AM144" s="61"/>
      <c r="AN144" s="61"/>
      <c r="AO144" s="61"/>
      <c r="AP144" s="61"/>
    </row>
    <row r="145" spans="1:42" ht="26.25" customHeigh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1"/>
      <c r="AI145" s="61"/>
      <c r="AJ145" s="61"/>
      <c r="AK145" s="61"/>
      <c r="AL145" s="61"/>
      <c r="AM145" s="61"/>
      <c r="AN145" s="61"/>
      <c r="AO145" s="61"/>
      <c r="AP145" s="61"/>
    </row>
    <row r="146" spans="1:42" ht="26.25" customHeigh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1"/>
      <c r="AI146" s="61"/>
      <c r="AJ146" s="61"/>
      <c r="AK146" s="61"/>
      <c r="AL146" s="61"/>
      <c r="AM146" s="61"/>
      <c r="AN146" s="61"/>
      <c r="AO146" s="61"/>
      <c r="AP146" s="61"/>
    </row>
    <row r="147" spans="1:42" ht="26.25" customHeigh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1"/>
      <c r="AI147" s="61"/>
      <c r="AJ147" s="61"/>
      <c r="AK147" s="61"/>
      <c r="AL147" s="61"/>
      <c r="AM147" s="61"/>
      <c r="AN147" s="61"/>
      <c r="AO147" s="61"/>
      <c r="AP147" s="61"/>
    </row>
    <row r="148" spans="1:42" ht="26.25" customHeigh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1"/>
      <c r="AI148" s="61"/>
      <c r="AJ148" s="61"/>
      <c r="AK148" s="61"/>
      <c r="AL148" s="61"/>
      <c r="AM148" s="61"/>
      <c r="AN148" s="61"/>
      <c r="AO148" s="61"/>
      <c r="AP148" s="61"/>
    </row>
    <row r="149" spans="1:42" ht="26.25" customHeigh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1"/>
      <c r="AI149" s="61"/>
      <c r="AJ149" s="61"/>
      <c r="AK149" s="61"/>
      <c r="AL149" s="61"/>
      <c r="AM149" s="61"/>
      <c r="AN149" s="61"/>
      <c r="AO149" s="61"/>
      <c r="AP149" s="61"/>
    </row>
    <row r="150" spans="1:42" ht="26.25" customHeigh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1"/>
      <c r="AI150" s="61"/>
      <c r="AJ150" s="61"/>
      <c r="AK150" s="61"/>
      <c r="AL150" s="61"/>
      <c r="AM150" s="61"/>
      <c r="AN150" s="61"/>
      <c r="AO150" s="61"/>
      <c r="AP150" s="61"/>
    </row>
    <row r="151" spans="1:42" ht="26.25" customHeigh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1"/>
      <c r="AI151" s="61"/>
      <c r="AJ151" s="61"/>
      <c r="AK151" s="61"/>
      <c r="AL151" s="61"/>
      <c r="AM151" s="61"/>
      <c r="AN151" s="61"/>
      <c r="AO151" s="61"/>
      <c r="AP151" s="61"/>
    </row>
    <row r="152" spans="1:42" ht="26.25" customHeigh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1"/>
      <c r="AI152" s="61"/>
      <c r="AJ152" s="61"/>
      <c r="AK152" s="61"/>
      <c r="AL152" s="61"/>
      <c r="AM152" s="61"/>
      <c r="AN152" s="61"/>
      <c r="AO152" s="61"/>
      <c r="AP152" s="61"/>
    </row>
    <row r="153" spans="1:42" ht="26.25" customHeigh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1"/>
      <c r="AI153" s="61"/>
      <c r="AJ153" s="61"/>
      <c r="AK153" s="61"/>
      <c r="AL153" s="61"/>
      <c r="AM153" s="61"/>
      <c r="AN153" s="61"/>
      <c r="AO153" s="61"/>
      <c r="AP153" s="61"/>
    </row>
    <row r="154" spans="1:42" ht="26.25" customHeigh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1"/>
      <c r="AI154" s="61"/>
      <c r="AJ154" s="61"/>
      <c r="AK154" s="61"/>
      <c r="AL154" s="61"/>
      <c r="AM154" s="61"/>
      <c r="AN154" s="61"/>
      <c r="AO154" s="61"/>
      <c r="AP154" s="61"/>
    </row>
    <row r="155" spans="1:42" ht="26.25" customHeigh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1"/>
      <c r="AI155" s="61"/>
      <c r="AJ155" s="61"/>
      <c r="AK155" s="61"/>
      <c r="AL155" s="61"/>
      <c r="AM155" s="61"/>
      <c r="AN155" s="61"/>
      <c r="AO155" s="61"/>
      <c r="AP155" s="61"/>
    </row>
    <row r="156" spans="1:42" ht="26.25" customHeigh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1"/>
      <c r="AI156" s="61"/>
      <c r="AJ156" s="61"/>
      <c r="AK156" s="61"/>
      <c r="AL156" s="61"/>
      <c r="AM156" s="61"/>
      <c r="AN156" s="61"/>
      <c r="AO156" s="61"/>
      <c r="AP156" s="61"/>
    </row>
    <row r="157" spans="1:42" ht="26.25" customHeight="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1"/>
      <c r="AI157" s="61"/>
      <c r="AJ157" s="61"/>
      <c r="AK157" s="61"/>
      <c r="AL157" s="61"/>
      <c r="AM157" s="61"/>
      <c r="AN157" s="61"/>
      <c r="AO157" s="61"/>
      <c r="AP157" s="61"/>
    </row>
    <row r="158" spans="1:42" ht="26.25" customHeigh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1"/>
      <c r="AI158" s="61"/>
      <c r="AJ158" s="61"/>
      <c r="AK158" s="61"/>
      <c r="AL158" s="61"/>
      <c r="AM158" s="61"/>
      <c r="AN158" s="61"/>
      <c r="AO158" s="61"/>
      <c r="AP158" s="61"/>
    </row>
    <row r="159" spans="1:42" ht="26.25" customHeight="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1"/>
      <c r="AI159" s="61"/>
      <c r="AJ159" s="61"/>
      <c r="AK159" s="61"/>
      <c r="AL159" s="61"/>
      <c r="AM159" s="61"/>
      <c r="AN159" s="61"/>
      <c r="AO159" s="61"/>
      <c r="AP159" s="61"/>
    </row>
    <row r="160" spans="1:42" ht="26.25" customHeight="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1"/>
      <c r="AI160" s="61"/>
      <c r="AJ160" s="61"/>
      <c r="AK160" s="61"/>
      <c r="AL160" s="61"/>
      <c r="AM160" s="61"/>
      <c r="AN160" s="61"/>
      <c r="AO160" s="61"/>
      <c r="AP160" s="61"/>
    </row>
    <row r="161" spans="1:42" ht="26.25" customHeight="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1"/>
      <c r="AI161" s="61"/>
      <c r="AJ161" s="61"/>
      <c r="AK161" s="61"/>
      <c r="AL161" s="61"/>
      <c r="AM161" s="61"/>
      <c r="AN161" s="61"/>
      <c r="AO161" s="61"/>
      <c r="AP161" s="61"/>
    </row>
    <row r="162" spans="1:42" ht="26.25" customHeight="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1"/>
      <c r="AI162" s="61"/>
      <c r="AJ162" s="61"/>
      <c r="AK162" s="61"/>
      <c r="AL162" s="61"/>
      <c r="AM162" s="61"/>
      <c r="AN162" s="61"/>
      <c r="AO162" s="61"/>
      <c r="AP162" s="61"/>
    </row>
    <row r="163" spans="1:42" ht="26.25" customHeight="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1"/>
      <c r="AI163" s="61"/>
      <c r="AJ163" s="61"/>
      <c r="AK163" s="61"/>
      <c r="AL163" s="61"/>
      <c r="AM163" s="61"/>
      <c r="AN163" s="61"/>
      <c r="AO163" s="61"/>
      <c r="AP163" s="61"/>
    </row>
    <row r="164" spans="1:42" ht="26.25" customHeight="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1"/>
      <c r="AI164" s="61"/>
      <c r="AJ164" s="61"/>
      <c r="AK164" s="61"/>
      <c r="AL164" s="61"/>
      <c r="AM164" s="61"/>
      <c r="AN164" s="61"/>
      <c r="AO164" s="61"/>
      <c r="AP164" s="61"/>
    </row>
    <row r="165" spans="1:42" ht="26.25" customHeight="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1"/>
      <c r="AI165" s="61"/>
      <c r="AJ165" s="61"/>
      <c r="AK165" s="61"/>
      <c r="AL165" s="61"/>
      <c r="AM165" s="61"/>
      <c r="AN165" s="61"/>
      <c r="AO165" s="61"/>
      <c r="AP165" s="61"/>
    </row>
    <row r="166" spans="1:42" ht="26.25" customHeight="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1"/>
      <c r="AI166" s="61"/>
      <c r="AJ166" s="61"/>
      <c r="AK166" s="61"/>
      <c r="AL166" s="61"/>
      <c r="AM166" s="61"/>
      <c r="AN166" s="61"/>
      <c r="AO166" s="61"/>
      <c r="AP166" s="61"/>
    </row>
    <row r="167" spans="1:42" ht="26.25" customHeight="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1"/>
      <c r="AI167" s="61"/>
      <c r="AJ167" s="61"/>
      <c r="AK167" s="61"/>
      <c r="AL167" s="61"/>
      <c r="AM167" s="61"/>
      <c r="AN167" s="61"/>
      <c r="AO167" s="61"/>
      <c r="AP167" s="61"/>
    </row>
    <row r="168" spans="1:42" ht="26.25" customHeight="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1"/>
      <c r="AI168" s="61"/>
      <c r="AJ168" s="61"/>
      <c r="AK168" s="61"/>
      <c r="AL168" s="61"/>
      <c r="AM168" s="61"/>
      <c r="AN168" s="61"/>
      <c r="AO168" s="61"/>
      <c r="AP168" s="61"/>
    </row>
    <row r="169" spans="1:42" ht="26.25" customHeigh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1"/>
      <c r="AI169" s="61"/>
      <c r="AJ169" s="61"/>
      <c r="AK169" s="61"/>
      <c r="AL169" s="61"/>
      <c r="AM169" s="61"/>
      <c r="AN169" s="61"/>
      <c r="AO169" s="61"/>
      <c r="AP169" s="61"/>
    </row>
    <row r="170" spans="1:42" ht="26.25" customHeigh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1"/>
      <c r="AI170" s="61"/>
      <c r="AJ170" s="61"/>
      <c r="AK170" s="61"/>
      <c r="AL170" s="61"/>
      <c r="AM170" s="61"/>
      <c r="AN170" s="61"/>
      <c r="AO170" s="61"/>
      <c r="AP170" s="61"/>
    </row>
    <row r="171" spans="1:42" ht="26.25" customHeigh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1"/>
      <c r="AI171" s="61"/>
      <c r="AJ171" s="61"/>
      <c r="AK171" s="61"/>
      <c r="AL171" s="61"/>
      <c r="AM171" s="61"/>
      <c r="AN171" s="61"/>
      <c r="AO171" s="61"/>
      <c r="AP171" s="61"/>
    </row>
    <row r="172" spans="1:42" ht="26.25" customHeigh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1"/>
      <c r="AI172" s="61"/>
      <c r="AJ172" s="61"/>
      <c r="AK172" s="61"/>
      <c r="AL172" s="61"/>
      <c r="AM172" s="61"/>
      <c r="AN172" s="61"/>
      <c r="AO172" s="61"/>
      <c r="AP172" s="61"/>
    </row>
    <row r="173" spans="1:42" ht="26.25" customHeigh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1"/>
      <c r="AI173" s="61"/>
      <c r="AJ173" s="61"/>
      <c r="AK173" s="61"/>
      <c r="AL173" s="61"/>
      <c r="AM173" s="61"/>
      <c r="AN173" s="61"/>
      <c r="AO173" s="61"/>
      <c r="AP173" s="61"/>
    </row>
    <row r="174" spans="1:42" ht="26.25" customHeigh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1"/>
      <c r="AI174" s="61"/>
      <c r="AJ174" s="61"/>
      <c r="AK174" s="61"/>
      <c r="AL174" s="61"/>
      <c r="AM174" s="61"/>
      <c r="AN174" s="61"/>
      <c r="AO174" s="61"/>
      <c r="AP174" s="61"/>
    </row>
    <row r="175" spans="1:42" ht="26.25" customHeigh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1"/>
      <c r="AI175" s="61"/>
      <c r="AJ175" s="61"/>
      <c r="AK175" s="61"/>
      <c r="AL175" s="61"/>
      <c r="AM175" s="61"/>
      <c r="AN175" s="61"/>
      <c r="AO175" s="61"/>
      <c r="AP175" s="61"/>
    </row>
    <row r="176" spans="1:42" ht="26.25" customHeigh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1"/>
      <c r="AI176" s="61"/>
      <c r="AJ176" s="61"/>
      <c r="AK176" s="61"/>
      <c r="AL176" s="61"/>
      <c r="AM176" s="61"/>
      <c r="AN176" s="61"/>
      <c r="AO176" s="61"/>
      <c r="AP176" s="61"/>
    </row>
    <row r="177" spans="1:42" ht="26.25" customHeight="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1"/>
      <c r="AI177" s="61"/>
      <c r="AJ177" s="61"/>
      <c r="AK177" s="61"/>
      <c r="AL177" s="61"/>
      <c r="AM177" s="61"/>
      <c r="AN177" s="61"/>
      <c r="AO177" s="61"/>
      <c r="AP177" s="61"/>
    </row>
    <row r="178" spans="1:42" ht="26.25" customHeight="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1"/>
      <c r="AI178" s="61"/>
      <c r="AJ178" s="61"/>
      <c r="AK178" s="61"/>
      <c r="AL178" s="61"/>
      <c r="AM178" s="61"/>
      <c r="AN178" s="61"/>
      <c r="AO178" s="61"/>
      <c r="AP178" s="61"/>
    </row>
    <row r="179" spans="1:42" ht="26.25" customHeight="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1"/>
      <c r="AI179" s="61"/>
      <c r="AJ179" s="61"/>
      <c r="AK179" s="61"/>
      <c r="AL179" s="61"/>
      <c r="AM179" s="61"/>
      <c r="AN179" s="61"/>
      <c r="AO179" s="61"/>
      <c r="AP179" s="61"/>
    </row>
    <row r="180" spans="1:42" ht="26.25" customHeight="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1"/>
      <c r="AI180" s="61"/>
      <c r="AJ180" s="61"/>
      <c r="AK180" s="61"/>
      <c r="AL180" s="61"/>
      <c r="AM180" s="61"/>
      <c r="AN180" s="61"/>
      <c r="AO180" s="61"/>
      <c r="AP180" s="61"/>
    </row>
    <row r="181" spans="1:42" ht="26.25" customHeight="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1"/>
      <c r="AI181" s="61"/>
      <c r="AJ181" s="61"/>
      <c r="AK181" s="61"/>
      <c r="AL181" s="61"/>
      <c r="AM181" s="61"/>
      <c r="AN181" s="61"/>
      <c r="AO181" s="61"/>
      <c r="AP181" s="61"/>
    </row>
    <row r="182" spans="1:42" ht="26.25" customHeight="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1"/>
      <c r="AI182" s="61"/>
      <c r="AJ182" s="61"/>
      <c r="AK182" s="61"/>
      <c r="AL182" s="61"/>
      <c r="AM182" s="61"/>
      <c r="AN182" s="61"/>
      <c r="AO182" s="61"/>
      <c r="AP182" s="61"/>
    </row>
    <row r="183" spans="1:42" ht="26.25" customHeight="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1"/>
      <c r="AI183" s="61"/>
      <c r="AJ183" s="61"/>
      <c r="AK183" s="61"/>
      <c r="AL183" s="61"/>
      <c r="AM183" s="61"/>
      <c r="AN183" s="61"/>
      <c r="AO183" s="61"/>
      <c r="AP183" s="61"/>
    </row>
    <row r="184" spans="1:42" ht="26.25" customHeight="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1"/>
      <c r="AI184" s="61"/>
      <c r="AJ184" s="61"/>
      <c r="AK184" s="61"/>
      <c r="AL184" s="61"/>
      <c r="AM184" s="61"/>
      <c r="AN184" s="61"/>
      <c r="AO184" s="61"/>
      <c r="AP184" s="61"/>
    </row>
    <row r="185" spans="1:42" ht="26.25" customHeight="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1"/>
      <c r="AI185" s="61"/>
      <c r="AJ185" s="61"/>
      <c r="AK185" s="61"/>
      <c r="AL185" s="61"/>
      <c r="AM185" s="61"/>
      <c r="AN185" s="61"/>
      <c r="AO185" s="61"/>
      <c r="AP185" s="61"/>
    </row>
    <row r="186" spans="1:42" ht="26.25" customHeight="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1"/>
      <c r="AI186" s="61"/>
      <c r="AJ186" s="61"/>
      <c r="AK186" s="61"/>
      <c r="AL186" s="61"/>
      <c r="AM186" s="61"/>
      <c r="AN186" s="61"/>
      <c r="AO186" s="61"/>
      <c r="AP186" s="61"/>
    </row>
    <row r="187" spans="1:42" ht="26.25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1"/>
      <c r="AI187" s="61"/>
      <c r="AJ187" s="61"/>
      <c r="AK187" s="61"/>
      <c r="AL187" s="61"/>
      <c r="AM187" s="61"/>
      <c r="AN187" s="61"/>
      <c r="AO187" s="61"/>
      <c r="AP187" s="61"/>
    </row>
    <row r="188" spans="1:42" ht="26.25" customHeight="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1"/>
      <c r="AI188" s="61"/>
      <c r="AJ188" s="61"/>
      <c r="AK188" s="61"/>
      <c r="AL188" s="61"/>
      <c r="AM188" s="61"/>
      <c r="AN188" s="61"/>
      <c r="AO188" s="61"/>
      <c r="AP188" s="61"/>
    </row>
    <row r="189" spans="1:42" ht="26.25" customHeight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1"/>
      <c r="AI189" s="61"/>
      <c r="AJ189" s="61"/>
      <c r="AK189" s="61"/>
      <c r="AL189" s="61"/>
      <c r="AM189" s="61"/>
      <c r="AN189" s="61"/>
      <c r="AO189" s="61"/>
      <c r="AP189" s="61"/>
    </row>
    <row r="190" spans="1:42" ht="26.25" customHeigh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1"/>
      <c r="AI190" s="61"/>
      <c r="AJ190" s="61"/>
      <c r="AK190" s="61"/>
      <c r="AL190" s="61"/>
      <c r="AM190" s="61"/>
      <c r="AN190" s="61"/>
      <c r="AO190" s="61"/>
      <c r="AP190" s="61"/>
    </row>
    <row r="191" spans="1:42" ht="26.25" customHeight="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1"/>
      <c r="AI191" s="61"/>
      <c r="AJ191" s="61"/>
      <c r="AK191" s="61"/>
      <c r="AL191" s="61"/>
      <c r="AM191" s="61"/>
      <c r="AN191" s="61"/>
      <c r="AO191" s="61"/>
      <c r="AP191" s="61"/>
    </row>
    <row r="192" spans="1:42" ht="26.25" customHeigh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1"/>
      <c r="AI192" s="61"/>
      <c r="AJ192" s="61"/>
      <c r="AK192" s="61"/>
      <c r="AL192" s="61"/>
      <c r="AM192" s="61"/>
      <c r="AN192" s="61"/>
      <c r="AO192" s="61"/>
      <c r="AP192" s="61"/>
    </row>
    <row r="193" spans="1:42" ht="26.25" customHeight="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1"/>
      <c r="AI193" s="61"/>
      <c r="AJ193" s="61"/>
      <c r="AK193" s="61"/>
      <c r="AL193" s="61"/>
      <c r="AM193" s="61"/>
      <c r="AN193" s="61"/>
      <c r="AO193" s="61"/>
      <c r="AP193" s="61"/>
    </row>
    <row r="194" spans="1:42" ht="26.25" customHeight="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1"/>
      <c r="AI194" s="61"/>
      <c r="AJ194" s="61"/>
      <c r="AK194" s="61"/>
      <c r="AL194" s="61"/>
      <c r="AM194" s="61"/>
      <c r="AN194" s="61"/>
      <c r="AO194" s="61"/>
      <c r="AP194" s="61"/>
    </row>
    <row r="195" spans="1:42" ht="26.25" customHeight="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1"/>
      <c r="AI195" s="61"/>
      <c r="AJ195" s="61"/>
      <c r="AK195" s="61"/>
      <c r="AL195" s="61"/>
      <c r="AM195" s="61"/>
      <c r="AN195" s="61"/>
      <c r="AO195" s="61"/>
      <c r="AP195" s="61"/>
    </row>
    <row r="196" spans="1:42" ht="26.25" customHeight="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1"/>
      <c r="AI196" s="61"/>
      <c r="AJ196" s="61"/>
      <c r="AK196" s="61"/>
      <c r="AL196" s="61"/>
      <c r="AM196" s="61"/>
      <c r="AN196" s="61"/>
      <c r="AO196" s="61"/>
      <c r="AP196" s="61"/>
    </row>
    <row r="197" spans="1:42" ht="26.25" customHeight="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1"/>
      <c r="AI197" s="61"/>
      <c r="AJ197" s="61"/>
      <c r="AK197" s="61"/>
      <c r="AL197" s="61"/>
      <c r="AM197" s="61"/>
      <c r="AN197" s="61"/>
      <c r="AO197" s="61"/>
      <c r="AP197" s="61"/>
    </row>
    <row r="198" spans="1:42" ht="26.25" customHeight="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1"/>
      <c r="AI198" s="61"/>
      <c r="AJ198" s="61"/>
      <c r="AK198" s="61"/>
      <c r="AL198" s="61"/>
      <c r="AM198" s="61"/>
      <c r="AN198" s="61"/>
      <c r="AO198" s="61"/>
      <c r="AP198" s="61"/>
    </row>
    <row r="199" spans="1:42" ht="26.25" customHeight="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1"/>
      <c r="AI199" s="61"/>
      <c r="AJ199" s="61"/>
      <c r="AK199" s="61"/>
      <c r="AL199" s="61"/>
      <c r="AM199" s="61"/>
      <c r="AN199" s="61"/>
      <c r="AO199" s="61"/>
      <c r="AP199" s="61"/>
    </row>
    <row r="200" spans="1:42" ht="26.25" customHeight="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1"/>
      <c r="AI200" s="61"/>
      <c r="AJ200" s="61"/>
      <c r="AK200" s="61"/>
      <c r="AL200" s="61"/>
      <c r="AM200" s="61"/>
      <c r="AN200" s="61"/>
      <c r="AO200" s="61"/>
      <c r="AP200" s="61"/>
    </row>
    <row r="201" spans="1:42" ht="26.25" customHeight="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1"/>
      <c r="AI201" s="61"/>
      <c r="AJ201" s="61"/>
      <c r="AK201" s="61"/>
      <c r="AL201" s="61"/>
      <c r="AM201" s="61"/>
      <c r="AN201" s="61"/>
      <c r="AO201" s="61"/>
      <c r="AP201" s="61"/>
    </row>
    <row r="202" spans="1:42" ht="26.25" customHeight="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1"/>
      <c r="AI202" s="61"/>
      <c r="AJ202" s="61"/>
      <c r="AK202" s="61"/>
      <c r="AL202" s="61"/>
      <c r="AM202" s="61"/>
      <c r="AN202" s="61"/>
      <c r="AO202" s="61"/>
      <c r="AP202" s="61"/>
    </row>
    <row r="203" spans="1:42" ht="26.25" customHeight="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1"/>
      <c r="AI203" s="61"/>
      <c r="AJ203" s="61"/>
      <c r="AK203" s="61"/>
      <c r="AL203" s="61"/>
      <c r="AM203" s="61"/>
      <c r="AN203" s="61"/>
      <c r="AO203" s="61"/>
      <c r="AP203" s="61"/>
    </row>
    <row r="204" spans="1:42" ht="26.25" customHeight="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1"/>
      <c r="AI204" s="61"/>
      <c r="AJ204" s="61"/>
      <c r="AK204" s="61"/>
      <c r="AL204" s="61"/>
      <c r="AM204" s="61"/>
      <c r="AN204" s="61"/>
      <c r="AO204" s="61"/>
      <c r="AP204" s="61"/>
    </row>
    <row r="205" spans="1:42" ht="26.25" customHeight="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1"/>
      <c r="AI205" s="61"/>
      <c r="AJ205" s="61"/>
      <c r="AK205" s="61"/>
      <c r="AL205" s="61"/>
      <c r="AM205" s="61"/>
      <c r="AN205" s="61"/>
      <c r="AO205" s="61"/>
      <c r="AP205" s="61"/>
    </row>
    <row r="206" spans="1:42" ht="26.25" customHeight="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1"/>
      <c r="AI206" s="61"/>
      <c r="AJ206" s="61"/>
      <c r="AK206" s="61"/>
      <c r="AL206" s="61"/>
      <c r="AM206" s="61"/>
      <c r="AN206" s="61"/>
      <c r="AO206" s="61"/>
      <c r="AP206" s="61"/>
    </row>
    <row r="207" spans="1:42" ht="26.25" customHeight="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1"/>
      <c r="AI207" s="61"/>
      <c r="AJ207" s="61"/>
      <c r="AK207" s="61"/>
      <c r="AL207" s="61"/>
      <c r="AM207" s="61"/>
      <c r="AN207" s="61"/>
      <c r="AO207" s="61"/>
      <c r="AP207" s="61"/>
    </row>
    <row r="208" spans="1:42" ht="26.25" customHeight="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1"/>
      <c r="AI208" s="61"/>
      <c r="AJ208" s="61"/>
      <c r="AK208" s="61"/>
      <c r="AL208" s="61"/>
      <c r="AM208" s="61"/>
      <c r="AN208" s="61"/>
      <c r="AO208" s="61"/>
      <c r="AP208" s="61"/>
    </row>
    <row r="209" spans="1:42" ht="26.25" customHeight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1"/>
      <c r="AI209" s="61"/>
      <c r="AJ209" s="61"/>
      <c r="AK209" s="61"/>
      <c r="AL209" s="61"/>
      <c r="AM209" s="61"/>
      <c r="AN209" s="61"/>
      <c r="AO209" s="61"/>
      <c r="AP209" s="61"/>
    </row>
    <row r="210" spans="1:42" ht="26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1"/>
      <c r="AI210" s="61"/>
      <c r="AJ210" s="61"/>
      <c r="AK210" s="61"/>
      <c r="AL210" s="61"/>
      <c r="AM210" s="61"/>
      <c r="AN210" s="61"/>
      <c r="AO210" s="61"/>
      <c r="AP210" s="61"/>
    </row>
    <row r="211" spans="1:42" ht="26.25" customHeight="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1"/>
      <c r="AI211" s="61"/>
      <c r="AJ211" s="61"/>
      <c r="AK211" s="61"/>
      <c r="AL211" s="61"/>
      <c r="AM211" s="61"/>
      <c r="AN211" s="61"/>
      <c r="AO211" s="61"/>
      <c r="AP211" s="61"/>
    </row>
    <row r="212" spans="1:42" ht="26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1"/>
      <c r="AI212" s="61"/>
      <c r="AJ212" s="61"/>
      <c r="AK212" s="61"/>
      <c r="AL212" s="61"/>
      <c r="AM212" s="61"/>
      <c r="AN212" s="61"/>
      <c r="AO212" s="61"/>
      <c r="AP212" s="61"/>
    </row>
    <row r="213" spans="1:42" ht="26.25" customHeight="1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1"/>
      <c r="AI213" s="61"/>
      <c r="AJ213" s="61"/>
      <c r="AK213" s="61"/>
      <c r="AL213" s="61"/>
      <c r="AM213" s="61"/>
      <c r="AN213" s="61"/>
      <c r="AO213" s="61"/>
      <c r="AP213" s="61"/>
    </row>
    <row r="214" spans="1:42" ht="26.25" customHeight="1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1"/>
      <c r="AI214" s="61"/>
      <c r="AJ214" s="61"/>
      <c r="AK214" s="61"/>
      <c r="AL214" s="61"/>
      <c r="AM214" s="61"/>
      <c r="AN214" s="61"/>
      <c r="AO214" s="61"/>
      <c r="AP214" s="61"/>
    </row>
    <row r="215" spans="1:42" ht="26.25" customHeight="1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1"/>
      <c r="AI215" s="61"/>
      <c r="AJ215" s="61"/>
      <c r="AK215" s="61"/>
      <c r="AL215" s="61"/>
      <c r="AM215" s="61"/>
      <c r="AN215" s="61"/>
      <c r="AO215" s="61"/>
      <c r="AP215" s="61"/>
    </row>
    <row r="216" spans="1:42" ht="26.25" customHeight="1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1"/>
      <c r="AI216" s="61"/>
      <c r="AJ216" s="61"/>
      <c r="AK216" s="61"/>
      <c r="AL216" s="61"/>
      <c r="AM216" s="61"/>
      <c r="AN216" s="61"/>
      <c r="AO216" s="61"/>
      <c r="AP216" s="61"/>
    </row>
    <row r="217" spans="1:42" ht="26.25" customHeight="1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1"/>
      <c r="AI217" s="61"/>
      <c r="AJ217" s="61"/>
      <c r="AK217" s="61"/>
      <c r="AL217" s="61"/>
      <c r="AM217" s="61"/>
      <c r="AN217" s="61"/>
      <c r="AO217" s="61"/>
      <c r="AP217" s="61"/>
    </row>
    <row r="218" spans="1:42" ht="26.25" customHeight="1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1"/>
      <c r="AI218" s="61"/>
      <c r="AJ218" s="61"/>
      <c r="AK218" s="61"/>
      <c r="AL218" s="61"/>
      <c r="AM218" s="61"/>
      <c r="AN218" s="61"/>
      <c r="AO218" s="61"/>
      <c r="AP218" s="61"/>
    </row>
    <row r="219" spans="1:42" ht="15.75" customHeight="1">
      <c r="A219" s="61"/>
      <c r="B219" s="60"/>
      <c r="C219" s="60"/>
      <c r="D219" s="60"/>
      <c r="E219" s="60"/>
      <c r="F219" s="60"/>
      <c r="G219" s="60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</row>
    <row r="220" spans="1:42" ht="15.75" customHeight="1">
      <c r="A220" s="61"/>
      <c r="B220" s="60"/>
      <c r="C220" s="60"/>
      <c r="D220" s="60"/>
      <c r="E220" s="60"/>
      <c r="F220" s="60"/>
      <c r="G220" s="60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</row>
    <row r="221" spans="1:42" ht="15.75" customHeight="1">
      <c r="A221" s="61"/>
      <c r="B221" s="60"/>
      <c r="C221" s="60"/>
      <c r="D221" s="60"/>
      <c r="E221" s="60"/>
      <c r="F221" s="60"/>
      <c r="G221" s="60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</row>
    <row r="222" spans="1:42" ht="15.75" customHeight="1">
      <c r="A222" s="61"/>
      <c r="B222" s="60"/>
      <c r="C222" s="60"/>
      <c r="D222" s="60"/>
      <c r="E222" s="60"/>
      <c r="F222" s="60"/>
      <c r="G222" s="60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</row>
    <row r="223" spans="1:42" ht="15.75" customHeight="1">
      <c r="A223" s="61"/>
      <c r="B223" s="60"/>
      <c r="C223" s="60"/>
      <c r="D223" s="60"/>
      <c r="E223" s="60"/>
      <c r="F223" s="60"/>
      <c r="G223" s="60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</row>
    <row r="224" spans="1:42" ht="15.75" customHeight="1">
      <c r="A224" s="61"/>
      <c r="B224" s="60"/>
      <c r="C224" s="60"/>
      <c r="D224" s="60"/>
      <c r="E224" s="60"/>
      <c r="F224" s="60"/>
      <c r="G224" s="60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</row>
    <row r="225" spans="1:42" ht="15.75" customHeight="1">
      <c r="A225" s="61"/>
      <c r="B225" s="60"/>
      <c r="C225" s="60"/>
      <c r="D225" s="60"/>
      <c r="E225" s="60"/>
      <c r="F225" s="60"/>
      <c r="G225" s="60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</row>
    <row r="226" spans="1:42" ht="15.75" customHeight="1">
      <c r="A226" s="61"/>
      <c r="B226" s="60"/>
      <c r="C226" s="60"/>
      <c r="D226" s="60"/>
      <c r="E226" s="60"/>
      <c r="F226" s="60"/>
      <c r="G226" s="60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</row>
    <row r="227" spans="1:42" ht="15.75" customHeight="1">
      <c r="A227" s="61"/>
      <c r="B227" s="60"/>
      <c r="C227" s="60"/>
      <c r="D227" s="60"/>
      <c r="E227" s="60"/>
      <c r="F227" s="60"/>
      <c r="G227" s="60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</row>
    <row r="228" spans="1:42" ht="15.75" customHeight="1">
      <c r="A228" s="61"/>
      <c r="B228" s="60"/>
      <c r="C228" s="60"/>
      <c r="D228" s="60"/>
      <c r="E228" s="60"/>
      <c r="F228" s="60"/>
      <c r="G228" s="60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</row>
    <row r="229" spans="1:42" ht="15.75" customHeight="1">
      <c r="A229" s="61"/>
      <c r="B229" s="60"/>
      <c r="C229" s="60"/>
      <c r="D229" s="60"/>
      <c r="E229" s="60"/>
      <c r="F229" s="60"/>
      <c r="G229" s="60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</row>
    <row r="230" spans="1:42" ht="15.75" customHeight="1">
      <c r="A230" s="61"/>
      <c r="B230" s="60"/>
      <c r="C230" s="60"/>
      <c r="D230" s="60"/>
      <c r="E230" s="60"/>
      <c r="F230" s="60"/>
      <c r="G230" s="60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</row>
    <row r="231" spans="1:42" ht="15.75" customHeight="1">
      <c r="A231" s="61"/>
      <c r="B231" s="60"/>
      <c r="C231" s="60"/>
      <c r="D231" s="60"/>
      <c r="E231" s="60"/>
      <c r="F231" s="60"/>
      <c r="G231" s="60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</row>
    <row r="232" spans="1:42" ht="15.75" customHeight="1">
      <c r="A232" s="61"/>
      <c r="B232" s="60"/>
      <c r="C232" s="60"/>
      <c r="D232" s="60"/>
      <c r="E232" s="60"/>
      <c r="F232" s="60"/>
      <c r="G232" s="60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</row>
    <row r="233" spans="1:42" ht="15.75" customHeight="1">
      <c r="A233" s="61"/>
      <c r="B233" s="60"/>
      <c r="C233" s="60"/>
      <c r="D233" s="60"/>
      <c r="E233" s="60"/>
      <c r="F233" s="60"/>
      <c r="G233" s="60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</row>
    <row r="234" spans="1:42" ht="15.75" customHeight="1">
      <c r="A234" s="61"/>
      <c r="B234" s="60"/>
      <c r="C234" s="60"/>
      <c r="D234" s="60"/>
      <c r="E234" s="60"/>
      <c r="F234" s="60"/>
      <c r="G234" s="60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</row>
    <row r="235" spans="1:42" ht="15.75" customHeight="1">
      <c r="A235" s="61"/>
      <c r="B235" s="60"/>
      <c r="C235" s="60"/>
      <c r="D235" s="60"/>
      <c r="E235" s="60"/>
      <c r="F235" s="60"/>
      <c r="G235" s="60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</row>
    <row r="236" spans="1:42" ht="15.75" customHeight="1">
      <c r="A236" s="61"/>
      <c r="B236" s="60"/>
      <c r="C236" s="60"/>
      <c r="D236" s="60"/>
      <c r="E236" s="60"/>
      <c r="F236" s="60"/>
      <c r="G236" s="60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</row>
    <row r="237" spans="1:42" ht="15.75" customHeight="1">
      <c r="A237" s="61"/>
      <c r="B237" s="60"/>
      <c r="C237" s="60"/>
      <c r="D237" s="60"/>
      <c r="E237" s="60"/>
      <c r="F237" s="60"/>
      <c r="G237" s="60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</row>
    <row r="238" spans="1:42" ht="15.75" customHeight="1">
      <c r="A238" s="61"/>
      <c r="B238" s="60"/>
      <c r="C238" s="60"/>
      <c r="D238" s="60"/>
      <c r="E238" s="60"/>
      <c r="F238" s="60"/>
      <c r="G238" s="60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</row>
    <row r="239" spans="1:42" ht="15.75" customHeight="1">
      <c r="A239" s="61"/>
      <c r="B239" s="60"/>
      <c r="C239" s="60"/>
      <c r="D239" s="60"/>
      <c r="E239" s="60"/>
      <c r="F239" s="60"/>
      <c r="G239" s="60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</row>
    <row r="240" spans="1:42" ht="15.75" customHeight="1">
      <c r="A240" s="61"/>
      <c r="B240" s="60"/>
      <c r="C240" s="60"/>
      <c r="D240" s="60"/>
      <c r="E240" s="60"/>
      <c r="F240" s="60"/>
      <c r="G240" s="60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</row>
    <row r="241" spans="1:42" ht="15.75" customHeight="1">
      <c r="A241" s="61"/>
      <c r="B241" s="60"/>
      <c r="C241" s="60"/>
      <c r="D241" s="60"/>
      <c r="E241" s="60"/>
      <c r="F241" s="60"/>
      <c r="G241" s="60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</row>
    <row r="242" spans="1:42" ht="15.75" customHeight="1">
      <c r="A242" s="61"/>
      <c r="B242" s="60"/>
      <c r="C242" s="60"/>
      <c r="D242" s="60"/>
      <c r="E242" s="60"/>
      <c r="F242" s="60"/>
      <c r="G242" s="60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  <c r="AP242" s="61"/>
    </row>
    <row r="243" spans="1:42" ht="15.75" customHeight="1">
      <c r="A243" s="61"/>
      <c r="B243" s="60"/>
      <c r="C243" s="60"/>
      <c r="D243" s="60"/>
      <c r="E243" s="60"/>
      <c r="F243" s="60"/>
      <c r="G243" s="60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</row>
    <row r="244" spans="1:42" ht="15.75" customHeight="1">
      <c r="A244" s="61"/>
      <c r="B244" s="60"/>
      <c r="C244" s="60"/>
      <c r="D244" s="60"/>
      <c r="E244" s="60"/>
      <c r="F244" s="60"/>
      <c r="G244" s="60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</row>
    <row r="245" spans="1:42" ht="15.75" customHeight="1">
      <c r="A245" s="61"/>
      <c r="B245" s="60"/>
      <c r="C245" s="60"/>
      <c r="D245" s="60"/>
      <c r="E245" s="60"/>
      <c r="F245" s="60"/>
      <c r="G245" s="60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  <c r="AN245" s="61"/>
      <c r="AO245" s="61"/>
      <c r="AP245" s="61"/>
    </row>
    <row r="246" spans="1:42" ht="15.75" customHeight="1">
      <c r="A246" s="61"/>
      <c r="B246" s="60"/>
      <c r="C246" s="60"/>
      <c r="D246" s="60"/>
      <c r="E246" s="60"/>
      <c r="F246" s="60"/>
      <c r="G246" s="60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</row>
    <row r="247" spans="1:42" ht="15.75" customHeight="1">
      <c r="A247" s="61"/>
      <c r="B247" s="60"/>
      <c r="C247" s="60"/>
      <c r="D247" s="60"/>
      <c r="E247" s="60"/>
      <c r="F247" s="60"/>
      <c r="G247" s="60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</row>
    <row r="248" spans="1:42" ht="15.75" customHeight="1">
      <c r="A248" s="61"/>
      <c r="B248" s="60"/>
      <c r="C248" s="60"/>
      <c r="D248" s="60"/>
      <c r="E248" s="60"/>
      <c r="F248" s="60"/>
      <c r="G248" s="60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</row>
    <row r="249" spans="1:42" ht="15.75" customHeight="1">
      <c r="A249" s="61"/>
      <c r="B249" s="60"/>
      <c r="C249" s="60"/>
      <c r="D249" s="60"/>
      <c r="E249" s="60"/>
      <c r="F249" s="60"/>
      <c r="G249" s="60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</row>
    <row r="250" spans="1:42" ht="15.75" customHeight="1">
      <c r="A250" s="61"/>
      <c r="B250" s="60"/>
      <c r="C250" s="60"/>
      <c r="D250" s="60"/>
      <c r="E250" s="60"/>
      <c r="F250" s="60"/>
      <c r="G250" s="60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</row>
    <row r="251" spans="1:42" ht="15.75" customHeight="1">
      <c r="A251" s="61"/>
      <c r="B251" s="60"/>
      <c r="C251" s="60"/>
      <c r="D251" s="60"/>
      <c r="E251" s="60"/>
      <c r="F251" s="60"/>
      <c r="G251" s="60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</row>
    <row r="252" spans="1:42" ht="15.75" customHeight="1">
      <c r="A252" s="61"/>
      <c r="B252" s="60"/>
      <c r="C252" s="60"/>
      <c r="D252" s="60"/>
      <c r="E252" s="60"/>
      <c r="F252" s="60"/>
      <c r="G252" s="60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</row>
    <row r="253" spans="1:42" ht="15.75" customHeight="1">
      <c r="A253" s="61"/>
      <c r="B253" s="60"/>
      <c r="C253" s="60"/>
      <c r="D253" s="60"/>
      <c r="E253" s="60"/>
      <c r="F253" s="60"/>
      <c r="G253" s="60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</row>
    <row r="254" spans="1:42" ht="15.75" customHeight="1">
      <c r="A254" s="61"/>
      <c r="B254" s="60"/>
      <c r="C254" s="60"/>
      <c r="D254" s="60"/>
      <c r="E254" s="60"/>
      <c r="F254" s="60"/>
      <c r="G254" s="60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</row>
    <row r="255" spans="1:42" ht="15.75" customHeight="1">
      <c r="A255" s="61"/>
      <c r="B255" s="60"/>
      <c r="C255" s="60"/>
      <c r="D255" s="60"/>
      <c r="E255" s="60"/>
      <c r="F255" s="60"/>
      <c r="G255" s="60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</row>
    <row r="256" spans="1:42" ht="15.75" customHeight="1">
      <c r="A256" s="61"/>
      <c r="B256" s="60"/>
      <c r="C256" s="60"/>
      <c r="D256" s="60"/>
      <c r="E256" s="60"/>
      <c r="F256" s="60"/>
      <c r="G256" s="60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</row>
    <row r="257" spans="1:42" ht="15.75" customHeight="1">
      <c r="A257" s="61"/>
      <c r="B257" s="60"/>
      <c r="C257" s="60"/>
      <c r="D257" s="60"/>
      <c r="E257" s="60"/>
      <c r="F257" s="60"/>
      <c r="G257" s="60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</row>
    <row r="258" spans="1:42" ht="15.75" customHeight="1">
      <c r="A258" s="61"/>
      <c r="B258" s="60"/>
      <c r="C258" s="60"/>
      <c r="D258" s="60"/>
      <c r="E258" s="60"/>
      <c r="F258" s="60"/>
      <c r="G258" s="60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</row>
    <row r="259" spans="1:42" ht="15.75" customHeight="1">
      <c r="A259" s="61"/>
      <c r="B259" s="60"/>
      <c r="C259" s="60"/>
      <c r="D259" s="60"/>
      <c r="E259" s="60"/>
      <c r="F259" s="60"/>
      <c r="G259" s="60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</row>
    <row r="260" spans="1:42" ht="15.75" customHeight="1">
      <c r="A260" s="61"/>
      <c r="B260" s="60"/>
      <c r="C260" s="60"/>
      <c r="D260" s="60"/>
      <c r="E260" s="60"/>
      <c r="F260" s="60"/>
      <c r="G260" s="60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</row>
    <row r="261" spans="1:42" ht="15.75" customHeight="1">
      <c r="A261" s="61"/>
      <c r="B261" s="60"/>
      <c r="C261" s="60"/>
      <c r="D261" s="60"/>
      <c r="E261" s="60"/>
      <c r="F261" s="60"/>
      <c r="G261" s="60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</row>
    <row r="262" spans="1:42" ht="15.75" customHeight="1">
      <c r="A262" s="61"/>
      <c r="B262" s="60"/>
      <c r="C262" s="60"/>
      <c r="D262" s="60"/>
      <c r="E262" s="60"/>
      <c r="F262" s="60"/>
      <c r="G262" s="60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</row>
    <row r="263" spans="1:42" ht="15.75" customHeight="1">
      <c r="A263" s="61"/>
      <c r="B263" s="60"/>
      <c r="C263" s="60"/>
      <c r="D263" s="60"/>
      <c r="E263" s="60"/>
      <c r="F263" s="60"/>
      <c r="G263" s="60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</row>
    <row r="264" spans="1:42" ht="15.75" customHeight="1">
      <c r="A264" s="61"/>
      <c r="B264" s="60"/>
      <c r="C264" s="60"/>
      <c r="D264" s="60"/>
      <c r="E264" s="60"/>
      <c r="F264" s="60"/>
      <c r="G264" s="60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</row>
    <row r="265" spans="1:42" ht="15.75" customHeight="1">
      <c r="A265" s="61"/>
      <c r="B265" s="60"/>
      <c r="C265" s="60"/>
      <c r="D265" s="60"/>
      <c r="E265" s="60"/>
      <c r="F265" s="60"/>
      <c r="G265" s="60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</row>
    <row r="266" spans="1:42" ht="15.75" customHeight="1">
      <c r="A266" s="61"/>
      <c r="B266" s="60"/>
      <c r="C266" s="60"/>
      <c r="D266" s="60"/>
      <c r="E266" s="60"/>
      <c r="F266" s="60"/>
      <c r="G266" s="60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</row>
    <row r="267" spans="1:42" ht="15.75" customHeight="1">
      <c r="A267" s="61"/>
      <c r="B267" s="60"/>
      <c r="C267" s="60"/>
      <c r="D267" s="60"/>
      <c r="E267" s="60"/>
      <c r="F267" s="60"/>
      <c r="G267" s="60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</row>
    <row r="268" spans="1:42" ht="15.75" customHeight="1">
      <c r="A268" s="61"/>
      <c r="B268" s="60"/>
      <c r="C268" s="60"/>
      <c r="D268" s="60"/>
      <c r="E268" s="60"/>
      <c r="F268" s="60"/>
      <c r="G268" s="60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</row>
    <row r="269" spans="1:42" ht="15.75" customHeight="1">
      <c r="A269" s="61"/>
      <c r="B269" s="60"/>
      <c r="C269" s="60"/>
      <c r="D269" s="60"/>
      <c r="E269" s="60"/>
      <c r="F269" s="60"/>
      <c r="G269" s="60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</row>
    <row r="270" spans="1:42" ht="15.75" customHeight="1">
      <c r="A270" s="61"/>
      <c r="B270" s="60"/>
      <c r="C270" s="60"/>
      <c r="D270" s="60"/>
      <c r="E270" s="60"/>
      <c r="F270" s="60"/>
      <c r="G270" s="60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</row>
    <row r="271" spans="1:42" ht="15.75" customHeight="1">
      <c r="A271" s="61"/>
      <c r="B271" s="60"/>
      <c r="C271" s="60"/>
      <c r="D271" s="60"/>
      <c r="E271" s="60"/>
      <c r="F271" s="60"/>
      <c r="G271" s="60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</row>
    <row r="272" spans="1:42" ht="15.75" customHeight="1">
      <c r="A272" s="61"/>
      <c r="B272" s="60"/>
      <c r="C272" s="60"/>
      <c r="D272" s="60"/>
      <c r="E272" s="60"/>
      <c r="F272" s="60"/>
      <c r="G272" s="60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</row>
    <row r="273" spans="1:42" ht="15.75" customHeight="1">
      <c r="A273" s="61"/>
      <c r="B273" s="60"/>
      <c r="C273" s="60"/>
      <c r="D273" s="60"/>
      <c r="E273" s="60"/>
      <c r="F273" s="60"/>
      <c r="G273" s="60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</row>
    <row r="274" spans="1:42" ht="15.75" customHeight="1">
      <c r="A274" s="61"/>
      <c r="B274" s="60"/>
      <c r="C274" s="60"/>
      <c r="D274" s="60"/>
      <c r="E274" s="60"/>
      <c r="F274" s="60"/>
      <c r="G274" s="60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</row>
    <row r="275" spans="1:42" ht="15.75" customHeight="1">
      <c r="A275" s="61"/>
      <c r="B275" s="60"/>
      <c r="C275" s="60"/>
      <c r="D275" s="60"/>
      <c r="E275" s="60"/>
      <c r="F275" s="60"/>
      <c r="G275" s="60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</row>
    <row r="276" spans="1:42" ht="15.75" customHeight="1">
      <c r="A276" s="61"/>
      <c r="B276" s="60"/>
      <c r="C276" s="60"/>
      <c r="D276" s="60"/>
      <c r="E276" s="60"/>
      <c r="F276" s="60"/>
      <c r="G276" s="60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</row>
    <row r="277" spans="1:42" ht="15.75" customHeight="1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</row>
    <row r="278" spans="1:42" ht="15.75" customHeight="1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</row>
    <row r="279" spans="1:42" ht="15.75" customHeight="1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</row>
    <row r="280" spans="1:42" ht="15.75" customHeight="1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</row>
    <row r="281" spans="1:42" ht="15.75" customHeight="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</row>
    <row r="282" spans="1:42" ht="15.75" customHeight="1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</row>
    <row r="283" spans="1:42" ht="15.75" customHeight="1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</row>
    <row r="284" spans="1:42" ht="15.75" customHeight="1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</row>
    <row r="285" spans="1:42" ht="15.75" customHeight="1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</row>
    <row r="286" spans="1:42" ht="15.75" customHeight="1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</row>
    <row r="287" spans="1:42" ht="15.75" customHeight="1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</row>
    <row r="288" spans="1:42" ht="15.75" customHeight="1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</row>
    <row r="289" spans="1:42" ht="15.75" customHeight="1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</row>
    <row r="290" spans="1:42" ht="15.75" customHeight="1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1"/>
      <c r="AN290" s="61"/>
      <c r="AO290" s="61"/>
      <c r="AP290" s="61"/>
    </row>
    <row r="291" spans="1:42" ht="15.75" customHeight="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  <c r="AO291" s="61"/>
      <c r="AP291" s="61"/>
    </row>
    <row r="292" spans="1:42" ht="15.75" customHeight="1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</row>
    <row r="293" spans="1:42" ht="15.75" customHeight="1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</row>
    <row r="294" spans="1:42" ht="15.75" customHeight="1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</row>
    <row r="295" spans="1:42" ht="15.75" customHeight="1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</row>
    <row r="296" spans="1:42" ht="15.75" customHeight="1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</row>
    <row r="297" spans="1:42" ht="15.75" customHeight="1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</row>
    <row r="298" spans="1:42" ht="15.75" customHeight="1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</row>
    <row r="299" spans="1:42" ht="15.75" customHeight="1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</row>
    <row r="300" spans="1:42" ht="15.75" customHeight="1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</row>
    <row r="301" spans="1:42" ht="15.75" customHeight="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</row>
    <row r="302" spans="1:42" ht="15.75" customHeight="1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</row>
    <row r="303" spans="1:42" ht="15.75" customHeight="1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</row>
    <row r="304" spans="1:42" ht="15.75" customHeight="1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</row>
    <row r="305" spans="1:42" ht="15.75" customHeight="1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</row>
    <row r="306" spans="1:42" ht="15.75" customHeight="1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</row>
    <row r="307" spans="1:42" ht="15.75" customHeight="1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</row>
    <row r="308" spans="1:42" ht="15.75" customHeight="1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</row>
    <row r="309" spans="1:42" ht="15.75" customHeight="1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</row>
    <row r="310" spans="1:42" ht="15.75" customHeight="1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</row>
    <row r="311" spans="1:42" ht="15.75" customHeight="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</row>
    <row r="312" spans="1:42" ht="15.75" customHeight="1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1"/>
      <c r="AN312" s="61"/>
      <c r="AO312" s="61"/>
      <c r="AP312" s="61"/>
    </row>
    <row r="313" spans="1:42" ht="15.75" customHeight="1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1"/>
      <c r="AM313" s="61"/>
      <c r="AN313" s="61"/>
      <c r="AO313" s="61"/>
      <c r="AP313" s="61"/>
    </row>
    <row r="314" spans="1:42" ht="15.75" customHeight="1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</row>
    <row r="315" spans="1:42" ht="15.75" customHeight="1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</row>
    <row r="316" spans="1:42" ht="15.75" customHeight="1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</row>
    <row r="317" spans="1:42" ht="15.75" customHeight="1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</row>
    <row r="318" spans="1:42" ht="15.75" customHeight="1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</row>
    <row r="319" spans="1:42" ht="15.75" customHeight="1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</row>
    <row r="320" spans="1:42" ht="15.75" customHeight="1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</row>
    <row r="321" spans="1:42" ht="15.75" customHeight="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1"/>
      <c r="AN321" s="61"/>
      <c r="AO321" s="61"/>
      <c r="AP321" s="61"/>
    </row>
    <row r="322" spans="1:42" ht="15.75" customHeight="1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</row>
    <row r="323" spans="1:42" ht="15.75" customHeight="1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</row>
    <row r="324" spans="1:42" ht="15.75" customHeight="1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</row>
    <row r="325" spans="1:42" ht="15.75" customHeight="1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</row>
    <row r="326" spans="1:42" ht="15.75" customHeight="1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</row>
    <row r="327" spans="1:42" ht="15.75" customHeight="1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</row>
    <row r="328" spans="1:42" ht="15.75" customHeight="1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</row>
    <row r="329" spans="1:42" ht="15.75" customHeight="1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</row>
    <row r="330" spans="1:42" ht="15.75" customHeight="1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  <c r="AO330" s="61"/>
      <c r="AP330" s="61"/>
    </row>
    <row r="331" spans="1:42" ht="15.75" customHeight="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</row>
    <row r="332" spans="1:42" ht="15.75" customHeight="1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</row>
    <row r="333" spans="1:42" ht="15.75" customHeight="1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</row>
    <row r="334" spans="1:42" ht="15.75" customHeight="1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</row>
    <row r="335" spans="1:42" ht="15.75" customHeight="1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</row>
    <row r="336" spans="1:42" ht="15.75" customHeight="1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</row>
    <row r="337" spans="1:42" ht="15.75" customHeight="1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  <c r="AO337" s="61"/>
      <c r="AP337" s="61"/>
    </row>
    <row r="338" spans="1:42" ht="15.75" customHeight="1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1"/>
      <c r="AN338" s="61"/>
      <c r="AO338" s="61"/>
      <c r="AP338" s="61"/>
    </row>
    <row r="339" spans="1:42" ht="15.75" customHeight="1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</row>
    <row r="340" spans="1:42" ht="15.75" customHeight="1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</row>
    <row r="341" spans="1:42" ht="15.75" customHeight="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1"/>
      <c r="AM341" s="61"/>
      <c r="AN341" s="61"/>
      <c r="AO341" s="61"/>
      <c r="AP341" s="61"/>
    </row>
    <row r="342" spans="1:42" ht="15.75" customHeight="1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1"/>
      <c r="AN342" s="61"/>
      <c r="AO342" s="61"/>
      <c r="AP342" s="61"/>
    </row>
    <row r="343" spans="1:42" ht="15.75" customHeight="1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</row>
    <row r="344" spans="1:42" ht="15.75" customHeight="1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</row>
    <row r="345" spans="1:42" ht="15.75" customHeight="1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</row>
    <row r="346" spans="1:42" ht="15.75" customHeight="1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</row>
    <row r="347" spans="1:42" ht="15.75" customHeight="1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</row>
    <row r="348" spans="1:42" ht="15.75" customHeight="1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1"/>
      <c r="AN348" s="61"/>
      <c r="AO348" s="61"/>
      <c r="AP348" s="61"/>
    </row>
    <row r="349" spans="1:42" ht="15.75" customHeight="1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1"/>
      <c r="AN349" s="61"/>
      <c r="AO349" s="61"/>
      <c r="AP349" s="61"/>
    </row>
    <row r="350" spans="1:42" ht="15.75" customHeight="1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</row>
    <row r="351" spans="1:42" ht="15.75" customHeight="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</row>
    <row r="352" spans="1:42" ht="15.75" customHeight="1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1"/>
      <c r="AM352" s="61"/>
      <c r="AN352" s="61"/>
      <c r="AO352" s="61"/>
      <c r="AP352" s="61"/>
    </row>
    <row r="353" spans="1:42" ht="15.75" customHeight="1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1"/>
      <c r="AN353" s="61"/>
      <c r="AO353" s="61"/>
      <c r="AP353" s="61"/>
    </row>
    <row r="354" spans="1:42" ht="15.75" customHeight="1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  <c r="AO354" s="61"/>
      <c r="AP354" s="61"/>
    </row>
    <row r="355" spans="1:42" ht="15.75" customHeight="1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</row>
    <row r="356" spans="1:42" ht="15.75" customHeight="1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</row>
    <row r="357" spans="1:42" ht="15.75" customHeight="1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</row>
    <row r="358" spans="1:42" ht="15.75" customHeight="1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</row>
    <row r="359" spans="1:42" ht="15.75" customHeight="1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</row>
    <row r="360" spans="1:42" ht="15.75" customHeight="1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</row>
    <row r="361" spans="1:42" ht="15.75" customHeight="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</row>
    <row r="362" spans="1:42" ht="15.75" customHeight="1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</row>
    <row r="363" spans="1:42" ht="15.75" customHeight="1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</row>
    <row r="364" spans="1:42" ht="15.75" customHeight="1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</row>
    <row r="365" spans="1:42" ht="15.75" customHeight="1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</row>
    <row r="366" spans="1:42" ht="15.75" customHeight="1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</row>
    <row r="367" spans="1:42" ht="15.75" customHeight="1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</row>
    <row r="368" spans="1:42" ht="15.75" customHeight="1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</row>
    <row r="369" spans="1:42" ht="15.75" customHeight="1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</row>
    <row r="370" spans="1:42" ht="15.75" customHeight="1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</row>
    <row r="371" spans="1:42" ht="15.75" customHeight="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</row>
    <row r="372" spans="1:42" ht="15.75" customHeight="1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</row>
    <row r="373" spans="1:42" ht="15.75" customHeight="1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</row>
    <row r="374" spans="1:42" ht="15.75" customHeight="1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</row>
    <row r="375" spans="1:42" ht="15.75" customHeight="1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</row>
    <row r="376" spans="1:42" ht="15.75" customHeight="1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</row>
    <row r="377" spans="1:42" ht="15.75" customHeight="1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</row>
    <row r="378" spans="1:42" ht="15.75" customHeight="1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</row>
    <row r="379" spans="1:42" ht="15.75" customHeight="1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</row>
    <row r="380" spans="1:42" ht="15.75" customHeight="1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</row>
    <row r="381" spans="1:42" ht="15.75" customHeight="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</row>
    <row r="382" spans="1:42" ht="15.75" customHeight="1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</row>
    <row r="383" spans="1:42" ht="15.75" customHeight="1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</row>
    <row r="384" spans="1:42" ht="15.75" customHeight="1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</row>
    <row r="385" spans="1:42" ht="15.75" customHeight="1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</row>
    <row r="386" spans="1:42" ht="15.75" customHeight="1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</row>
    <row r="387" spans="1:42" ht="15.75" customHeight="1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</row>
    <row r="388" spans="1:42" ht="15.75" customHeight="1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</row>
    <row r="389" spans="1:42" ht="15.75" customHeight="1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</row>
    <row r="390" spans="1:42" ht="15.75" customHeight="1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  <c r="AP390" s="61"/>
    </row>
    <row r="391" spans="1:42" ht="15.75" customHeight="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</row>
    <row r="392" spans="1:42" ht="15.75" customHeight="1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  <c r="AO392" s="61"/>
      <c r="AP392" s="61"/>
    </row>
    <row r="393" spans="1:42" ht="15.75" customHeight="1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</row>
    <row r="394" spans="1:42" ht="15.75" customHeight="1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</row>
    <row r="395" spans="1:42" ht="15.75" customHeight="1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  <c r="AO395" s="61"/>
      <c r="AP395" s="61"/>
    </row>
    <row r="396" spans="1:42" ht="15.75" customHeight="1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  <c r="AP396" s="61"/>
    </row>
    <row r="397" spans="1:42" ht="15.75" customHeight="1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  <c r="AO397" s="61"/>
      <c r="AP397" s="61"/>
    </row>
    <row r="398" spans="1:42" ht="15.75" customHeight="1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  <c r="AO398" s="61"/>
      <c r="AP398" s="61"/>
    </row>
    <row r="399" spans="1:42" ht="15.75" customHeight="1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</row>
    <row r="400" spans="1:42" ht="15.75" customHeight="1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</row>
    <row r="401" spans="1:42" ht="15.75" customHeight="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</row>
    <row r="402" spans="1:42" ht="15.75" customHeight="1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</row>
    <row r="403" spans="1:42" ht="15.75" customHeight="1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</row>
    <row r="404" spans="1:42" ht="15.75" customHeight="1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</row>
    <row r="405" spans="1:42" ht="15.75" customHeight="1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</row>
    <row r="406" spans="1:42" ht="15.75" customHeight="1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</row>
    <row r="407" spans="1:42" ht="15.75" customHeight="1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</row>
    <row r="408" spans="1:42" ht="15.75" customHeight="1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</row>
    <row r="409" spans="1:42" ht="15.75" customHeight="1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</row>
    <row r="410" spans="1:42" ht="15.75" customHeight="1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</row>
    <row r="411" spans="1:42" ht="15.75" customHeight="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</row>
    <row r="412" spans="1:42" ht="15.75" customHeight="1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</row>
    <row r="413" spans="1:42" ht="15.75" customHeight="1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</row>
    <row r="414" spans="1:42" ht="15.75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</row>
    <row r="415" spans="1:42" ht="15.75" customHeight="1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</row>
    <row r="416" spans="1:42" ht="15.75" customHeight="1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</row>
    <row r="417" spans="1:42" ht="15.75" customHeight="1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</row>
    <row r="418" spans="1:42" ht="15.75" customHeight="1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</row>
    <row r="419" spans="1:42" ht="15.75" customHeight="1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</row>
    <row r="420" spans="1:42" ht="15.75" customHeight="1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</row>
    <row r="421" spans="1:42" ht="15.75" customHeight="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  <c r="AO421" s="61"/>
      <c r="AP421" s="61"/>
    </row>
    <row r="422" spans="1:42" ht="15.75" customHeight="1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</row>
    <row r="423" spans="1:42" ht="15.75" customHeight="1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</row>
    <row r="424" spans="1:42" ht="15.75" customHeight="1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</row>
    <row r="425" spans="1:42" ht="15.75" customHeight="1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</row>
    <row r="426" spans="1:42" ht="15.75" customHeight="1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  <c r="AO426" s="61"/>
      <c r="AP426" s="61"/>
    </row>
    <row r="427" spans="1:42" ht="15.75" customHeight="1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</row>
    <row r="428" spans="1:42" ht="15.75" customHeight="1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  <c r="AO428" s="61"/>
      <c r="AP428" s="61"/>
    </row>
    <row r="429" spans="1:42" ht="15.75" customHeight="1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  <c r="AO429" s="61"/>
      <c r="AP429" s="61"/>
    </row>
    <row r="430" spans="1:42" ht="15.75" customHeight="1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</row>
    <row r="431" spans="1:42" ht="15.75" customHeight="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  <c r="AO431" s="61"/>
      <c r="AP431" s="61"/>
    </row>
    <row r="432" spans="1:42" ht="15.75" customHeight="1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</row>
    <row r="433" spans="1:42" ht="15.75" customHeight="1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</row>
    <row r="434" spans="1:42" ht="15.75" customHeight="1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</row>
    <row r="435" spans="1:42" ht="15.75" customHeight="1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</row>
    <row r="436" spans="1:42" ht="15.75" customHeight="1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</row>
    <row r="437" spans="1:42" ht="15.75" customHeight="1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</row>
    <row r="438" spans="1:42" ht="15.75" customHeight="1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</row>
    <row r="439" spans="1:42" ht="15.75" customHeight="1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</row>
    <row r="440" spans="1:42" ht="15.75" customHeight="1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</row>
    <row r="441" spans="1:42" ht="15.75" customHeight="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</row>
    <row r="442" spans="1:42" ht="15.75" customHeight="1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</row>
    <row r="443" spans="1:42" ht="15.75" customHeight="1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</row>
    <row r="444" spans="1:42" ht="15.75" customHeight="1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</row>
    <row r="445" spans="1:42" ht="15.75" customHeight="1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</row>
    <row r="446" spans="1:42" ht="15.75" customHeight="1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</row>
    <row r="447" spans="1:42" ht="15.75" customHeight="1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</row>
    <row r="448" spans="1:42" ht="15.75" customHeight="1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</row>
    <row r="449" spans="1:42" ht="15.75" customHeight="1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</row>
    <row r="450" spans="1:42" ht="15.75" customHeight="1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</row>
    <row r="451" spans="1:42" ht="15.75" customHeight="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</row>
    <row r="452" spans="1:42" ht="15.75" customHeight="1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</row>
    <row r="453" spans="1:42" ht="15.75" customHeight="1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</row>
    <row r="454" spans="1:42" ht="15.75" customHeight="1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</row>
    <row r="455" spans="1:42" ht="15.75" customHeight="1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</row>
    <row r="456" spans="1:42" ht="15.75" customHeight="1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</row>
    <row r="457" spans="1:42" ht="15.75" customHeight="1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</row>
    <row r="458" spans="1:42" ht="15.75" customHeight="1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 s="61"/>
      <c r="AM458" s="61"/>
      <c r="AN458" s="61"/>
      <c r="AO458" s="61"/>
      <c r="AP458" s="61"/>
    </row>
    <row r="459" spans="1:42" ht="15.75" customHeight="1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</row>
    <row r="460" spans="1:42" ht="15.75" customHeight="1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</row>
    <row r="461" spans="1:42" ht="15.75" customHeight="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 s="61"/>
      <c r="AM461" s="61"/>
      <c r="AN461" s="61"/>
      <c r="AO461" s="61"/>
      <c r="AP461" s="61"/>
    </row>
    <row r="462" spans="1:42" ht="15.75" customHeight="1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</row>
    <row r="463" spans="1:42" ht="15.75" customHeight="1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</row>
    <row r="464" spans="1:42" ht="15.75" customHeight="1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 s="61"/>
      <c r="AM464" s="61"/>
      <c r="AN464" s="61"/>
      <c r="AO464" s="61"/>
      <c r="AP464" s="61"/>
    </row>
    <row r="465" spans="1:42" ht="15.75" customHeight="1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  <c r="AO465" s="61"/>
      <c r="AP465" s="61"/>
    </row>
    <row r="466" spans="1:42" ht="15.75" customHeight="1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</row>
    <row r="467" spans="1:42" ht="15.75" customHeight="1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</row>
    <row r="468" spans="1:42" ht="15.75" customHeight="1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</row>
    <row r="469" spans="1:42" ht="15.75" customHeight="1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</row>
    <row r="470" spans="1:42" ht="15.75" customHeight="1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</row>
    <row r="471" spans="1:42" ht="15.75" customHeight="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</row>
    <row r="472" spans="1:42" ht="15.75" customHeight="1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</row>
    <row r="473" spans="1:42" ht="15.75" customHeight="1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</row>
    <row r="474" spans="1:42" ht="15.75" customHeight="1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</row>
    <row r="475" spans="1:42" ht="15.75" customHeight="1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</row>
    <row r="476" spans="1:42" ht="15.75" customHeight="1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</row>
    <row r="477" spans="1:42" ht="15.75" customHeight="1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</row>
    <row r="478" spans="1:42" ht="15.75" customHeight="1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</row>
    <row r="479" spans="1:42" ht="15.75" customHeight="1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</row>
    <row r="480" spans="1:42" ht="15.75" customHeight="1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</row>
    <row r="481" spans="1:42" ht="15.75" customHeight="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  <c r="AO481" s="61"/>
      <c r="AP481" s="61"/>
    </row>
    <row r="482" spans="1:42" ht="15.75" customHeight="1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  <c r="AO482" s="61"/>
      <c r="AP482" s="61"/>
    </row>
    <row r="483" spans="1:42" ht="15.75" customHeight="1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  <c r="AI483" s="61"/>
      <c r="AJ483" s="61"/>
      <c r="AK483" s="61"/>
      <c r="AL483" s="61"/>
      <c r="AM483" s="61"/>
      <c r="AN483" s="61"/>
      <c r="AO483" s="61"/>
      <c r="AP483" s="61"/>
    </row>
    <row r="484" spans="1:42" ht="15.75" customHeight="1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</row>
    <row r="485" spans="1:42" ht="15.75" customHeight="1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  <c r="AI485" s="61"/>
      <c r="AJ485" s="61"/>
      <c r="AK485" s="61"/>
      <c r="AL485" s="61"/>
      <c r="AM485" s="61"/>
      <c r="AN485" s="61"/>
      <c r="AO485" s="61"/>
      <c r="AP485" s="61"/>
    </row>
    <row r="486" spans="1:42" ht="15.75" customHeight="1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</row>
    <row r="487" spans="1:42" ht="15.75" customHeight="1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</row>
    <row r="488" spans="1:42" ht="15.75" customHeight="1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</row>
    <row r="489" spans="1:42" ht="15.75" customHeight="1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</row>
    <row r="490" spans="1:42" ht="15.75" customHeight="1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</row>
    <row r="491" spans="1:42" ht="15.75" customHeight="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  <c r="AI491" s="61"/>
      <c r="AJ491" s="61"/>
      <c r="AK491" s="61"/>
      <c r="AL491" s="61"/>
      <c r="AM491" s="61"/>
      <c r="AN491" s="61"/>
      <c r="AO491" s="61"/>
      <c r="AP491" s="61"/>
    </row>
    <row r="492" spans="1:42" ht="15.75" customHeight="1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  <c r="AI492" s="61"/>
      <c r="AJ492" s="61"/>
      <c r="AK492" s="61"/>
      <c r="AL492" s="61"/>
      <c r="AM492" s="61"/>
      <c r="AN492" s="61"/>
      <c r="AO492" s="61"/>
      <c r="AP492" s="61"/>
    </row>
    <row r="493" spans="1:42" ht="15.75" customHeight="1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</row>
    <row r="494" spans="1:42" ht="15.75" customHeight="1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</row>
    <row r="495" spans="1:42" ht="15.75" customHeight="1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</row>
    <row r="496" spans="1:42" ht="15.75" customHeight="1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</row>
    <row r="497" spans="1:42" ht="15.75" customHeight="1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</row>
    <row r="498" spans="1:42" ht="15.75" customHeight="1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</row>
    <row r="499" spans="1:42" ht="15.75" customHeight="1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  <c r="AI499" s="61"/>
      <c r="AJ499" s="61"/>
      <c r="AK499" s="61"/>
      <c r="AL499" s="61"/>
      <c r="AM499" s="61"/>
      <c r="AN499" s="61"/>
      <c r="AO499" s="61"/>
      <c r="AP499" s="61"/>
    </row>
    <row r="500" spans="1:42" ht="15.75" customHeight="1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  <c r="AI500" s="61"/>
      <c r="AJ500" s="61"/>
      <c r="AK500" s="61"/>
      <c r="AL500" s="61"/>
      <c r="AM500" s="61"/>
      <c r="AN500" s="61"/>
      <c r="AO500" s="61"/>
      <c r="AP500" s="61"/>
    </row>
    <row r="501" spans="1:42" ht="15.75" customHeight="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</row>
    <row r="502" spans="1:42" ht="15.75" customHeight="1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</row>
    <row r="503" spans="1:42" ht="15.75" customHeight="1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</row>
    <row r="504" spans="1:42" ht="15.75" customHeight="1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</row>
    <row r="505" spans="1:42" ht="15.75" customHeight="1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</row>
    <row r="506" spans="1:42" ht="15.75" customHeight="1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</row>
    <row r="507" spans="1:42" ht="15.75" customHeight="1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</row>
    <row r="508" spans="1:42" ht="15.75" customHeight="1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</row>
    <row r="509" spans="1:42" ht="15.75" customHeight="1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</row>
    <row r="510" spans="1:42" ht="15.75" customHeight="1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</row>
    <row r="511" spans="1:42" ht="15.75" customHeight="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</row>
    <row r="512" spans="1:42" ht="15.75" customHeight="1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</row>
    <row r="513" spans="1:42" ht="15.75" customHeight="1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</row>
    <row r="514" spans="1:42" ht="15.75" customHeight="1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</row>
    <row r="515" spans="1:42" ht="15.75" customHeight="1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</row>
    <row r="516" spans="1:42" ht="15.75" customHeight="1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</row>
    <row r="517" spans="1:42" ht="15.75" customHeight="1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</row>
    <row r="518" spans="1:42" ht="15.75" customHeight="1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</row>
    <row r="519" spans="1:42" ht="15.75" customHeight="1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</row>
    <row r="520" spans="1:42" ht="15.75" customHeight="1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</row>
    <row r="521" spans="1:42" ht="15.75" customHeight="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</row>
    <row r="522" spans="1:42" ht="15.75" customHeight="1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</row>
    <row r="523" spans="1:42" ht="15.75" customHeight="1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</row>
    <row r="524" spans="1:42" ht="15.75" customHeight="1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</row>
    <row r="525" spans="1:42" ht="15.75" customHeight="1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</row>
    <row r="526" spans="1:42" ht="15.75" customHeight="1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</row>
    <row r="527" spans="1:42" ht="15.75" customHeight="1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</row>
    <row r="528" spans="1:42" ht="15.75" customHeight="1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</row>
    <row r="529" spans="1:42" ht="15.75" customHeight="1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</row>
    <row r="530" spans="1:42" ht="15.75" customHeight="1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</row>
    <row r="531" spans="1:42" ht="15.75" customHeight="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</row>
    <row r="532" spans="1:42" ht="15.75" customHeight="1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</row>
    <row r="533" spans="1:42" ht="15.75" customHeight="1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</row>
    <row r="534" spans="1:42" ht="15.75" customHeight="1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  <c r="AE534" s="61"/>
      <c r="AF534" s="61"/>
      <c r="AG534" s="61"/>
      <c r="AH534" s="61"/>
      <c r="AI534" s="61"/>
      <c r="AJ534" s="61"/>
      <c r="AK534" s="61"/>
      <c r="AL534" s="61"/>
      <c r="AM534" s="61"/>
      <c r="AN534" s="61"/>
      <c r="AO534" s="61"/>
      <c r="AP534" s="61"/>
    </row>
    <row r="535" spans="1:42" ht="15.75" customHeight="1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  <c r="AG535" s="61"/>
      <c r="AH535" s="61"/>
      <c r="AI535" s="61"/>
      <c r="AJ535" s="61"/>
      <c r="AK535" s="61"/>
      <c r="AL535" s="61"/>
      <c r="AM535" s="61"/>
      <c r="AN535" s="61"/>
      <c r="AO535" s="61"/>
      <c r="AP535" s="61"/>
    </row>
    <row r="536" spans="1:42" ht="15.75" customHeight="1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  <c r="AE536" s="61"/>
      <c r="AF536" s="61"/>
      <c r="AG536" s="61"/>
      <c r="AH536" s="61"/>
      <c r="AI536" s="61"/>
      <c r="AJ536" s="61"/>
      <c r="AK536" s="61"/>
      <c r="AL536" s="61"/>
      <c r="AM536" s="61"/>
      <c r="AN536" s="61"/>
      <c r="AO536" s="61"/>
      <c r="AP536" s="61"/>
    </row>
    <row r="537" spans="1:42" ht="15.75" customHeight="1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  <c r="AE537" s="61"/>
      <c r="AF537" s="61"/>
      <c r="AG537" s="61"/>
      <c r="AH537" s="61"/>
      <c r="AI537" s="61"/>
      <c r="AJ537" s="61"/>
      <c r="AK537" s="61"/>
      <c r="AL537" s="61"/>
      <c r="AM537" s="61"/>
      <c r="AN537" s="61"/>
      <c r="AO537" s="61"/>
      <c r="AP537" s="61"/>
    </row>
    <row r="538" spans="1:42" ht="15.75" customHeight="1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  <c r="AG538" s="61"/>
      <c r="AH538" s="61"/>
      <c r="AI538" s="61"/>
      <c r="AJ538" s="61"/>
      <c r="AK538" s="61"/>
      <c r="AL538" s="61"/>
      <c r="AM538" s="61"/>
      <c r="AN538" s="61"/>
      <c r="AO538" s="61"/>
      <c r="AP538" s="61"/>
    </row>
    <row r="539" spans="1:42" ht="15.75" customHeight="1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  <c r="AE539" s="61"/>
      <c r="AF539" s="61"/>
      <c r="AG539" s="61"/>
      <c r="AH539" s="61"/>
      <c r="AI539" s="61"/>
      <c r="AJ539" s="61"/>
      <c r="AK539" s="61"/>
      <c r="AL539" s="61"/>
      <c r="AM539" s="61"/>
      <c r="AN539" s="61"/>
      <c r="AO539" s="61"/>
      <c r="AP539" s="61"/>
    </row>
    <row r="540" spans="1:42" ht="15.75" customHeight="1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  <c r="AG540" s="61"/>
      <c r="AH540" s="61"/>
      <c r="AI540" s="61"/>
      <c r="AJ540" s="61"/>
      <c r="AK540" s="61"/>
      <c r="AL540" s="61"/>
      <c r="AM540" s="61"/>
      <c r="AN540" s="61"/>
      <c r="AO540" s="61"/>
      <c r="AP540" s="61"/>
    </row>
    <row r="541" spans="1:42" ht="15.75" customHeight="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  <c r="AE541" s="61"/>
      <c r="AF541" s="61"/>
      <c r="AG541" s="61"/>
      <c r="AH541" s="61"/>
      <c r="AI541" s="61"/>
      <c r="AJ541" s="61"/>
      <c r="AK541" s="61"/>
      <c r="AL541" s="61"/>
      <c r="AM541" s="61"/>
      <c r="AN541" s="61"/>
      <c r="AO541" s="61"/>
      <c r="AP541" s="61"/>
    </row>
    <row r="542" spans="1:42" ht="15.75" customHeight="1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  <c r="AE542" s="61"/>
      <c r="AF542" s="61"/>
      <c r="AG542" s="61"/>
      <c r="AH542" s="61"/>
      <c r="AI542" s="61"/>
      <c r="AJ542" s="61"/>
      <c r="AK542" s="61"/>
      <c r="AL542" s="61"/>
      <c r="AM542" s="61"/>
      <c r="AN542" s="61"/>
      <c r="AO542" s="61"/>
      <c r="AP542" s="61"/>
    </row>
    <row r="543" spans="1:42" ht="15.75" customHeight="1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  <c r="AE543" s="61"/>
      <c r="AF543" s="61"/>
      <c r="AG543" s="61"/>
      <c r="AH543" s="61"/>
      <c r="AI543" s="61"/>
      <c r="AJ543" s="61"/>
      <c r="AK543" s="61"/>
      <c r="AL543" s="61"/>
      <c r="AM543" s="61"/>
      <c r="AN543" s="61"/>
      <c r="AO543" s="61"/>
      <c r="AP543" s="61"/>
    </row>
    <row r="544" spans="1:42" ht="15.75" customHeight="1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  <c r="AE544" s="61"/>
      <c r="AF544" s="61"/>
      <c r="AG544" s="61"/>
      <c r="AH544" s="61"/>
      <c r="AI544" s="61"/>
      <c r="AJ544" s="61"/>
      <c r="AK544" s="61"/>
      <c r="AL544" s="61"/>
      <c r="AM544" s="61"/>
      <c r="AN544" s="61"/>
      <c r="AO544" s="61"/>
      <c r="AP544" s="61"/>
    </row>
    <row r="545" spans="1:42" ht="15.75" customHeight="1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  <c r="AE545" s="61"/>
      <c r="AF545" s="61"/>
      <c r="AG545" s="61"/>
      <c r="AH545" s="61"/>
      <c r="AI545" s="61"/>
      <c r="AJ545" s="61"/>
      <c r="AK545" s="61"/>
      <c r="AL545" s="61"/>
      <c r="AM545" s="61"/>
      <c r="AN545" s="61"/>
      <c r="AO545" s="61"/>
      <c r="AP545" s="61"/>
    </row>
    <row r="546" spans="1:42" ht="15.75" customHeight="1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  <c r="AE546" s="61"/>
      <c r="AF546" s="61"/>
      <c r="AG546" s="61"/>
      <c r="AH546" s="61"/>
      <c r="AI546" s="61"/>
      <c r="AJ546" s="61"/>
      <c r="AK546" s="61"/>
      <c r="AL546" s="61"/>
      <c r="AM546" s="61"/>
      <c r="AN546" s="61"/>
      <c r="AO546" s="61"/>
      <c r="AP546" s="61"/>
    </row>
    <row r="547" spans="1:42" ht="15.75" customHeight="1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61"/>
      <c r="AG547" s="61"/>
      <c r="AH547" s="61"/>
      <c r="AI547" s="61"/>
      <c r="AJ547" s="61"/>
      <c r="AK547" s="61"/>
      <c r="AL547" s="61"/>
      <c r="AM547" s="61"/>
      <c r="AN547" s="61"/>
      <c r="AO547" s="61"/>
      <c r="AP547" s="61"/>
    </row>
    <row r="548" spans="1:42" ht="15.75" customHeight="1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  <c r="AE548" s="61"/>
      <c r="AF548" s="61"/>
      <c r="AG548" s="61"/>
      <c r="AH548" s="61"/>
      <c r="AI548" s="61"/>
      <c r="AJ548" s="61"/>
      <c r="AK548" s="61"/>
      <c r="AL548" s="61"/>
      <c r="AM548" s="61"/>
      <c r="AN548" s="61"/>
      <c r="AO548" s="61"/>
      <c r="AP548" s="61"/>
    </row>
    <row r="549" spans="1:42" ht="15.75" customHeight="1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  <c r="AE549" s="61"/>
      <c r="AF549" s="61"/>
      <c r="AG549" s="61"/>
      <c r="AH549" s="61"/>
      <c r="AI549" s="61"/>
      <c r="AJ549" s="61"/>
      <c r="AK549" s="61"/>
      <c r="AL549" s="61"/>
      <c r="AM549" s="61"/>
      <c r="AN549" s="61"/>
      <c r="AO549" s="61"/>
      <c r="AP549" s="61"/>
    </row>
    <row r="550" spans="1:42" ht="15.75" customHeight="1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  <c r="AE550" s="61"/>
      <c r="AF550" s="61"/>
      <c r="AG550" s="61"/>
      <c r="AH550" s="61"/>
      <c r="AI550" s="61"/>
      <c r="AJ550" s="61"/>
      <c r="AK550" s="61"/>
      <c r="AL550" s="61"/>
      <c r="AM550" s="61"/>
      <c r="AN550" s="61"/>
      <c r="AO550" s="61"/>
      <c r="AP550" s="61"/>
    </row>
    <row r="551" spans="1:42" ht="15.75" customHeight="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  <c r="AE551" s="61"/>
      <c r="AF551" s="61"/>
      <c r="AG551" s="61"/>
      <c r="AH551" s="61"/>
      <c r="AI551" s="61"/>
      <c r="AJ551" s="61"/>
      <c r="AK551" s="61"/>
      <c r="AL551" s="61"/>
      <c r="AM551" s="61"/>
      <c r="AN551" s="61"/>
      <c r="AO551" s="61"/>
      <c r="AP551" s="61"/>
    </row>
    <row r="552" spans="1:42" ht="15.75" customHeight="1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  <c r="AE552" s="61"/>
      <c r="AF552" s="61"/>
      <c r="AG552" s="61"/>
      <c r="AH552" s="61"/>
      <c r="AI552" s="61"/>
      <c r="AJ552" s="61"/>
      <c r="AK552" s="61"/>
      <c r="AL552" s="61"/>
      <c r="AM552" s="61"/>
      <c r="AN552" s="61"/>
      <c r="AO552" s="61"/>
      <c r="AP552" s="61"/>
    </row>
    <row r="553" spans="1:42" ht="15.75" customHeight="1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  <c r="AE553" s="61"/>
      <c r="AF553" s="61"/>
      <c r="AG553" s="61"/>
      <c r="AH553" s="61"/>
      <c r="AI553" s="61"/>
      <c r="AJ553" s="61"/>
      <c r="AK553" s="61"/>
      <c r="AL553" s="61"/>
      <c r="AM553" s="61"/>
      <c r="AN553" s="61"/>
      <c r="AO553" s="61"/>
      <c r="AP553" s="61"/>
    </row>
    <row r="554" spans="1:42" ht="15.75" customHeight="1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  <c r="AE554" s="61"/>
      <c r="AF554" s="61"/>
      <c r="AG554" s="61"/>
      <c r="AH554" s="61"/>
      <c r="AI554" s="61"/>
      <c r="AJ554" s="61"/>
      <c r="AK554" s="61"/>
      <c r="AL554" s="61"/>
      <c r="AM554" s="61"/>
      <c r="AN554" s="61"/>
      <c r="AO554" s="61"/>
      <c r="AP554" s="61"/>
    </row>
    <row r="555" spans="1:42" ht="15.75" customHeight="1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  <c r="AE555" s="61"/>
      <c r="AF555" s="61"/>
      <c r="AG555" s="61"/>
      <c r="AH555" s="61"/>
      <c r="AI555" s="61"/>
      <c r="AJ555" s="61"/>
      <c r="AK555" s="61"/>
      <c r="AL555" s="61"/>
      <c r="AM555" s="61"/>
      <c r="AN555" s="61"/>
      <c r="AO555" s="61"/>
      <c r="AP555" s="61"/>
    </row>
    <row r="556" spans="1:42" ht="15.75" customHeight="1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  <c r="AE556" s="61"/>
      <c r="AF556" s="61"/>
      <c r="AG556" s="61"/>
      <c r="AH556" s="61"/>
      <c r="AI556" s="61"/>
      <c r="AJ556" s="61"/>
      <c r="AK556" s="61"/>
      <c r="AL556" s="61"/>
      <c r="AM556" s="61"/>
      <c r="AN556" s="61"/>
      <c r="AO556" s="61"/>
      <c r="AP556" s="61"/>
    </row>
    <row r="557" spans="1:42" ht="15.75" customHeight="1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  <c r="AE557" s="61"/>
      <c r="AF557" s="61"/>
      <c r="AG557" s="61"/>
      <c r="AH557" s="61"/>
      <c r="AI557" s="61"/>
      <c r="AJ557" s="61"/>
      <c r="AK557" s="61"/>
      <c r="AL557" s="61"/>
      <c r="AM557" s="61"/>
      <c r="AN557" s="61"/>
      <c r="AO557" s="61"/>
      <c r="AP557" s="61"/>
    </row>
    <row r="558" spans="1:42" ht="15.75" customHeight="1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  <c r="AE558" s="61"/>
      <c r="AF558" s="61"/>
      <c r="AG558" s="61"/>
      <c r="AH558" s="61"/>
      <c r="AI558" s="61"/>
      <c r="AJ558" s="61"/>
      <c r="AK558" s="61"/>
      <c r="AL558" s="61"/>
      <c r="AM558" s="61"/>
      <c r="AN558" s="61"/>
      <c r="AO558" s="61"/>
      <c r="AP558" s="61"/>
    </row>
    <row r="559" spans="1:42" ht="15.75" customHeight="1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  <c r="AD559" s="61"/>
      <c r="AE559" s="61"/>
      <c r="AF559" s="61"/>
      <c r="AG559" s="61"/>
      <c r="AH559" s="61"/>
      <c r="AI559" s="61"/>
      <c r="AJ559" s="61"/>
      <c r="AK559" s="61"/>
      <c r="AL559" s="61"/>
      <c r="AM559" s="61"/>
      <c r="AN559" s="61"/>
      <c r="AO559" s="61"/>
      <c r="AP559" s="61"/>
    </row>
    <row r="560" spans="1:42" ht="15.75" customHeight="1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  <c r="AD560" s="61"/>
      <c r="AE560" s="61"/>
      <c r="AF560" s="61"/>
      <c r="AG560" s="61"/>
      <c r="AH560" s="61"/>
      <c r="AI560" s="61"/>
      <c r="AJ560" s="61"/>
      <c r="AK560" s="61"/>
      <c r="AL560" s="61"/>
      <c r="AM560" s="61"/>
      <c r="AN560" s="61"/>
      <c r="AO560" s="61"/>
      <c r="AP560" s="61"/>
    </row>
    <row r="561" spans="1:42" ht="15.75" customHeight="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  <c r="AE561" s="61"/>
      <c r="AF561" s="61"/>
      <c r="AG561" s="61"/>
      <c r="AH561" s="61"/>
      <c r="AI561" s="61"/>
      <c r="AJ561" s="61"/>
      <c r="AK561" s="61"/>
      <c r="AL561" s="61"/>
      <c r="AM561" s="61"/>
      <c r="AN561" s="61"/>
      <c r="AO561" s="61"/>
      <c r="AP561" s="61"/>
    </row>
    <row r="562" spans="1:42" ht="15.75" customHeight="1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  <c r="AE562" s="61"/>
      <c r="AF562" s="61"/>
      <c r="AG562" s="61"/>
      <c r="AH562" s="61"/>
      <c r="AI562" s="61"/>
      <c r="AJ562" s="61"/>
      <c r="AK562" s="61"/>
      <c r="AL562" s="61"/>
      <c r="AM562" s="61"/>
      <c r="AN562" s="61"/>
      <c r="AO562" s="61"/>
      <c r="AP562" s="61"/>
    </row>
    <row r="563" spans="1:42" ht="15.75" customHeight="1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  <c r="AE563" s="61"/>
      <c r="AF563" s="61"/>
      <c r="AG563" s="61"/>
      <c r="AH563" s="61"/>
      <c r="AI563" s="61"/>
      <c r="AJ563" s="61"/>
      <c r="AK563" s="61"/>
      <c r="AL563" s="61"/>
      <c r="AM563" s="61"/>
      <c r="AN563" s="61"/>
      <c r="AO563" s="61"/>
      <c r="AP563" s="61"/>
    </row>
    <row r="564" spans="1:42" ht="15.75" customHeight="1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  <c r="AI564" s="61"/>
      <c r="AJ564" s="61"/>
      <c r="AK564" s="61"/>
      <c r="AL564" s="61"/>
      <c r="AM564" s="61"/>
      <c r="AN564" s="61"/>
      <c r="AO564" s="61"/>
      <c r="AP564" s="61"/>
    </row>
    <row r="565" spans="1:42" ht="15.75" customHeight="1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  <c r="AI565" s="61"/>
      <c r="AJ565" s="61"/>
      <c r="AK565" s="61"/>
      <c r="AL565" s="61"/>
      <c r="AM565" s="61"/>
      <c r="AN565" s="61"/>
      <c r="AO565" s="61"/>
      <c r="AP565" s="61"/>
    </row>
    <row r="566" spans="1:42" ht="15.75" customHeight="1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  <c r="AE566" s="61"/>
      <c r="AF566" s="61"/>
      <c r="AG566" s="61"/>
      <c r="AH566" s="61"/>
      <c r="AI566" s="61"/>
      <c r="AJ566" s="61"/>
      <c r="AK566" s="61"/>
      <c r="AL566" s="61"/>
      <c r="AM566" s="61"/>
      <c r="AN566" s="61"/>
      <c r="AO566" s="61"/>
      <c r="AP566" s="61"/>
    </row>
    <row r="567" spans="1:42" ht="15.75" customHeight="1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  <c r="AI567" s="61"/>
      <c r="AJ567" s="61"/>
      <c r="AK567" s="61"/>
      <c r="AL567" s="61"/>
      <c r="AM567" s="61"/>
      <c r="AN567" s="61"/>
      <c r="AO567" s="61"/>
      <c r="AP567" s="61"/>
    </row>
    <row r="568" spans="1:42" ht="15.75" customHeight="1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  <c r="AO568" s="61"/>
      <c r="AP568" s="61"/>
    </row>
    <row r="569" spans="1:42" ht="15.75" customHeight="1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  <c r="AE569" s="61"/>
      <c r="AF569" s="61"/>
      <c r="AG569" s="61"/>
      <c r="AH569" s="61"/>
      <c r="AI569" s="61"/>
      <c r="AJ569" s="61"/>
      <c r="AK569" s="61"/>
      <c r="AL569" s="61"/>
      <c r="AM569" s="61"/>
      <c r="AN569" s="61"/>
      <c r="AO569" s="61"/>
      <c r="AP569" s="61"/>
    </row>
    <row r="570" spans="1:42" ht="15.75" customHeight="1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  <c r="AJ570" s="61"/>
      <c r="AK570" s="61"/>
      <c r="AL570" s="61"/>
      <c r="AM570" s="61"/>
      <c r="AN570" s="61"/>
      <c r="AO570" s="61"/>
      <c r="AP570" s="61"/>
    </row>
    <row r="571" spans="1:42" ht="15.75" customHeight="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  <c r="AI571" s="61"/>
      <c r="AJ571" s="61"/>
      <c r="AK571" s="61"/>
      <c r="AL571" s="61"/>
      <c r="AM571" s="61"/>
      <c r="AN571" s="61"/>
      <c r="AO571" s="61"/>
      <c r="AP571" s="61"/>
    </row>
    <row r="572" spans="1:42" ht="15.75" customHeight="1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  <c r="AG572" s="61"/>
      <c r="AH572" s="61"/>
      <c r="AI572" s="61"/>
      <c r="AJ572" s="61"/>
      <c r="AK572" s="61"/>
      <c r="AL572" s="61"/>
      <c r="AM572" s="61"/>
      <c r="AN572" s="61"/>
      <c r="AO572" s="61"/>
      <c r="AP572" s="61"/>
    </row>
    <row r="573" spans="1:42" ht="15.75" customHeight="1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</row>
    <row r="574" spans="1:42" ht="15.75" customHeight="1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</row>
    <row r="575" spans="1:42" ht="15.75" customHeight="1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</row>
    <row r="576" spans="1:42" ht="15.75" customHeight="1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</row>
    <row r="577" spans="1:42" ht="15.75" customHeight="1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</row>
    <row r="578" spans="1:42" ht="15.75" customHeight="1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</row>
    <row r="579" spans="1:42" ht="15.75" customHeight="1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</row>
    <row r="580" spans="1:42" ht="15.75" customHeight="1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</row>
    <row r="581" spans="1:42" ht="15.75" customHeight="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</row>
    <row r="582" spans="1:42" ht="15.75" customHeight="1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</row>
    <row r="583" spans="1:42" ht="15.75" customHeight="1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</row>
    <row r="584" spans="1:42" ht="15.75" customHeight="1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</row>
    <row r="585" spans="1:42" ht="15.75" customHeight="1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</row>
    <row r="586" spans="1:42" ht="15.75" customHeight="1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</row>
    <row r="587" spans="1:42" ht="15.75" customHeight="1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</row>
    <row r="588" spans="1:42" ht="15.75" customHeight="1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</row>
    <row r="589" spans="1:42" ht="15.75" customHeight="1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</row>
    <row r="590" spans="1:42" ht="15.75" customHeight="1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</row>
    <row r="591" spans="1:42" ht="15.75" customHeight="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</row>
    <row r="592" spans="1:42" ht="15.75" customHeight="1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</row>
    <row r="593" spans="1:42" ht="15.75" customHeight="1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</row>
    <row r="594" spans="1:42" ht="15.75" customHeight="1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1"/>
      <c r="AJ594" s="61"/>
      <c r="AK594" s="61"/>
      <c r="AL594" s="61"/>
      <c r="AM594" s="61"/>
      <c r="AN594" s="61"/>
      <c r="AO594" s="61"/>
      <c r="AP594" s="61"/>
    </row>
    <row r="595" spans="1:42" ht="15.75" customHeight="1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  <c r="AO595" s="61"/>
      <c r="AP595" s="61"/>
    </row>
    <row r="596" spans="1:42" ht="15.75" customHeight="1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</row>
    <row r="597" spans="1:42" ht="15.75" customHeight="1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</row>
    <row r="598" spans="1:42" ht="15.75" customHeight="1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</row>
    <row r="599" spans="1:42" ht="15.75" customHeight="1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</row>
    <row r="600" spans="1:42" ht="15.75" customHeight="1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</row>
    <row r="601" spans="1:42" ht="15.75" customHeight="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</row>
    <row r="602" spans="1:42" ht="15.75" customHeight="1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</row>
    <row r="603" spans="1:42" ht="15.75" customHeight="1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</row>
    <row r="604" spans="1:42" ht="15.75" customHeight="1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</row>
    <row r="605" spans="1:42" ht="15.75" customHeight="1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</row>
    <row r="606" spans="1:42" ht="15.75" customHeight="1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</row>
    <row r="607" spans="1:42" ht="15.75" customHeight="1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</row>
    <row r="608" spans="1:42" ht="15.75" customHeight="1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</row>
    <row r="609" spans="1:42" ht="15.75" customHeight="1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</row>
    <row r="610" spans="1:42" ht="15.75" customHeight="1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</row>
    <row r="611" spans="1:42" ht="15.75" customHeight="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</row>
    <row r="612" spans="1:42" ht="15.75" customHeight="1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</row>
    <row r="613" spans="1:42" ht="15.75" customHeight="1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</row>
    <row r="614" spans="1:42" ht="15.75" customHeight="1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</row>
    <row r="615" spans="1:42" ht="15.75" customHeight="1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</row>
    <row r="616" spans="1:42" ht="15.75" customHeight="1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  <c r="AE616" s="61"/>
      <c r="AF616" s="61"/>
      <c r="AG616" s="61"/>
      <c r="AH616" s="61"/>
      <c r="AI616" s="61"/>
      <c r="AJ616" s="61"/>
      <c r="AK616" s="61"/>
      <c r="AL616" s="61"/>
      <c r="AM616" s="61"/>
      <c r="AN616" s="61"/>
      <c r="AO616" s="61"/>
      <c r="AP616" s="61"/>
    </row>
    <row r="617" spans="1:42" ht="15.75" customHeight="1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  <c r="AE617" s="61"/>
      <c r="AF617" s="61"/>
      <c r="AG617" s="61"/>
      <c r="AH617" s="61"/>
      <c r="AI617" s="61"/>
      <c r="AJ617" s="61"/>
      <c r="AK617" s="61"/>
      <c r="AL617" s="61"/>
      <c r="AM617" s="61"/>
      <c r="AN617" s="61"/>
      <c r="AO617" s="61"/>
      <c r="AP617" s="61"/>
    </row>
    <row r="618" spans="1:42" ht="15.75" customHeight="1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  <c r="AE618" s="61"/>
      <c r="AF618" s="61"/>
      <c r="AG618" s="61"/>
      <c r="AH618" s="61"/>
      <c r="AI618" s="61"/>
      <c r="AJ618" s="61"/>
      <c r="AK618" s="61"/>
      <c r="AL618" s="61"/>
      <c r="AM618" s="61"/>
      <c r="AN618" s="61"/>
      <c r="AO618" s="61"/>
      <c r="AP618" s="61"/>
    </row>
    <row r="619" spans="1:42" ht="15.75" customHeight="1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  <c r="AE619" s="61"/>
      <c r="AF619" s="61"/>
      <c r="AG619" s="61"/>
      <c r="AH619" s="61"/>
      <c r="AI619" s="61"/>
      <c r="AJ619" s="61"/>
      <c r="AK619" s="61"/>
      <c r="AL619" s="61"/>
      <c r="AM619" s="61"/>
      <c r="AN619" s="61"/>
      <c r="AO619" s="61"/>
      <c r="AP619" s="61"/>
    </row>
    <row r="620" spans="1:42" ht="15.75" customHeight="1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  <c r="AP620" s="61"/>
    </row>
    <row r="621" spans="1:42" ht="15.75" customHeight="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</row>
    <row r="622" spans="1:42" ht="15.75" customHeight="1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</row>
    <row r="623" spans="1:42" ht="15.75" customHeight="1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</row>
    <row r="624" spans="1:42" ht="15.75" customHeight="1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</row>
    <row r="625" spans="1:42" ht="15.75" customHeight="1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</row>
    <row r="626" spans="1:42" ht="15.75" customHeight="1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</row>
    <row r="627" spans="1:42" ht="15.75" customHeight="1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</row>
    <row r="628" spans="1:42" ht="15.75" customHeight="1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</row>
    <row r="629" spans="1:42" ht="15.75" customHeight="1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</row>
    <row r="630" spans="1:42" ht="15.75" customHeight="1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</row>
    <row r="631" spans="1:42" ht="15.75" customHeight="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</row>
    <row r="632" spans="1:42" ht="15.75" customHeight="1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</row>
    <row r="633" spans="1:42" ht="15.75" customHeight="1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</row>
    <row r="634" spans="1:42" ht="15.75" customHeight="1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</row>
    <row r="635" spans="1:42" ht="15.75" customHeight="1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</row>
    <row r="636" spans="1:42" ht="15.75" customHeight="1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</row>
    <row r="637" spans="1:42" ht="15.75" customHeight="1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</row>
    <row r="638" spans="1:42" ht="15.75" customHeight="1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</row>
    <row r="639" spans="1:42" ht="15.75" customHeight="1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</row>
    <row r="640" spans="1:42" ht="15.75" customHeight="1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</row>
    <row r="641" spans="1:42" ht="15.75" customHeight="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  <c r="AD641" s="61"/>
      <c r="AE641" s="61"/>
      <c r="AF641" s="61"/>
      <c r="AG641" s="61"/>
      <c r="AH641" s="61"/>
      <c r="AI641" s="61"/>
      <c r="AJ641" s="61"/>
      <c r="AK641" s="61"/>
      <c r="AL641" s="61"/>
      <c r="AM641" s="61"/>
      <c r="AN641" s="61"/>
      <c r="AO641" s="61"/>
      <c r="AP641" s="61"/>
    </row>
    <row r="642" spans="1:42" ht="15.75" customHeight="1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  <c r="AD642" s="61"/>
      <c r="AE642" s="61"/>
      <c r="AF642" s="61"/>
      <c r="AG642" s="61"/>
      <c r="AH642" s="61"/>
      <c r="AI642" s="61"/>
      <c r="AJ642" s="61"/>
      <c r="AK642" s="61"/>
      <c r="AL642" s="61"/>
      <c r="AM642" s="61"/>
      <c r="AN642" s="61"/>
      <c r="AO642" s="61"/>
      <c r="AP642" s="61"/>
    </row>
    <row r="643" spans="1:42" ht="15.75" customHeight="1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  <c r="AE643" s="61"/>
      <c r="AF643" s="61"/>
      <c r="AG643" s="61"/>
      <c r="AH643" s="61"/>
      <c r="AI643" s="61"/>
      <c r="AJ643" s="61"/>
      <c r="AK643" s="61"/>
      <c r="AL643" s="61"/>
      <c r="AM643" s="61"/>
      <c r="AN643" s="61"/>
      <c r="AO643" s="61"/>
      <c r="AP643" s="61"/>
    </row>
    <row r="644" spans="1:42" ht="15.75" customHeight="1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  <c r="AE644" s="61"/>
      <c r="AF644" s="61"/>
      <c r="AG644" s="61"/>
      <c r="AH644" s="61"/>
      <c r="AI644" s="61"/>
      <c r="AJ644" s="61"/>
      <c r="AK644" s="61"/>
      <c r="AL644" s="61"/>
      <c r="AM644" s="61"/>
      <c r="AN644" s="61"/>
      <c r="AO644" s="61"/>
      <c r="AP644" s="61"/>
    </row>
    <row r="645" spans="1:42" ht="15.75" customHeight="1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  <c r="AD645" s="61"/>
      <c r="AE645" s="61"/>
      <c r="AF645" s="61"/>
      <c r="AG645" s="61"/>
      <c r="AH645" s="61"/>
      <c r="AI645" s="61"/>
      <c r="AJ645" s="61"/>
      <c r="AK645" s="61"/>
      <c r="AL645" s="61"/>
      <c r="AM645" s="61"/>
      <c r="AN645" s="61"/>
      <c r="AO645" s="61"/>
      <c r="AP645" s="61"/>
    </row>
    <row r="646" spans="1:42" ht="15.75" customHeight="1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  <c r="AD646" s="61"/>
      <c r="AE646" s="61"/>
      <c r="AF646" s="61"/>
      <c r="AG646" s="61"/>
      <c r="AH646" s="61"/>
      <c r="AI646" s="61"/>
      <c r="AJ646" s="61"/>
      <c r="AK646" s="61"/>
      <c r="AL646" s="61"/>
      <c r="AM646" s="61"/>
      <c r="AN646" s="61"/>
      <c r="AO646" s="61"/>
      <c r="AP646" s="61"/>
    </row>
    <row r="647" spans="1:42" ht="15.75" customHeight="1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  <c r="AD647" s="61"/>
      <c r="AE647" s="61"/>
      <c r="AF647" s="61"/>
      <c r="AG647" s="61"/>
      <c r="AH647" s="61"/>
      <c r="AI647" s="61"/>
      <c r="AJ647" s="61"/>
      <c r="AK647" s="61"/>
      <c r="AL647" s="61"/>
      <c r="AM647" s="61"/>
      <c r="AN647" s="61"/>
      <c r="AO647" s="61"/>
      <c r="AP647" s="61"/>
    </row>
    <row r="648" spans="1:42" ht="15.75" customHeight="1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  <c r="AD648" s="61"/>
      <c r="AE648" s="61"/>
      <c r="AF648" s="61"/>
      <c r="AG648" s="61"/>
      <c r="AH648" s="61"/>
      <c r="AI648" s="61"/>
      <c r="AJ648" s="61"/>
      <c r="AK648" s="61"/>
      <c r="AL648" s="61"/>
      <c r="AM648" s="61"/>
      <c r="AN648" s="61"/>
      <c r="AO648" s="61"/>
      <c r="AP648" s="61"/>
    </row>
    <row r="649" spans="1:42" ht="15.75" customHeight="1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  <c r="AD649" s="61"/>
      <c r="AE649" s="61"/>
      <c r="AF649" s="61"/>
      <c r="AG649" s="61"/>
      <c r="AH649" s="61"/>
      <c r="AI649" s="61"/>
      <c r="AJ649" s="61"/>
      <c r="AK649" s="61"/>
      <c r="AL649" s="61"/>
      <c r="AM649" s="61"/>
      <c r="AN649" s="61"/>
      <c r="AO649" s="61"/>
      <c r="AP649" s="61"/>
    </row>
    <row r="650" spans="1:42" ht="15.75" customHeight="1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  <c r="AE650" s="61"/>
      <c r="AF650" s="61"/>
      <c r="AG650" s="61"/>
      <c r="AH650" s="61"/>
      <c r="AI650" s="61"/>
      <c r="AJ650" s="61"/>
      <c r="AK650" s="61"/>
      <c r="AL650" s="61"/>
      <c r="AM650" s="61"/>
      <c r="AN650" s="61"/>
      <c r="AO650" s="61"/>
      <c r="AP650" s="61"/>
    </row>
    <row r="651" spans="1:42" ht="15.75" customHeight="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  <c r="AO651" s="61"/>
      <c r="AP651" s="61"/>
    </row>
    <row r="652" spans="1:42" ht="15.75" customHeight="1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</row>
    <row r="653" spans="1:42" ht="15.75" customHeight="1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  <c r="AE653" s="61"/>
      <c r="AF653" s="61"/>
      <c r="AG653" s="61"/>
      <c r="AH653" s="61"/>
      <c r="AI653" s="61"/>
      <c r="AJ653" s="61"/>
      <c r="AK653" s="61"/>
      <c r="AL653" s="61"/>
      <c r="AM653" s="61"/>
      <c r="AN653" s="61"/>
      <c r="AO653" s="61"/>
      <c r="AP653" s="61"/>
    </row>
    <row r="654" spans="1:42" ht="15.75" customHeight="1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  <c r="AE654" s="61"/>
      <c r="AF654" s="61"/>
      <c r="AG654" s="61"/>
      <c r="AH654" s="61"/>
      <c r="AI654" s="61"/>
      <c r="AJ654" s="61"/>
      <c r="AK654" s="61"/>
      <c r="AL654" s="61"/>
      <c r="AM654" s="61"/>
      <c r="AN654" s="61"/>
      <c r="AO654" s="61"/>
      <c r="AP654" s="61"/>
    </row>
    <row r="655" spans="1:42" ht="15.75" customHeight="1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  <c r="AO655" s="61"/>
      <c r="AP655" s="61"/>
    </row>
    <row r="656" spans="1:42" ht="15.75" customHeight="1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  <c r="AO656" s="61"/>
      <c r="AP656" s="61"/>
    </row>
    <row r="657" spans="1:42" ht="15.75" customHeight="1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  <c r="AO657" s="61"/>
      <c r="AP657" s="61"/>
    </row>
    <row r="658" spans="1:42" ht="15.75" customHeight="1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</row>
    <row r="659" spans="1:42" ht="15.75" customHeight="1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  <c r="AE659" s="61"/>
      <c r="AF659" s="61"/>
      <c r="AG659" s="61"/>
      <c r="AH659" s="61"/>
      <c r="AI659" s="61"/>
      <c r="AJ659" s="61"/>
      <c r="AK659" s="61"/>
      <c r="AL659" s="61"/>
      <c r="AM659" s="61"/>
      <c r="AN659" s="61"/>
      <c r="AO659" s="61"/>
      <c r="AP659" s="61"/>
    </row>
    <row r="660" spans="1:42" ht="15.75" customHeight="1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  <c r="AO660" s="61"/>
      <c r="AP660" s="61"/>
    </row>
    <row r="661" spans="1:42" ht="15.75" customHeight="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  <c r="AO661" s="61"/>
      <c r="AP661" s="61"/>
    </row>
    <row r="662" spans="1:42" ht="15.75" customHeight="1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  <c r="AO662" s="61"/>
      <c r="AP662" s="61"/>
    </row>
    <row r="663" spans="1:42" ht="15.75" customHeight="1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  <c r="AO663" s="61"/>
      <c r="AP663" s="61"/>
    </row>
    <row r="664" spans="1:42" ht="15.75" customHeight="1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  <c r="AE664" s="61"/>
      <c r="AF664" s="61"/>
      <c r="AG664" s="61"/>
      <c r="AH664" s="61"/>
      <c r="AI664" s="61"/>
      <c r="AJ664" s="61"/>
      <c r="AK664" s="61"/>
      <c r="AL664" s="61"/>
      <c r="AM664" s="61"/>
      <c r="AN664" s="61"/>
      <c r="AO664" s="61"/>
      <c r="AP664" s="61"/>
    </row>
    <row r="665" spans="1:42" ht="15.75" customHeight="1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  <c r="AO665" s="61"/>
      <c r="AP665" s="61"/>
    </row>
    <row r="666" spans="1:42" ht="15.75" customHeight="1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  <c r="AE666" s="61"/>
      <c r="AF666" s="61"/>
      <c r="AG666" s="61"/>
      <c r="AH666" s="61"/>
      <c r="AI666" s="61"/>
      <c r="AJ666" s="61"/>
      <c r="AK666" s="61"/>
      <c r="AL666" s="61"/>
      <c r="AM666" s="61"/>
      <c r="AN666" s="61"/>
      <c r="AO666" s="61"/>
      <c r="AP666" s="61"/>
    </row>
    <row r="667" spans="1:42" ht="15.75" customHeight="1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  <c r="AD667" s="61"/>
      <c r="AE667" s="61"/>
      <c r="AF667" s="61"/>
      <c r="AG667" s="61"/>
      <c r="AH667" s="61"/>
      <c r="AI667" s="61"/>
      <c r="AJ667" s="61"/>
      <c r="AK667" s="61"/>
      <c r="AL667" s="61"/>
      <c r="AM667" s="61"/>
      <c r="AN667" s="61"/>
      <c r="AO667" s="61"/>
      <c r="AP667" s="61"/>
    </row>
    <row r="668" spans="1:42" ht="15.75" customHeight="1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  <c r="AO668" s="61"/>
      <c r="AP668" s="61"/>
    </row>
    <row r="669" spans="1:42" ht="15.75" customHeight="1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  <c r="AE669" s="61"/>
      <c r="AF669" s="61"/>
      <c r="AG669" s="61"/>
      <c r="AH669" s="61"/>
      <c r="AI669" s="61"/>
      <c r="AJ669" s="61"/>
      <c r="AK669" s="61"/>
      <c r="AL669" s="61"/>
      <c r="AM669" s="61"/>
      <c r="AN669" s="61"/>
      <c r="AO669" s="61"/>
      <c r="AP669" s="61"/>
    </row>
    <row r="670" spans="1:42" ht="15.75" customHeight="1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  <c r="AE670" s="61"/>
      <c r="AF670" s="61"/>
      <c r="AG670" s="61"/>
      <c r="AH670" s="61"/>
      <c r="AI670" s="61"/>
      <c r="AJ670" s="61"/>
      <c r="AK670" s="61"/>
      <c r="AL670" s="61"/>
      <c r="AM670" s="61"/>
      <c r="AN670" s="61"/>
      <c r="AO670" s="61"/>
      <c r="AP670" s="61"/>
    </row>
    <row r="671" spans="1:42" ht="15.75" customHeight="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  <c r="AE671" s="61"/>
      <c r="AF671" s="61"/>
      <c r="AG671" s="61"/>
      <c r="AH671" s="61"/>
      <c r="AI671" s="61"/>
      <c r="AJ671" s="61"/>
      <c r="AK671" s="61"/>
      <c r="AL671" s="61"/>
      <c r="AM671" s="61"/>
      <c r="AN671" s="61"/>
      <c r="AO671" s="61"/>
      <c r="AP671" s="61"/>
    </row>
    <row r="672" spans="1:42" ht="15.75" customHeight="1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  <c r="AO672" s="61"/>
      <c r="AP672" s="61"/>
    </row>
    <row r="673" spans="1:42" ht="15.75" customHeight="1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  <c r="AO673" s="61"/>
      <c r="AP673" s="61"/>
    </row>
    <row r="674" spans="1:42" ht="15.75" customHeight="1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  <c r="AO674" s="61"/>
      <c r="AP674" s="61"/>
    </row>
    <row r="675" spans="1:42" ht="15.75" customHeight="1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</row>
    <row r="676" spans="1:42" ht="15.75" customHeight="1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</row>
    <row r="677" spans="1:42" ht="15.75" customHeight="1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  <c r="AE677" s="61"/>
      <c r="AF677" s="61"/>
      <c r="AG677" s="61"/>
      <c r="AH677" s="61"/>
      <c r="AI677" s="61"/>
      <c r="AJ677" s="61"/>
      <c r="AK677" s="61"/>
      <c r="AL677" s="61"/>
      <c r="AM677" s="61"/>
      <c r="AN677" s="61"/>
      <c r="AO677" s="61"/>
      <c r="AP677" s="61"/>
    </row>
    <row r="678" spans="1:42" ht="15.75" customHeight="1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  <c r="AI678" s="61"/>
      <c r="AJ678" s="61"/>
      <c r="AK678" s="61"/>
      <c r="AL678" s="61"/>
      <c r="AM678" s="61"/>
      <c r="AN678" s="61"/>
      <c r="AO678" s="61"/>
      <c r="AP678" s="61"/>
    </row>
    <row r="679" spans="1:42" ht="15.75" customHeight="1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  <c r="AI679" s="61"/>
      <c r="AJ679" s="61"/>
      <c r="AK679" s="61"/>
      <c r="AL679" s="61"/>
      <c r="AM679" s="61"/>
      <c r="AN679" s="61"/>
      <c r="AO679" s="61"/>
      <c r="AP679" s="61"/>
    </row>
    <row r="680" spans="1:42" ht="15.75" customHeight="1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</row>
    <row r="681" spans="1:42" ht="15.75" customHeight="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</row>
    <row r="682" spans="1:42" ht="15.75" customHeight="1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</row>
    <row r="683" spans="1:42" ht="15.75" customHeight="1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</row>
    <row r="684" spans="1:42" ht="15.75" customHeight="1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  <c r="AE684" s="61"/>
      <c r="AF684" s="61"/>
      <c r="AG684" s="61"/>
      <c r="AH684" s="61"/>
      <c r="AI684" s="61"/>
      <c r="AJ684" s="61"/>
      <c r="AK684" s="61"/>
      <c r="AL684" s="61"/>
      <c r="AM684" s="61"/>
      <c r="AN684" s="61"/>
      <c r="AO684" s="61"/>
      <c r="AP684" s="61"/>
    </row>
    <row r="685" spans="1:42" ht="15.75" customHeight="1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  <c r="AO685" s="61"/>
      <c r="AP685" s="61"/>
    </row>
    <row r="686" spans="1:42" ht="15.75" customHeight="1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  <c r="AI686" s="61"/>
      <c r="AJ686" s="61"/>
      <c r="AK686" s="61"/>
      <c r="AL686" s="61"/>
      <c r="AM686" s="61"/>
      <c r="AN686" s="61"/>
      <c r="AO686" s="61"/>
      <c r="AP686" s="61"/>
    </row>
    <row r="687" spans="1:42" ht="15.75" customHeight="1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  <c r="AE687" s="61"/>
      <c r="AF687" s="61"/>
      <c r="AG687" s="61"/>
      <c r="AH687" s="61"/>
      <c r="AI687" s="61"/>
      <c r="AJ687" s="61"/>
      <c r="AK687" s="61"/>
      <c r="AL687" s="61"/>
      <c r="AM687" s="61"/>
      <c r="AN687" s="61"/>
      <c r="AO687" s="61"/>
      <c r="AP687" s="61"/>
    </row>
    <row r="688" spans="1:42" ht="15.75" customHeight="1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</row>
    <row r="689" spans="1:42" ht="15.75" customHeight="1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1"/>
      <c r="AJ689" s="61"/>
      <c r="AK689" s="61"/>
      <c r="AL689" s="61"/>
      <c r="AM689" s="61"/>
      <c r="AN689" s="61"/>
      <c r="AO689" s="61"/>
      <c r="AP689" s="61"/>
    </row>
    <row r="690" spans="1:42" ht="15.75" customHeight="1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  <c r="AI690" s="61"/>
      <c r="AJ690" s="61"/>
      <c r="AK690" s="61"/>
      <c r="AL690" s="61"/>
      <c r="AM690" s="61"/>
      <c r="AN690" s="61"/>
      <c r="AO690" s="61"/>
      <c r="AP690" s="61"/>
    </row>
    <row r="691" spans="1:42" ht="15.75" customHeight="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</row>
    <row r="692" spans="1:42" ht="15.75" customHeight="1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  <c r="AI692" s="61"/>
      <c r="AJ692" s="61"/>
      <c r="AK692" s="61"/>
      <c r="AL692" s="61"/>
      <c r="AM692" s="61"/>
      <c r="AN692" s="61"/>
      <c r="AO692" s="61"/>
      <c r="AP692" s="61"/>
    </row>
    <row r="693" spans="1:42" ht="15.75" customHeight="1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</row>
    <row r="694" spans="1:42" ht="15.75" customHeight="1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</row>
    <row r="695" spans="1:42" ht="15.75" customHeight="1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  <c r="AI695" s="61"/>
      <c r="AJ695" s="61"/>
      <c r="AK695" s="61"/>
      <c r="AL695" s="61"/>
      <c r="AM695" s="61"/>
      <c r="AN695" s="61"/>
      <c r="AO695" s="61"/>
      <c r="AP695" s="61"/>
    </row>
    <row r="696" spans="1:42" ht="15.75" customHeight="1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  <c r="AE696" s="61"/>
      <c r="AF696" s="61"/>
      <c r="AG696" s="61"/>
      <c r="AH696" s="61"/>
      <c r="AI696" s="61"/>
      <c r="AJ696" s="61"/>
      <c r="AK696" s="61"/>
      <c r="AL696" s="61"/>
      <c r="AM696" s="61"/>
      <c r="AN696" s="61"/>
      <c r="AO696" s="61"/>
      <c r="AP696" s="61"/>
    </row>
    <row r="697" spans="1:42" ht="15.75" customHeight="1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1"/>
      <c r="AJ697" s="61"/>
      <c r="AK697" s="61"/>
      <c r="AL697" s="61"/>
      <c r="AM697" s="61"/>
      <c r="AN697" s="61"/>
      <c r="AO697" s="61"/>
      <c r="AP697" s="61"/>
    </row>
    <row r="698" spans="1:42" ht="15.75" customHeight="1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</row>
    <row r="699" spans="1:42" ht="15.75" customHeight="1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</row>
    <row r="700" spans="1:42" ht="15.75" customHeight="1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</row>
    <row r="701" spans="1:42" ht="15.75" customHeight="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  <c r="AN701" s="61"/>
      <c r="AO701" s="61"/>
      <c r="AP701" s="61"/>
    </row>
    <row r="702" spans="1:42" ht="15.75" customHeight="1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  <c r="AO702" s="61"/>
      <c r="AP702" s="61"/>
    </row>
    <row r="703" spans="1:42" ht="15.75" customHeight="1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  <c r="AN703" s="61"/>
      <c r="AO703" s="61"/>
      <c r="AP703" s="61"/>
    </row>
    <row r="704" spans="1:42" ht="15.75" customHeight="1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</row>
    <row r="705" spans="1:42" ht="15.75" customHeight="1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</row>
    <row r="706" spans="1:42" ht="15.75" customHeight="1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</row>
    <row r="707" spans="1:42" ht="15.75" customHeight="1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1"/>
      <c r="AJ707" s="61"/>
      <c r="AK707" s="61"/>
      <c r="AL707" s="61"/>
      <c r="AM707" s="61"/>
      <c r="AN707" s="61"/>
      <c r="AO707" s="61"/>
      <c r="AP707" s="61"/>
    </row>
    <row r="708" spans="1:42" ht="15.75" customHeight="1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  <c r="AI708" s="61"/>
      <c r="AJ708" s="61"/>
      <c r="AK708" s="61"/>
      <c r="AL708" s="61"/>
      <c r="AM708" s="61"/>
      <c r="AN708" s="61"/>
      <c r="AO708" s="61"/>
      <c r="AP708" s="61"/>
    </row>
    <row r="709" spans="1:42" ht="15.75" customHeight="1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</row>
    <row r="710" spans="1:42" ht="15.75" customHeight="1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</row>
    <row r="711" spans="1:42" ht="15.75" customHeight="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</row>
    <row r="712" spans="1:42" ht="15.75" customHeight="1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1"/>
      <c r="AJ712" s="61"/>
      <c r="AK712" s="61"/>
      <c r="AL712" s="61"/>
      <c r="AM712" s="61"/>
      <c r="AN712" s="61"/>
      <c r="AO712" s="61"/>
      <c r="AP712" s="61"/>
    </row>
    <row r="713" spans="1:42" ht="15.75" customHeight="1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</row>
    <row r="714" spans="1:42" ht="15.75" customHeight="1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</row>
    <row r="715" spans="1:42" ht="15.75" customHeight="1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  <c r="AO715" s="61"/>
      <c r="AP715" s="61"/>
    </row>
    <row r="716" spans="1:42" ht="15.75" customHeight="1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</row>
    <row r="717" spans="1:42" ht="15.75" customHeight="1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</row>
    <row r="718" spans="1:42" ht="15.75" customHeight="1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  <c r="AO718" s="61"/>
      <c r="AP718" s="61"/>
    </row>
    <row r="719" spans="1:42" ht="15.75" customHeight="1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  <c r="AI719" s="61"/>
      <c r="AJ719" s="61"/>
      <c r="AK719" s="61"/>
      <c r="AL719" s="61"/>
      <c r="AM719" s="61"/>
      <c r="AN719" s="61"/>
      <c r="AO719" s="61"/>
      <c r="AP719" s="61"/>
    </row>
    <row r="720" spans="1:42" ht="15.75" customHeight="1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  <c r="AI720" s="61"/>
      <c r="AJ720" s="61"/>
      <c r="AK720" s="61"/>
      <c r="AL720" s="61"/>
      <c r="AM720" s="61"/>
      <c r="AN720" s="61"/>
      <c r="AO720" s="61"/>
      <c r="AP720" s="61"/>
    </row>
    <row r="721" spans="1:42" ht="15.75" customHeight="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  <c r="AO721" s="61"/>
      <c r="AP721" s="61"/>
    </row>
    <row r="722" spans="1:42" ht="15.75" customHeight="1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</row>
    <row r="723" spans="1:42" ht="15.75" customHeight="1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</row>
    <row r="724" spans="1:42" ht="15.75" customHeight="1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  <c r="AI724" s="61"/>
      <c r="AJ724" s="61"/>
      <c r="AK724" s="61"/>
      <c r="AL724" s="61"/>
      <c r="AM724" s="61"/>
      <c r="AN724" s="61"/>
      <c r="AO724" s="61"/>
      <c r="AP724" s="61"/>
    </row>
    <row r="725" spans="1:42" ht="15.75" customHeight="1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</row>
    <row r="726" spans="1:42" ht="15.75" customHeight="1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</row>
    <row r="727" spans="1:42" ht="15.75" customHeight="1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</row>
    <row r="728" spans="1:42" ht="15.75" customHeight="1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</row>
    <row r="729" spans="1:42" ht="15.75" customHeight="1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</row>
    <row r="730" spans="1:42" ht="15.75" customHeight="1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</row>
    <row r="731" spans="1:42" ht="15.75" customHeight="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</row>
    <row r="732" spans="1:42" ht="15.75" customHeight="1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</row>
    <row r="733" spans="1:42" ht="15.75" customHeight="1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  <c r="AE733" s="61"/>
      <c r="AF733" s="61"/>
      <c r="AG733" s="61"/>
      <c r="AH733" s="61"/>
      <c r="AI733" s="61"/>
      <c r="AJ733" s="61"/>
      <c r="AK733" s="61"/>
      <c r="AL733" s="61"/>
      <c r="AM733" s="61"/>
      <c r="AN733" s="61"/>
      <c r="AO733" s="61"/>
      <c r="AP733" s="61"/>
    </row>
    <row r="734" spans="1:42" ht="15.75" customHeight="1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  <c r="AI734" s="61"/>
      <c r="AJ734" s="61"/>
      <c r="AK734" s="61"/>
      <c r="AL734" s="61"/>
      <c r="AM734" s="61"/>
      <c r="AN734" s="61"/>
      <c r="AO734" s="61"/>
      <c r="AP734" s="61"/>
    </row>
    <row r="735" spans="1:42" ht="15.75" customHeight="1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</row>
    <row r="736" spans="1:42" ht="15.75" customHeight="1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</row>
    <row r="737" spans="1:42" ht="15.75" customHeight="1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  <c r="AO737" s="61"/>
      <c r="AP737" s="61"/>
    </row>
    <row r="738" spans="1:42" ht="15.75" customHeight="1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1"/>
      <c r="AJ738" s="61"/>
      <c r="AK738" s="61"/>
      <c r="AL738" s="61"/>
      <c r="AM738" s="61"/>
      <c r="AN738" s="61"/>
      <c r="AO738" s="61"/>
      <c r="AP738" s="61"/>
    </row>
    <row r="739" spans="1:42" ht="15.75" customHeight="1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  <c r="AO739" s="61"/>
      <c r="AP739" s="61"/>
    </row>
    <row r="740" spans="1:42" ht="15.75" customHeight="1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</row>
    <row r="741" spans="1:42" ht="15.75" customHeight="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1"/>
      <c r="AJ741" s="61"/>
      <c r="AK741" s="61"/>
      <c r="AL741" s="61"/>
      <c r="AM741" s="61"/>
      <c r="AN741" s="61"/>
      <c r="AO741" s="61"/>
      <c r="AP741" s="61"/>
    </row>
    <row r="742" spans="1:42" ht="15.75" customHeight="1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  <c r="AE742" s="61"/>
      <c r="AF742" s="61"/>
      <c r="AG742" s="61"/>
      <c r="AH742" s="61"/>
      <c r="AI742" s="61"/>
      <c r="AJ742" s="61"/>
      <c r="AK742" s="61"/>
      <c r="AL742" s="61"/>
      <c r="AM742" s="61"/>
      <c r="AN742" s="61"/>
      <c r="AO742" s="61"/>
      <c r="AP742" s="61"/>
    </row>
    <row r="743" spans="1:42" ht="15.75" customHeight="1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  <c r="AE743" s="61"/>
      <c r="AF743" s="61"/>
      <c r="AG743" s="61"/>
      <c r="AH743" s="61"/>
      <c r="AI743" s="61"/>
      <c r="AJ743" s="61"/>
      <c r="AK743" s="61"/>
      <c r="AL743" s="61"/>
      <c r="AM743" s="61"/>
      <c r="AN743" s="61"/>
      <c r="AO743" s="61"/>
      <c r="AP743" s="61"/>
    </row>
    <row r="744" spans="1:42" ht="15.75" customHeight="1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  <c r="AE744" s="61"/>
      <c r="AF744" s="61"/>
      <c r="AG744" s="61"/>
      <c r="AH744" s="61"/>
      <c r="AI744" s="61"/>
      <c r="AJ744" s="61"/>
      <c r="AK744" s="61"/>
      <c r="AL744" s="61"/>
      <c r="AM744" s="61"/>
      <c r="AN744" s="61"/>
      <c r="AO744" s="61"/>
      <c r="AP744" s="61"/>
    </row>
    <row r="745" spans="1:42" ht="15.75" customHeight="1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  <c r="AO745" s="61"/>
      <c r="AP745" s="61"/>
    </row>
    <row r="746" spans="1:42" ht="15.75" customHeight="1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  <c r="AE746" s="61"/>
      <c r="AF746" s="61"/>
      <c r="AG746" s="61"/>
      <c r="AH746" s="61"/>
      <c r="AI746" s="61"/>
      <c r="AJ746" s="61"/>
      <c r="AK746" s="61"/>
      <c r="AL746" s="61"/>
      <c r="AM746" s="61"/>
      <c r="AN746" s="61"/>
      <c r="AO746" s="61"/>
      <c r="AP746" s="61"/>
    </row>
    <row r="747" spans="1:42" ht="15.75" customHeight="1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  <c r="AE747" s="61"/>
      <c r="AF747" s="61"/>
      <c r="AG747" s="61"/>
      <c r="AH747" s="61"/>
      <c r="AI747" s="61"/>
      <c r="AJ747" s="61"/>
      <c r="AK747" s="61"/>
      <c r="AL747" s="61"/>
      <c r="AM747" s="61"/>
      <c r="AN747" s="61"/>
      <c r="AO747" s="61"/>
      <c r="AP747" s="61"/>
    </row>
    <row r="748" spans="1:42" ht="15.75" customHeight="1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  <c r="AE748" s="61"/>
      <c r="AF748" s="61"/>
      <c r="AG748" s="61"/>
      <c r="AH748" s="61"/>
      <c r="AI748" s="61"/>
      <c r="AJ748" s="61"/>
      <c r="AK748" s="61"/>
      <c r="AL748" s="61"/>
      <c r="AM748" s="61"/>
      <c r="AN748" s="61"/>
      <c r="AO748" s="61"/>
      <c r="AP748" s="61"/>
    </row>
    <row r="749" spans="1:42" ht="15.75" customHeight="1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  <c r="AD749" s="61"/>
      <c r="AE749" s="61"/>
      <c r="AF749" s="61"/>
      <c r="AG749" s="61"/>
      <c r="AH749" s="61"/>
      <c r="AI749" s="61"/>
      <c r="AJ749" s="61"/>
      <c r="AK749" s="61"/>
      <c r="AL749" s="61"/>
      <c r="AM749" s="61"/>
      <c r="AN749" s="61"/>
      <c r="AO749" s="61"/>
      <c r="AP749" s="61"/>
    </row>
    <row r="750" spans="1:42" ht="15.75" customHeight="1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  <c r="AD750" s="61"/>
      <c r="AE750" s="61"/>
      <c r="AF750" s="61"/>
      <c r="AG750" s="61"/>
      <c r="AH750" s="61"/>
      <c r="AI750" s="61"/>
      <c r="AJ750" s="61"/>
      <c r="AK750" s="61"/>
      <c r="AL750" s="61"/>
      <c r="AM750" s="61"/>
      <c r="AN750" s="61"/>
      <c r="AO750" s="61"/>
      <c r="AP750" s="61"/>
    </row>
    <row r="751" spans="1:42" ht="15.75" customHeight="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  <c r="AD751" s="61"/>
      <c r="AE751" s="61"/>
      <c r="AF751" s="61"/>
      <c r="AG751" s="61"/>
      <c r="AH751" s="61"/>
      <c r="AI751" s="61"/>
      <c r="AJ751" s="61"/>
      <c r="AK751" s="61"/>
      <c r="AL751" s="61"/>
      <c r="AM751" s="61"/>
      <c r="AN751" s="61"/>
      <c r="AO751" s="61"/>
      <c r="AP751" s="61"/>
    </row>
    <row r="752" spans="1:42" ht="15.75" customHeight="1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  <c r="AD752" s="61"/>
      <c r="AE752" s="61"/>
      <c r="AF752" s="61"/>
      <c r="AG752" s="61"/>
      <c r="AH752" s="61"/>
      <c r="AI752" s="61"/>
      <c r="AJ752" s="61"/>
      <c r="AK752" s="61"/>
      <c r="AL752" s="61"/>
      <c r="AM752" s="61"/>
      <c r="AN752" s="61"/>
      <c r="AO752" s="61"/>
      <c r="AP752" s="61"/>
    </row>
    <row r="753" spans="1:42" ht="15.75" customHeight="1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  <c r="AD753" s="61"/>
      <c r="AE753" s="61"/>
      <c r="AF753" s="61"/>
      <c r="AG753" s="61"/>
      <c r="AH753" s="61"/>
      <c r="AI753" s="61"/>
      <c r="AJ753" s="61"/>
      <c r="AK753" s="61"/>
      <c r="AL753" s="61"/>
      <c r="AM753" s="61"/>
      <c r="AN753" s="61"/>
      <c r="AO753" s="61"/>
      <c r="AP753" s="61"/>
    </row>
    <row r="754" spans="1:42" ht="15.75" customHeight="1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  <c r="AO754" s="61"/>
      <c r="AP754" s="61"/>
    </row>
    <row r="755" spans="1:42" ht="15.75" customHeight="1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  <c r="AE755" s="61"/>
      <c r="AF755" s="61"/>
      <c r="AG755" s="61"/>
      <c r="AH755" s="61"/>
      <c r="AI755" s="61"/>
      <c r="AJ755" s="61"/>
      <c r="AK755" s="61"/>
      <c r="AL755" s="61"/>
      <c r="AM755" s="61"/>
      <c r="AN755" s="61"/>
      <c r="AO755" s="61"/>
      <c r="AP755" s="61"/>
    </row>
    <row r="756" spans="1:42" ht="15.75" customHeight="1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  <c r="AE756" s="61"/>
      <c r="AF756" s="61"/>
      <c r="AG756" s="61"/>
      <c r="AH756" s="61"/>
      <c r="AI756" s="61"/>
      <c r="AJ756" s="61"/>
      <c r="AK756" s="61"/>
      <c r="AL756" s="61"/>
      <c r="AM756" s="61"/>
      <c r="AN756" s="61"/>
      <c r="AO756" s="61"/>
      <c r="AP756" s="61"/>
    </row>
    <row r="757" spans="1:42" ht="15.75" customHeight="1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  <c r="AO757" s="61"/>
      <c r="AP757" s="61"/>
    </row>
    <row r="758" spans="1:42" ht="15.75" customHeight="1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1"/>
      <c r="AJ758" s="61"/>
      <c r="AK758" s="61"/>
      <c r="AL758" s="61"/>
      <c r="AM758" s="61"/>
      <c r="AN758" s="61"/>
      <c r="AO758" s="61"/>
      <c r="AP758" s="61"/>
    </row>
    <row r="759" spans="1:42" ht="15.75" customHeight="1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  <c r="AO759" s="61"/>
      <c r="AP759" s="61"/>
    </row>
    <row r="760" spans="1:42" ht="15.75" customHeight="1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</row>
    <row r="761" spans="1:42" ht="15.75" customHeight="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</row>
    <row r="762" spans="1:42" ht="15.75" customHeight="1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  <c r="AO762" s="61"/>
      <c r="AP762" s="61"/>
    </row>
    <row r="763" spans="1:42" ht="15.75" customHeight="1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  <c r="AO763" s="61"/>
      <c r="AP763" s="61"/>
    </row>
    <row r="764" spans="1:42" ht="15.75" customHeight="1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  <c r="AO764" s="61"/>
      <c r="AP764" s="61"/>
    </row>
    <row r="765" spans="1:42" ht="15.75" customHeight="1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  <c r="AO765" s="61"/>
      <c r="AP765" s="61"/>
    </row>
    <row r="766" spans="1:42" ht="15.75" customHeight="1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</row>
    <row r="767" spans="1:42" ht="15.75" customHeight="1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  <c r="AE767" s="61"/>
      <c r="AF767" s="61"/>
      <c r="AG767" s="61"/>
      <c r="AH767" s="61"/>
      <c r="AI767" s="61"/>
      <c r="AJ767" s="61"/>
      <c r="AK767" s="61"/>
      <c r="AL767" s="61"/>
      <c r="AM767" s="61"/>
      <c r="AN767" s="61"/>
      <c r="AO767" s="61"/>
      <c r="AP767" s="61"/>
    </row>
    <row r="768" spans="1:42" ht="15.75" customHeight="1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  <c r="AO768" s="61"/>
      <c r="AP768" s="61"/>
    </row>
    <row r="769" spans="1:42" ht="15.75" customHeight="1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  <c r="AI769" s="61"/>
      <c r="AJ769" s="61"/>
      <c r="AK769" s="61"/>
      <c r="AL769" s="61"/>
      <c r="AM769" s="61"/>
      <c r="AN769" s="61"/>
      <c r="AO769" s="61"/>
      <c r="AP769" s="61"/>
    </row>
    <row r="770" spans="1:42" ht="15.75" customHeight="1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</row>
    <row r="771" spans="1:42" ht="15.75" customHeight="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  <c r="AO771" s="61"/>
      <c r="AP771" s="61"/>
    </row>
    <row r="772" spans="1:42" ht="15.75" customHeight="1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  <c r="AE772" s="61"/>
      <c r="AF772" s="61"/>
      <c r="AG772" s="61"/>
      <c r="AH772" s="61"/>
      <c r="AI772" s="61"/>
      <c r="AJ772" s="61"/>
      <c r="AK772" s="61"/>
      <c r="AL772" s="61"/>
      <c r="AM772" s="61"/>
      <c r="AN772" s="61"/>
      <c r="AO772" s="61"/>
      <c r="AP772" s="61"/>
    </row>
    <row r="773" spans="1:42" ht="15.75" customHeight="1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  <c r="AO773" s="61"/>
      <c r="AP773" s="61"/>
    </row>
    <row r="774" spans="1:42" ht="15.75" customHeight="1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  <c r="AO774" s="61"/>
      <c r="AP774" s="61"/>
    </row>
    <row r="775" spans="1:42" ht="15.75" customHeight="1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  <c r="AE775" s="61"/>
      <c r="AF775" s="61"/>
      <c r="AG775" s="61"/>
      <c r="AH775" s="61"/>
      <c r="AI775" s="61"/>
      <c r="AJ775" s="61"/>
      <c r="AK775" s="61"/>
      <c r="AL775" s="61"/>
      <c r="AM775" s="61"/>
      <c r="AN775" s="61"/>
      <c r="AO775" s="61"/>
      <c r="AP775" s="61"/>
    </row>
    <row r="776" spans="1:42" ht="15.75" customHeight="1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  <c r="AE776" s="61"/>
      <c r="AF776" s="61"/>
      <c r="AG776" s="61"/>
      <c r="AH776" s="61"/>
      <c r="AI776" s="61"/>
      <c r="AJ776" s="61"/>
      <c r="AK776" s="61"/>
      <c r="AL776" s="61"/>
      <c r="AM776" s="61"/>
      <c r="AN776" s="61"/>
      <c r="AO776" s="61"/>
      <c r="AP776" s="61"/>
    </row>
    <row r="777" spans="1:42" ht="15.75" customHeight="1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  <c r="AE777" s="61"/>
      <c r="AF777" s="61"/>
      <c r="AG777" s="61"/>
      <c r="AH777" s="61"/>
      <c r="AI777" s="61"/>
      <c r="AJ777" s="61"/>
      <c r="AK777" s="61"/>
      <c r="AL777" s="61"/>
      <c r="AM777" s="61"/>
      <c r="AN777" s="61"/>
      <c r="AO777" s="61"/>
      <c r="AP777" s="61"/>
    </row>
    <row r="778" spans="1:42" ht="15.75" customHeight="1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</row>
    <row r="779" spans="1:42" ht="15.75" customHeight="1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  <c r="AO779" s="61"/>
      <c r="AP779" s="61"/>
    </row>
    <row r="780" spans="1:42" ht="15.75" customHeight="1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  <c r="AE780" s="61"/>
      <c r="AF780" s="61"/>
      <c r="AG780" s="61"/>
      <c r="AH780" s="61"/>
      <c r="AI780" s="61"/>
      <c r="AJ780" s="61"/>
      <c r="AK780" s="61"/>
      <c r="AL780" s="61"/>
      <c r="AM780" s="61"/>
      <c r="AN780" s="61"/>
      <c r="AO780" s="61"/>
      <c r="AP780" s="61"/>
    </row>
    <row r="781" spans="1:42" ht="15.75" customHeight="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  <c r="AE781" s="61"/>
      <c r="AF781" s="61"/>
      <c r="AG781" s="61"/>
      <c r="AH781" s="61"/>
      <c r="AI781" s="61"/>
      <c r="AJ781" s="61"/>
      <c r="AK781" s="61"/>
      <c r="AL781" s="61"/>
      <c r="AM781" s="61"/>
      <c r="AN781" s="61"/>
      <c r="AO781" s="61"/>
      <c r="AP781" s="61"/>
    </row>
    <row r="782" spans="1:42" ht="15.75" customHeight="1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  <c r="AE782" s="61"/>
      <c r="AF782" s="61"/>
      <c r="AG782" s="61"/>
      <c r="AH782" s="61"/>
      <c r="AI782" s="61"/>
      <c r="AJ782" s="61"/>
      <c r="AK782" s="61"/>
      <c r="AL782" s="61"/>
      <c r="AM782" s="61"/>
      <c r="AN782" s="61"/>
      <c r="AO782" s="61"/>
      <c r="AP782" s="61"/>
    </row>
    <row r="783" spans="1:42" ht="15.75" customHeight="1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  <c r="AO783" s="61"/>
      <c r="AP783" s="61"/>
    </row>
    <row r="784" spans="1:42" ht="15.75" customHeight="1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  <c r="AD784" s="61"/>
      <c r="AE784" s="61"/>
      <c r="AF784" s="61"/>
      <c r="AG784" s="61"/>
      <c r="AH784" s="61"/>
      <c r="AI784" s="61"/>
      <c r="AJ784" s="61"/>
      <c r="AK784" s="61"/>
      <c r="AL784" s="61"/>
      <c r="AM784" s="61"/>
      <c r="AN784" s="61"/>
      <c r="AO784" s="61"/>
      <c r="AP784" s="61"/>
    </row>
    <row r="785" spans="1:42" ht="15.75" customHeight="1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  <c r="AD785" s="61"/>
      <c r="AE785" s="61"/>
      <c r="AF785" s="61"/>
      <c r="AG785" s="61"/>
      <c r="AH785" s="61"/>
      <c r="AI785" s="61"/>
      <c r="AJ785" s="61"/>
      <c r="AK785" s="61"/>
      <c r="AL785" s="61"/>
      <c r="AM785" s="61"/>
      <c r="AN785" s="61"/>
      <c r="AO785" s="61"/>
      <c r="AP785" s="61"/>
    </row>
    <row r="786" spans="1:42" ht="15.75" customHeight="1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  <c r="AD786" s="61"/>
      <c r="AE786" s="61"/>
      <c r="AF786" s="61"/>
      <c r="AG786" s="61"/>
      <c r="AH786" s="61"/>
      <c r="AI786" s="61"/>
      <c r="AJ786" s="61"/>
      <c r="AK786" s="61"/>
      <c r="AL786" s="61"/>
      <c r="AM786" s="61"/>
      <c r="AN786" s="61"/>
      <c r="AO786" s="61"/>
      <c r="AP786" s="61"/>
    </row>
    <row r="787" spans="1:42" ht="15.75" customHeight="1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  <c r="AE787" s="61"/>
      <c r="AF787" s="61"/>
      <c r="AG787" s="61"/>
      <c r="AH787" s="61"/>
      <c r="AI787" s="61"/>
      <c r="AJ787" s="61"/>
      <c r="AK787" s="61"/>
      <c r="AL787" s="61"/>
      <c r="AM787" s="61"/>
      <c r="AN787" s="61"/>
      <c r="AO787" s="61"/>
      <c r="AP787" s="61"/>
    </row>
    <row r="788" spans="1:42" ht="15.75" customHeight="1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  <c r="AE788" s="61"/>
      <c r="AF788" s="61"/>
      <c r="AG788" s="61"/>
      <c r="AH788" s="61"/>
      <c r="AI788" s="61"/>
      <c r="AJ788" s="61"/>
      <c r="AK788" s="61"/>
      <c r="AL788" s="61"/>
      <c r="AM788" s="61"/>
      <c r="AN788" s="61"/>
      <c r="AO788" s="61"/>
      <c r="AP788" s="61"/>
    </row>
    <row r="789" spans="1:42" ht="15.75" customHeight="1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  <c r="AE789" s="61"/>
      <c r="AF789" s="61"/>
      <c r="AG789" s="61"/>
      <c r="AH789" s="61"/>
      <c r="AI789" s="61"/>
      <c r="AJ789" s="61"/>
      <c r="AK789" s="61"/>
      <c r="AL789" s="61"/>
      <c r="AM789" s="61"/>
      <c r="AN789" s="61"/>
      <c r="AO789" s="61"/>
      <c r="AP789" s="61"/>
    </row>
    <row r="790" spans="1:42" ht="15.75" customHeight="1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  <c r="AE790" s="61"/>
      <c r="AF790" s="61"/>
      <c r="AG790" s="61"/>
      <c r="AH790" s="61"/>
      <c r="AI790" s="61"/>
      <c r="AJ790" s="61"/>
      <c r="AK790" s="61"/>
      <c r="AL790" s="61"/>
      <c r="AM790" s="61"/>
      <c r="AN790" s="61"/>
      <c r="AO790" s="61"/>
      <c r="AP790" s="61"/>
    </row>
    <row r="791" spans="1:42" ht="15.75" customHeight="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  <c r="AO791" s="61"/>
      <c r="AP791" s="61"/>
    </row>
    <row r="792" spans="1:42" ht="15.75" customHeight="1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  <c r="AI792" s="61"/>
      <c r="AJ792" s="61"/>
      <c r="AK792" s="61"/>
      <c r="AL792" s="61"/>
      <c r="AM792" s="61"/>
      <c r="AN792" s="61"/>
      <c r="AO792" s="61"/>
      <c r="AP792" s="61"/>
    </row>
    <row r="793" spans="1:42" ht="15.75" customHeight="1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</row>
    <row r="794" spans="1:42" ht="15.75" customHeight="1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  <c r="AD794" s="61"/>
      <c r="AE794" s="61"/>
      <c r="AF794" s="61"/>
      <c r="AG794" s="61"/>
      <c r="AH794" s="61"/>
      <c r="AI794" s="61"/>
      <c r="AJ794" s="61"/>
      <c r="AK794" s="61"/>
      <c r="AL794" s="61"/>
      <c r="AM794" s="61"/>
      <c r="AN794" s="61"/>
      <c r="AO794" s="61"/>
      <c r="AP794" s="61"/>
    </row>
    <row r="795" spans="1:42" ht="15.75" customHeight="1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  <c r="AD795" s="61"/>
      <c r="AE795" s="61"/>
      <c r="AF795" s="61"/>
      <c r="AG795" s="61"/>
      <c r="AH795" s="61"/>
      <c r="AI795" s="61"/>
      <c r="AJ795" s="61"/>
      <c r="AK795" s="61"/>
      <c r="AL795" s="61"/>
      <c r="AM795" s="61"/>
      <c r="AN795" s="61"/>
      <c r="AO795" s="61"/>
      <c r="AP795" s="61"/>
    </row>
    <row r="796" spans="1:42" ht="15.75" customHeight="1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  <c r="AO796" s="61"/>
      <c r="AP796" s="61"/>
    </row>
    <row r="797" spans="1:42" ht="15.75" customHeight="1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  <c r="AD797" s="61"/>
      <c r="AE797" s="61"/>
      <c r="AF797" s="61"/>
      <c r="AG797" s="61"/>
      <c r="AH797" s="61"/>
      <c r="AI797" s="61"/>
      <c r="AJ797" s="61"/>
      <c r="AK797" s="61"/>
      <c r="AL797" s="61"/>
      <c r="AM797" s="61"/>
      <c r="AN797" s="61"/>
      <c r="AO797" s="61"/>
      <c r="AP797" s="61"/>
    </row>
    <row r="798" spans="1:42" ht="15.75" customHeight="1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  <c r="AD798" s="61"/>
      <c r="AE798" s="61"/>
      <c r="AF798" s="61"/>
      <c r="AG798" s="61"/>
      <c r="AH798" s="61"/>
      <c r="AI798" s="61"/>
      <c r="AJ798" s="61"/>
      <c r="AK798" s="61"/>
      <c r="AL798" s="61"/>
      <c r="AM798" s="61"/>
      <c r="AN798" s="61"/>
      <c r="AO798" s="61"/>
      <c r="AP798" s="61"/>
    </row>
    <row r="799" spans="1:42" ht="15.75" customHeight="1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  <c r="AD799" s="61"/>
      <c r="AE799" s="61"/>
      <c r="AF799" s="61"/>
      <c r="AG799" s="61"/>
      <c r="AH799" s="61"/>
      <c r="AI799" s="61"/>
      <c r="AJ799" s="61"/>
      <c r="AK799" s="61"/>
      <c r="AL799" s="61"/>
      <c r="AM799" s="61"/>
      <c r="AN799" s="61"/>
      <c r="AO799" s="61"/>
      <c r="AP799" s="61"/>
    </row>
    <row r="800" spans="1:42" ht="15.75" customHeight="1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  <c r="AD800" s="61"/>
      <c r="AE800" s="61"/>
      <c r="AF800" s="61"/>
      <c r="AG800" s="61"/>
      <c r="AH800" s="61"/>
      <c r="AI800" s="61"/>
      <c r="AJ800" s="61"/>
      <c r="AK800" s="61"/>
      <c r="AL800" s="61"/>
      <c r="AM800" s="61"/>
      <c r="AN800" s="61"/>
      <c r="AO800" s="61"/>
      <c r="AP800" s="61"/>
    </row>
    <row r="801" spans="1:42" ht="15.75" customHeight="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  <c r="AD801" s="61"/>
      <c r="AE801" s="61"/>
      <c r="AF801" s="61"/>
      <c r="AG801" s="61"/>
      <c r="AH801" s="61"/>
      <c r="AI801" s="61"/>
      <c r="AJ801" s="61"/>
      <c r="AK801" s="61"/>
      <c r="AL801" s="61"/>
      <c r="AM801" s="61"/>
      <c r="AN801" s="61"/>
      <c r="AO801" s="61"/>
      <c r="AP801" s="61"/>
    </row>
    <row r="802" spans="1:42" ht="15.75" customHeight="1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  <c r="AD802" s="61"/>
      <c r="AE802" s="61"/>
      <c r="AF802" s="61"/>
      <c r="AG802" s="61"/>
      <c r="AH802" s="61"/>
      <c r="AI802" s="61"/>
      <c r="AJ802" s="61"/>
      <c r="AK802" s="61"/>
      <c r="AL802" s="61"/>
      <c r="AM802" s="61"/>
      <c r="AN802" s="61"/>
      <c r="AO802" s="61"/>
      <c r="AP802" s="61"/>
    </row>
    <row r="803" spans="1:42" ht="15.75" customHeight="1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  <c r="AO803" s="61"/>
      <c r="AP803" s="61"/>
    </row>
    <row r="804" spans="1:42" ht="15.75" customHeight="1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  <c r="AE804" s="61"/>
      <c r="AF804" s="61"/>
      <c r="AG804" s="61"/>
      <c r="AH804" s="61"/>
      <c r="AI804" s="61"/>
      <c r="AJ804" s="61"/>
      <c r="AK804" s="61"/>
      <c r="AL804" s="61"/>
      <c r="AM804" s="61"/>
      <c r="AN804" s="61"/>
      <c r="AO804" s="61"/>
      <c r="AP804" s="61"/>
    </row>
    <row r="805" spans="1:42" ht="15.75" customHeight="1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  <c r="AE805" s="61"/>
      <c r="AF805" s="61"/>
      <c r="AG805" s="61"/>
      <c r="AH805" s="61"/>
      <c r="AI805" s="61"/>
      <c r="AJ805" s="61"/>
      <c r="AK805" s="61"/>
      <c r="AL805" s="61"/>
      <c r="AM805" s="61"/>
      <c r="AN805" s="61"/>
      <c r="AO805" s="61"/>
      <c r="AP805" s="61"/>
    </row>
    <row r="806" spans="1:42" ht="15.75" customHeight="1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  <c r="AE806" s="61"/>
      <c r="AF806" s="61"/>
      <c r="AG806" s="61"/>
      <c r="AH806" s="61"/>
      <c r="AI806" s="61"/>
      <c r="AJ806" s="61"/>
      <c r="AK806" s="61"/>
      <c r="AL806" s="61"/>
      <c r="AM806" s="61"/>
      <c r="AN806" s="61"/>
      <c r="AO806" s="61"/>
      <c r="AP806" s="61"/>
    </row>
    <row r="807" spans="1:42" ht="15.75" customHeight="1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  <c r="AD807" s="61"/>
      <c r="AE807" s="61"/>
      <c r="AF807" s="61"/>
      <c r="AG807" s="61"/>
      <c r="AH807" s="61"/>
      <c r="AI807" s="61"/>
      <c r="AJ807" s="61"/>
      <c r="AK807" s="61"/>
      <c r="AL807" s="61"/>
      <c r="AM807" s="61"/>
      <c r="AN807" s="61"/>
      <c r="AO807" s="61"/>
      <c r="AP807" s="61"/>
    </row>
    <row r="808" spans="1:42" ht="15.75" customHeight="1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  <c r="AD808" s="61"/>
      <c r="AE808" s="61"/>
      <c r="AF808" s="61"/>
      <c r="AG808" s="61"/>
      <c r="AH808" s="61"/>
      <c r="AI808" s="61"/>
      <c r="AJ808" s="61"/>
      <c r="AK808" s="61"/>
      <c r="AL808" s="61"/>
      <c r="AM808" s="61"/>
      <c r="AN808" s="61"/>
      <c r="AO808" s="61"/>
      <c r="AP808" s="61"/>
    </row>
    <row r="809" spans="1:42" ht="15.75" customHeight="1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  <c r="AD809" s="61"/>
      <c r="AE809" s="61"/>
      <c r="AF809" s="61"/>
      <c r="AG809" s="61"/>
      <c r="AH809" s="61"/>
      <c r="AI809" s="61"/>
      <c r="AJ809" s="61"/>
      <c r="AK809" s="61"/>
      <c r="AL809" s="61"/>
      <c r="AM809" s="61"/>
      <c r="AN809" s="61"/>
      <c r="AO809" s="61"/>
      <c r="AP809" s="61"/>
    </row>
    <row r="810" spans="1:42" ht="15.75" customHeight="1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  <c r="AD810" s="61"/>
      <c r="AE810" s="61"/>
      <c r="AF810" s="61"/>
      <c r="AG810" s="61"/>
      <c r="AH810" s="61"/>
      <c r="AI810" s="61"/>
      <c r="AJ810" s="61"/>
      <c r="AK810" s="61"/>
      <c r="AL810" s="61"/>
      <c r="AM810" s="61"/>
      <c r="AN810" s="61"/>
      <c r="AO810" s="61"/>
      <c r="AP810" s="61"/>
    </row>
    <row r="811" spans="1:42" ht="15.75" customHeight="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  <c r="AD811" s="61"/>
      <c r="AE811" s="61"/>
      <c r="AF811" s="61"/>
      <c r="AG811" s="61"/>
      <c r="AH811" s="61"/>
      <c r="AI811" s="61"/>
      <c r="AJ811" s="61"/>
      <c r="AK811" s="61"/>
      <c r="AL811" s="61"/>
      <c r="AM811" s="61"/>
      <c r="AN811" s="61"/>
      <c r="AO811" s="61"/>
      <c r="AP811" s="61"/>
    </row>
    <row r="812" spans="1:42" ht="15.75" customHeight="1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  <c r="AD812" s="61"/>
      <c r="AE812" s="61"/>
      <c r="AF812" s="61"/>
      <c r="AG812" s="61"/>
      <c r="AH812" s="61"/>
      <c r="AI812" s="61"/>
      <c r="AJ812" s="61"/>
      <c r="AK812" s="61"/>
      <c r="AL812" s="61"/>
      <c r="AM812" s="61"/>
      <c r="AN812" s="61"/>
      <c r="AO812" s="61"/>
      <c r="AP812" s="61"/>
    </row>
    <row r="813" spans="1:42" ht="15.75" customHeight="1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  <c r="AN813" s="61"/>
      <c r="AO813" s="61"/>
      <c r="AP813" s="61"/>
    </row>
    <row r="814" spans="1:42" ht="15.75" customHeight="1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  <c r="AO814" s="61"/>
      <c r="AP814" s="61"/>
    </row>
    <row r="815" spans="1:42" ht="15.75" customHeight="1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  <c r="AE815" s="61"/>
      <c r="AF815" s="61"/>
      <c r="AG815" s="61"/>
      <c r="AH815" s="61"/>
      <c r="AI815" s="61"/>
      <c r="AJ815" s="61"/>
      <c r="AK815" s="61"/>
      <c r="AL815" s="61"/>
      <c r="AM815" s="61"/>
      <c r="AN815" s="61"/>
      <c r="AO815" s="61"/>
      <c r="AP815" s="61"/>
    </row>
    <row r="816" spans="1:42" ht="15.75" customHeight="1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1"/>
      <c r="AJ816" s="61"/>
      <c r="AK816" s="61"/>
      <c r="AL816" s="61"/>
      <c r="AM816" s="61"/>
      <c r="AN816" s="61"/>
      <c r="AO816" s="61"/>
      <c r="AP816" s="61"/>
    </row>
    <row r="817" spans="1:42" ht="15.75" customHeight="1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  <c r="AE817" s="61"/>
      <c r="AF817" s="61"/>
      <c r="AG817" s="61"/>
      <c r="AH817" s="61"/>
      <c r="AI817" s="61"/>
      <c r="AJ817" s="61"/>
      <c r="AK817" s="61"/>
      <c r="AL817" s="61"/>
      <c r="AM817" s="61"/>
      <c r="AN817" s="61"/>
      <c r="AO817" s="61"/>
      <c r="AP817" s="61"/>
    </row>
    <row r="818" spans="1:42" ht="15.75" customHeight="1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  <c r="AI818" s="61"/>
      <c r="AJ818" s="61"/>
      <c r="AK818" s="61"/>
      <c r="AL818" s="61"/>
      <c r="AM818" s="61"/>
      <c r="AN818" s="61"/>
      <c r="AO818" s="61"/>
      <c r="AP818" s="61"/>
    </row>
    <row r="819" spans="1:42" ht="15.75" customHeight="1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  <c r="AE819" s="61"/>
      <c r="AF819" s="61"/>
      <c r="AG819" s="61"/>
      <c r="AH819" s="61"/>
      <c r="AI819" s="61"/>
      <c r="AJ819" s="61"/>
      <c r="AK819" s="61"/>
      <c r="AL819" s="61"/>
      <c r="AM819" s="61"/>
      <c r="AN819" s="61"/>
      <c r="AO819" s="61"/>
      <c r="AP819" s="61"/>
    </row>
    <row r="820" spans="1:42" ht="15.75" customHeight="1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  <c r="AE820" s="61"/>
      <c r="AF820" s="61"/>
      <c r="AG820" s="61"/>
      <c r="AH820" s="61"/>
      <c r="AI820" s="61"/>
      <c r="AJ820" s="61"/>
      <c r="AK820" s="61"/>
      <c r="AL820" s="61"/>
      <c r="AM820" s="61"/>
      <c r="AN820" s="61"/>
      <c r="AO820" s="61"/>
      <c r="AP820" s="61"/>
    </row>
    <row r="821" spans="1:42" ht="15.75" customHeight="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  <c r="AE821" s="61"/>
      <c r="AF821" s="61"/>
      <c r="AG821" s="61"/>
      <c r="AH821" s="61"/>
      <c r="AI821" s="61"/>
      <c r="AJ821" s="61"/>
      <c r="AK821" s="61"/>
      <c r="AL821" s="61"/>
      <c r="AM821" s="61"/>
      <c r="AN821" s="61"/>
      <c r="AO821" s="61"/>
      <c r="AP821" s="61"/>
    </row>
    <row r="822" spans="1:42" ht="15.75" customHeight="1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  <c r="AO822" s="61"/>
      <c r="AP822" s="61"/>
    </row>
    <row r="823" spans="1:42" ht="15.75" customHeight="1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  <c r="AE823" s="61"/>
      <c r="AF823" s="61"/>
      <c r="AG823" s="61"/>
      <c r="AH823" s="61"/>
      <c r="AI823" s="61"/>
      <c r="AJ823" s="61"/>
      <c r="AK823" s="61"/>
      <c r="AL823" s="61"/>
      <c r="AM823" s="61"/>
      <c r="AN823" s="61"/>
      <c r="AO823" s="61"/>
      <c r="AP823" s="61"/>
    </row>
    <row r="824" spans="1:42" ht="15.75" customHeight="1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  <c r="AE824" s="61"/>
      <c r="AF824" s="61"/>
      <c r="AG824" s="61"/>
      <c r="AH824" s="61"/>
      <c r="AI824" s="61"/>
      <c r="AJ824" s="61"/>
      <c r="AK824" s="61"/>
      <c r="AL824" s="61"/>
      <c r="AM824" s="61"/>
      <c r="AN824" s="61"/>
      <c r="AO824" s="61"/>
      <c r="AP824" s="61"/>
    </row>
    <row r="825" spans="1:42" ht="15.75" customHeight="1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1"/>
      <c r="AJ825" s="61"/>
      <c r="AK825" s="61"/>
      <c r="AL825" s="61"/>
      <c r="AM825" s="61"/>
      <c r="AN825" s="61"/>
      <c r="AO825" s="61"/>
      <c r="AP825" s="61"/>
    </row>
    <row r="826" spans="1:42" ht="15.75" customHeight="1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</row>
    <row r="827" spans="1:42" ht="15.75" customHeight="1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  <c r="AI827" s="61"/>
      <c r="AJ827" s="61"/>
      <c r="AK827" s="61"/>
      <c r="AL827" s="61"/>
      <c r="AM827" s="61"/>
      <c r="AN827" s="61"/>
      <c r="AO827" s="61"/>
      <c r="AP827" s="61"/>
    </row>
    <row r="828" spans="1:42" ht="15.75" customHeight="1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  <c r="AO828" s="61"/>
      <c r="AP828" s="61"/>
    </row>
    <row r="829" spans="1:42" ht="15.75" customHeight="1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  <c r="AO829" s="61"/>
      <c r="AP829" s="61"/>
    </row>
    <row r="830" spans="1:42" ht="15.75" customHeight="1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</row>
    <row r="831" spans="1:42" ht="15.75" customHeight="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1"/>
      <c r="AJ831" s="61"/>
      <c r="AK831" s="61"/>
      <c r="AL831" s="61"/>
      <c r="AM831" s="61"/>
      <c r="AN831" s="61"/>
      <c r="AO831" s="61"/>
      <c r="AP831" s="61"/>
    </row>
    <row r="832" spans="1:42" ht="15.75" customHeight="1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  <c r="AO832" s="61"/>
      <c r="AP832" s="61"/>
    </row>
    <row r="833" spans="1:42" ht="15.75" customHeight="1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  <c r="AG833" s="61"/>
      <c r="AH833" s="61"/>
      <c r="AI833" s="61"/>
      <c r="AJ833" s="61"/>
      <c r="AK833" s="61"/>
      <c r="AL833" s="61"/>
      <c r="AM833" s="61"/>
      <c r="AN833" s="61"/>
      <c r="AO833" s="61"/>
      <c r="AP833" s="61"/>
    </row>
    <row r="834" spans="1:42" ht="15.75" customHeight="1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</row>
    <row r="835" spans="1:42" ht="15.75" customHeight="1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  <c r="AO835" s="61"/>
      <c r="AP835" s="61"/>
    </row>
    <row r="836" spans="1:42" ht="15.75" customHeight="1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  <c r="AO836" s="61"/>
      <c r="AP836" s="61"/>
    </row>
    <row r="837" spans="1:42" ht="15.75" customHeight="1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  <c r="AE837" s="61"/>
      <c r="AF837" s="61"/>
      <c r="AG837" s="61"/>
      <c r="AH837" s="61"/>
      <c r="AI837" s="61"/>
      <c r="AJ837" s="61"/>
      <c r="AK837" s="61"/>
      <c r="AL837" s="61"/>
      <c r="AM837" s="61"/>
      <c r="AN837" s="61"/>
      <c r="AO837" s="61"/>
      <c r="AP837" s="61"/>
    </row>
    <row r="838" spans="1:42" ht="15.75" customHeight="1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</row>
    <row r="839" spans="1:42" ht="15.75" customHeight="1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  <c r="AO839" s="61"/>
      <c r="AP839" s="61"/>
    </row>
    <row r="840" spans="1:42" ht="15.75" customHeight="1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  <c r="AE840" s="61"/>
      <c r="AF840" s="61"/>
      <c r="AG840" s="61"/>
      <c r="AH840" s="61"/>
      <c r="AI840" s="61"/>
      <c r="AJ840" s="61"/>
      <c r="AK840" s="61"/>
      <c r="AL840" s="61"/>
      <c r="AM840" s="61"/>
      <c r="AN840" s="61"/>
      <c r="AO840" s="61"/>
      <c r="AP840" s="61"/>
    </row>
    <row r="841" spans="1:42" ht="15.75" customHeight="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  <c r="AE841" s="61"/>
      <c r="AF841" s="61"/>
      <c r="AG841" s="61"/>
      <c r="AH841" s="61"/>
      <c r="AI841" s="61"/>
      <c r="AJ841" s="61"/>
      <c r="AK841" s="61"/>
      <c r="AL841" s="61"/>
      <c r="AM841" s="61"/>
      <c r="AN841" s="61"/>
      <c r="AO841" s="61"/>
      <c r="AP841" s="61"/>
    </row>
    <row r="842" spans="1:42" ht="15.75" customHeight="1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  <c r="AE842" s="61"/>
      <c r="AF842" s="61"/>
      <c r="AG842" s="61"/>
      <c r="AH842" s="61"/>
      <c r="AI842" s="61"/>
      <c r="AJ842" s="61"/>
      <c r="AK842" s="61"/>
      <c r="AL842" s="61"/>
      <c r="AM842" s="61"/>
      <c r="AN842" s="61"/>
      <c r="AO842" s="61"/>
      <c r="AP842" s="61"/>
    </row>
    <row r="843" spans="1:42" ht="15.75" customHeight="1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  <c r="AE843" s="61"/>
      <c r="AF843" s="61"/>
      <c r="AG843" s="61"/>
      <c r="AH843" s="61"/>
      <c r="AI843" s="61"/>
      <c r="AJ843" s="61"/>
      <c r="AK843" s="61"/>
      <c r="AL843" s="61"/>
      <c r="AM843" s="61"/>
      <c r="AN843" s="61"/>
      <c r="AO843" s="61"/>
      <c r="AP843" s="61"/>
    </row>
    <row r="844" spans="1:42" ht="15.75" customHeight="1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  <c r="AE844" s="61"/>
      <c r="AF844" s="61"/>
      <c r="AG844" s="61"/>
      <c r="AH844" s="61"/>
      <c r="AI844" s="61"/>
      <c r="AJ844" s="61"/>
      <c r="AK844" s="61"/>
      <c r="AL844" s="61"/>
      <c r="AM844" s="61"/>
      <c r="AN844" s="61"/>
      <c r="AO844" s="61"/>
      <c r="AP844" s="61"/>
    </row>
    <row r="845" spans="1:42" ht="15.75" customHeight="1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  <c r="AD845" s="61"/>
      <c r="AE845" s="61"/>
      <c r="AF845" s="61"/>
      <c r="AG845" s="61"/>
      <c r="AH845" s="61"/>
      <c r="AI845" s="61"/>
      <c r="AJ845" s="61"/>
      <c r="AK845" s="61"/>
      <c r="AL845" s="61"/>
      <c r="AM845" s="61"/>
      <c r="AN845" s="61"/>
      <c r="AO845" s="61"/>
      <c r="AP845" s="61"/>
    </row>
    <row r="846" spans="1:42" ht="15.75" customHeight="1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  <c r="AD846" s="61"/>
      <c r="AE846" s="61"/>
      <c r="AF846" s="61"/>
      <c r="AG846" s="61"/>
      <c r="AH846" s="61"/>
      <c r="AI846" s="61"/>
      <c r="AJ846" s="61"/>
      <c r="AK846" s="61"/>
      <c r="AL846" s="61"/>
      <c r="AM846" s="61"/>
      <c r="AN846" s="61"/>
      <c r="AO846" s="61"/>
      <c r="AP846" s="61"/>
    </row>
    <row r="847" spans="1:42" ht="15.75" customHeight="1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  <c r="AD847" s="61"/>
      <c r="AE847" s="61"/>
      <c r="AF847" s="61"/>
      <c r="AG847" s="61"/>
      <c r="AH847" s="61"/>
      <c r="AI847" s="61"/>
      <c r="AJ847" s="61"/>
      <c r="AK847" s="61"/>
      <c r="AL847" s="61"/>
      <c r="AM847" s="61"/>
      <c r="AN847" s="61"/>
      <c r="AO847" s="61"/>
      <c r="AP847" s="61"/>
    </row>
    <row r="848" spans="1:42" ht="15.75" customHeight="1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  <c r="AD848" s="61"/>
      <c r="AE848" s="61"/>
      <c r="AF848" s="61"/>
      <c r="AG848" s="61"/>
      <c r="AH848" s="61"/>
      <c r="AI848" s="61"/>
      <c r="AJ848" s="61"/>
      <c r="AK848" s="61"/>
      <c r="AL848" s="61"/>
      <c r="AM848" s="61"/>
      <c r="AN848" s="61"/>
      <c r="AO848" s="61"/>
      <c r="AP848" s="61"/>
    </row>
    <row r="849" spans="1:42" ht="15.75" customHeight="1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  <c r="AD849" s="61"/>
      <c r="AE849" s="61"/>
      <c r="AF849" s="61"/>
      <c r="AG849" s="61"/>
      <c r="AH849" s="61"/>
      <c r="AI849" s="61"/>
      <c r="AJ849" s="61"/>
      <c r="AK849" s="61"/>
      <c r="AL849" s="61"/>
      <c r="AM849" s="61"/>
      <c r="AN849" s="61"/>
      <c r="AO849" s="61"/>
      <c r="AP849" s="61"/>
    </row>
    <row r="850" spans="1:42" ht="15.75" customHeight="1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</row>
    <row r="851" spans="1:42" ht="15.75" customHeight="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  <c r="AD851" s="61"/>
      <c r="AE851" s="61"/>
      <c r="AF851" s="61"/>
      <c r="AG851" s="61"/>
      <c r="AH851" s="61"/>
      <c r="AI851" s="61"/>
      <c r="AJ851" s="61"/>
      <c r="AK851" s="61"/>
      <c r="AL851" s="61"/>
      <c r="AM851" s="61"/>
      <c r="AN851" s="61"/>
      <c r="AO851" s="61"/>
      <c r="AP851" s="61"/>
    </row>
    <row r="852" spans="1:42" ht="15.75" customHeight="1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  <c r="AD852" s="61"/>
      <c r="AE852" s="61"/>
      <c r="AF852" s="61"/>
      <c r="AG852" s="61"/>
      <c r="AH852" s="61"/>
      <c r="AI852" s="61"/>
      <c r="AJ852" s="61"/>
      <c r="AK852" s="61"/>
      <c r="AL852" s="61"/>
      <c r="AM852" s="61"/>
      <c r="AN852" s="61"/>
      <c r="AO852" s="61"/>
      <c r="AP852" s="61"/>
    </row>
    <row r="853" spans="1:42" ht="15.75" customHeight="1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  <c r="AD853" s="61"/>
      <c r="AE853" s="61"/>
      <c r="AF853" s="61"/>
      <c r="AG853" s="61"/>
      <c r="AH853" s="61"/>
      <c r="AI853" s="61"/>
      <c r="AJ853" s="61"/>
      <c r="AK853" s="61"/>
      <c r="AL853" s="61"/>
      <c r="AM853" s="61"/>
      <c r="AN853" s="61"/>
      <c r="AO853" s="61"/>
      <c r="AP853" s="61"/>
    </row>
    <row r="854" spans="1:42" ht="15.75" customHeight="1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  <c r="AD854" s="61"/>
      <c r="AE854" s="61"/>
      <c r="AF854" s="61"/>
      <c r="AG854" s="61"/>
      <c r="AH854" s="61"/>
      <c r="AI854" s="61"/>
      <c r="AJ854" s="61"/>
      <c r="AK854" s="61"/>
      <c r="AL854" s="61"/>
      <c r="AM854" s="61"/>
      <c r="AN854" s="61"/>
      <c r="AO854" s="61"/>
      <c r="AP854" s="61"/>
    </row>
    <row r="855" spans="1:42" ht="15.75" customHeight="1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  <c r="AD855" s="61"/>
      <c r="AE855" s="61"/>
      <c r="AF855" s="61"/>
      <c r="AG855" s="61"/>
      <c r="AH855" s="61"/>
      <c r="AI855" s="61"/>
      <c r="AJ855" s="61"/>
      <c r="AK855" s="61"/>
      <c r="AL855" s="61"/>
      <c r="AM855" s="61"/>
      <c r="AN855" s="61"/>
      <c r="AO855" s="61"/>
      <c r="AP855" s="61"/>
    </row>
    <row r="856" spans="1:42" ht="15.75" customHeight="1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  <c r="AD856" s="61"/>
      <c r="AE856" s="61"/>
      <c r="AF856" s="61"/>
      <c r="AG856" s="61"/>
      <c r="AH856" s="61"/>
      <c r="AI856" s="61"/>
      <c r="AJ856" s="61"/>
      <c r="AK856" s="61"/>
      <c r="AL856" s="61"/>
      <c r="AM856" s="61"/>
      <c r="AN856" s="61"/>
      <c r="AO856" s="61"/>
      <c r="AP856" s="61"/>
    </row>
    <row r="857" spans="1:42" ht="15.75" customHeight="1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  <c r="AD857" s="61"/>
      <c r="AE857" s="61"/>
      <c r="AF857" s="61"/>
      <c r="AG857" s="61"/>
      <c r="AH857" s="61"/>
      <c r="AI857" s="61"/>
      <c r="AJ857" s="61"/>
      <c r="AK857" s="61"/>
      <c r="AL857" s="61"/>
      <c r="AM857" s="61"/>
      <c r="AN857" s="61"/>
      <c r="AO857" s="61"/>
      <c r="AP857" s="61"/>
    </row>
    <row r="858" spans="1:42" ht="15.75" customHeight="1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  <c r="AD858" s="61"/>
      <c r="AE858" s="61"/>
      <c r="AF858" s="61"/>
      <c r="AG858" s="61"/>
      <c r="AH858" s="61"/>
      <c r="AI858" s="61"/>
      <c r="AJ858" s="61"/>
      <c r="AK858" s="61"/>
      <c r="AL858" s="61"/>
      <c r="AM858" s="61"/>
      <c r="AN858" s="61"/>
      <c r="AO858" s="61"/>
      <c r="AP858" s="61"/>
    </row>
    <row r="859" spans="1:42" ht="15.75" customHeight="1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  <c r="AD859" s="61"/>
      <c r="AE859" s="61"/>
      <c r="AF859" s="61"/>
      <c r="AG859" s="61"/>
      <c r="AH859" s="61"/>
      <c r="AI859" s="61"/>
      <c r="AJ859" s="61"/>
      <c r="AK859" s="61"/>
      <c r="AL859" s="61"/>
      <c r="AM859" s="61"/>
      <c r="AN859" s="61"/>
      <c r="AO859" s="61"/>
      <c r="AP859" s="61"/>
    </row>
    <row r="860" spans="1:42" ht="15.75" customHeight="1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  <c r="AD860" s="61"/>
      <c r="AE860" s="61"/>
      <c r="AF860" s="61"/>
      <c r="AG860" s="61"/>
      <c r="AH860" s="61"/>
      <c r="AI860" s="61"/>
      <c r="AJ860" s="61"/>
      <c r="AK860" s="61"/>
      <c r="AL860" s="61"/>
      <c r="AM860" s="61"/>
      <c r="AN860" s="61"/>
      <c r="AO860" s="61"/>
      <c r="AP860" s="61"/>
    </row>
    <row r="861" spans="1:42" ht="15.75" customHeight="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  <c r="AE861" s="61"/>
      <c r="AF861" s="61"/>
      <c r="AG861" s="61"/>
      <c r="AH861" s="61"/>
      <c r="AI861" s="61"/>
      <c r="AJ861" s="61"/>
      <c r="AK861" s="61"/>
      <c r="AL861" s="61"/>
      <c r="AM861" s="61"/>
      <c r="AN861" s="61"/>
      <c r="AO861" s="61"/>
      <c r="AP861" s="61"/>
    </row>
    <row r="862" spans="1:42" ht="15.75" customHeight="1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  <c r="AD862" s="61"/>
      <c r="AE862" s="61"/>
      <c r="AF862" s="61"/>
      <c r="AG862" s="61"/>
      <c r="AH862" s="61"/>
      <c r="AI862" s="61"/>
      <c r="AJ862" s="61"/>
      <c r="AK862" s="61"/>
      <c r="AL862" s="61"/>
      <c r="AM862" s="61"/>
      <c r="AN862" s="61"/>
      <c r="AO862" s="61"/>
      <c r="AP862" s="61"/>
    </row>
    <row r="863" spans="1:42" ht="15.75" customHeight="1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  <c r="AD863" s="61"/>
      <c r="AE863" s="61"/>
      <c r="AF863" s="61"/>
      <c r="AG863" s="61"/>
      <c r="AH863" s="61"/>
      <c r="AI863" s="61"/>
      <c r="AJ863" s="61"/>
      <c r="AK863" s="61"/>
      <c r="AL863" s="61"/>
      <c r="AM863" s="61"/>
      <c r="AN863" s="61"/>
      <c r="AO863" s="61"/>
      <c r="AP863" s="61"/>
    </row>
    <row r="864" spans="1:42" ht="15.75" customHeight="1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  <c r="AD864" s="61"/>
      <c r="AE864" s="61"/>
      <c r="AF864" s="61"/>
      <c r="AG864" s="61"/>
      <c r="AH864" s="61"/>
      <c r="AI864" s="61"/>
      <c r="AJ864" s="61"/>
      <c r="AK864" s="61"/>
      <c r="AL864" s="61"/>
      <c r="AM864" s="61"/>
      <c r="AN864" s="61"/>
      <c r="AO864" s="61"/>
      <c r="AP864" s="61"/>
    </row>
    <row r="865" spans="1:42" ht="15.75" customHeight="1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  <c r="AD865" s="61"/>
      <c r="AE865" s="61"/>
      <c r="AF865" s="61"/>
      <c r="AG865" s="61"/>
      <c r="AH865" s="61"/>
      <c r="AI865" s="61"/>
      <c r="AJ865" s="61"/>
      <c r="AK865" s="61"/>
      <c r="AL865" s="61"/>
      <c r="AM865" s="61"/>
      <c r="AN865" s="61"/>
      <c r="AO865" s="61"/>
      <c r="AP865" s="61"/>
    </row>
    <row r="866" spans="1:42" ht="15.75" customHeight="1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  <c r="AD866" s="61"/>
      <c r="AE866" s="61"/>
      <c r="AF866" s="61"/>
      <c r="AG866" s="61"/>
      <c r="AH866" s="61"/>
      <c r="AI866" s="61"/>
      <c r="AJ866" s="61"/>
      <c r="AK866" s="61"/>
      <c r="AL866" s="61"/>
      <c r="AM866" s="61"/>
      <c r="AN866" s="61"/>
      <c r="AO866" s="61"/>
      <c r="AP866" s="61"/>
    </row>
    <row r="867" spans="1:42" ht="15.75" customHeight="1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  <c r="AD867" s="61"/>
      <c r="AE867" s="61"/>
      <c r="AF867" s="61"/>
      <c r="AG867" s="61"/>
      <c r="AH867" s="61"/>
      <c r="AI867" s="61"/>
      <c r="AJ867" s="61"/>
      <c r="AK867" s="61"/>
      <c r="AL867" s="61"/>
      <c r="AM867" s="61"/>
      <c r="AN867" s="61"/>
      <c r="AO867" s="61"/>
      <c r="AP867" s="61"/>
    </row>
    <row r="868" spans="1:42" ht="15.75" customHeight="1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  <c r="AD868" s="61"/>
      <c r="AE868" s="61"/>
      <c r="AF868" s="61"/>
      <c r="AG868" s="61"/>
      <c r="AH868" s="61"/>
      <c r="AI868" s="61"/>
      <c r="AJ868" s="61"/>
      <c r="AK868" s="61"/>
      <c r="AL868" s="61"/>
      <c r="AM868" s="61"/>
      <c r="AN868" s="61"/>
      <c r="AO868" s="61"/>
      <c r="AP868" s="61"/>
    </row>
    <row r="869" spans="1:42" ht="15.75" customHeight="1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  <c r="AD869" s="61"/>
      <c r="AE869" s="61"/>
      <c r="AF869" s="61"/>
      <c r="AG869" s="61"/>
      <c r="AH869" s="61"/>
      <c r="AI869" s="61"/>
      <c r="AJ869" s="61"/>
      <c r="AK869" s="61"/>
      <c r="AL869" s="61"/>
      <c r="AM869" s="61"/>
      <c r="AN869" s="61"/>
      <c r="AO869" s="61"/>
      <c r="AP869" s="61"/>
    </row>
    <row r="870" spans="1:42" ht="15.75" customHeight="1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  <c r="AD870" s="61"/>
      <c r="AE870" s="61"/>
      <c r="AF870" s="61"/>
      <c r="AG870" s="61"/>
      <c r="AH870" s="61"/>
      <c r="AI870" s="61"/>
      <c r="AJ870" s="61"/>
      <c r="AK870" s="61"/>
      <c r="AL870" s="61"/>
      <c r="AM870" s="61"/>
      <c r="AN870" s="61"/>
      <c r="AO870" s="61"/>
      <c r="AP870" s="61"/>
    </row>
    <row r="871" spans="1:42" ht="15.75" customHeight="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  <c r="AD871" s="61"/>
      <c r="AE871" s="61"/>
      <c r="AF871" s="61"/>
      <c r="AG871" s="61"/>
      <c r="AH871" s="61"/>
      <c r="AI871" s="61"/>
      <c r="AJ871" s="61"/>
      <c r="AK871" s="61"/>
      <c r="AL871" s="61"/>
      <c r="AM871" s="61"/>
      <c r="AN871" s="61"/>
      <c r="AO871" s="61"/>
      <c r="AP871" s="61"/>
    </row>
    <row r="872" spans="1:42" ht="15.75" customHeight="1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  <c r="AD872" s="61"/>
      <c r="AE872" s="61"/>
      <c r="AF872" s="61"/>
      <c r="AG872" s="61"/>
      <c r="AH872" s="61"/>
      <c r="AI872" s="61"/>
      <c r="AJ872" s="61"/>
      <c r="AK872" s="61"/>
      <c r="AL872" s="61"/>
      <c r="AM872" s="61"/>
      <c r="AN872" s="61"/>
      <c r="AO872" s="61"/>
      <c r="AP872" s="61"/>
    </row>
    <row r="873" spans="1:42" ht="15.75" customHeight="1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  <c r="AE873" s="61"/>
      <c r="AF873" s="61"/>
      <c r="AG873" s="61"/>
      <c r="AH873" s="61"/>
      <c r="AI873" s="61"/>
      <c r="AJ873" s="61"/>
      <c r="AK873" s="61"/>
      <c r="AL873" s="61"/>
      <c r="AM873" s="61"/>
      <c r="AN873" s="61"/>
      <c r="AO873" s="61"/>
      <c r="AP873" s="61"/>
    </row>
    <row r="874" spans="1:42" ht="15.75" customHeight="1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  <c r="AO874" s="61"/>
      <c r="AP874" s="61"/>
    </row>
    <row r="875" spans="1:42" ht="15.75" customHeight="1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  <c r="AE875" s="61"/>
      <c r="AF875" s="61"/>
      <c r="AG875" s="61"/>
      <c r="AH875" s="61"/>
      <c r="AI875" s="61"/>
      <c r="AJ875" s="61"/>
      <c r="AK875" s="61"/>
      <c r="AL875" s="61"/>
      <c r="AM875" s="61"/>
      <c r="AN875" s="61"/>
      <c r="AO875" s="61"/>
      <c r="AP875" s="61"/>
    </row>
    <row r="876" spans="1:42" ht="15.75" customHeight="1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  <c r="AD876" s="61"/>
      <c r="AE876" s="61"/>
      <c r="AF876" s="61"/>
      <c r="AG876" s="61"/>
      <c r="AH876" s="61"/>
      <c r="AI876" s="61"/>
      <c r="AJ876" s="61"/>
      <c r="AK876" s="61"/>
      <c r="AL876" s="61"/>
      <c r="AM876" s="61"/>
      <c r="AN876" s="61"/>
      <c r="AO876" s="61"/>
      <c r="AP876" s="61"/>
    </row>
    <row r="877" spans="1:42" ht="15.75" customHeight="1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  <c r="AD877" s="61"/>
      <c r="AE877" s="61"/>
      <c r="AF877" s="61"/>
      <c r="AG877" s="61"/>
      <c r="AH877" s="61"/>
      <c r="AI877" s="61"/>
      <c r="AJ877" s="61"/>
      <c r="AK877" s="61"/>
      <c r="AL877" s="61"/>
      <c r="AM877" s="61"/>
      <c r="AN877" s="61"/>
      <c r="AO877" s="61"/>
      <c r="AP877" s="61"/>
    </row>
    <row r="878" spans="1:42" ht="15.75" customHeight="1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  <c r="AD878" s="61"/>
      <c r="AE878" s="61"/>
      <c r="AF878" s="61"/>
      <c r="AG878" s="61"/>
      <c r="AH878" s="61"/>
      <c r="AI878" s="61"/>
      <c r="AJ878" s="61"/>
      <c r="AK878" s="61"/>
      <c r="AL878" s="61"/>
      <c r="AM878" s="61"/>
      <c r="AN878" s="61"/>
      <c r="AO878" s="61"/>
      <c r="AP878" s="61"/>
    </row>
    <row r="879" spans="1:42" ht="15.75" customHeight="1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  <c r="AD879" s="61"/>
      <c r="AE879" s="61"/>
      <c r="AF879" s="61"/>
      <c r="AG879" s="61"/>
      <c r="AH879" s="61"/>
      <c r="AI879" s="61"/>
      <c r="AJ879" s="61"/>
      <c r="AK879" s="61"/>
      <c r="AL879" s="61"/>
      <c r="AM879" s="61"/>
      <c r="AN879" s="61"/>
      <c r="AO879" s="61"/>
      <c r="AP879" s="61"/>
    </row>
    <row r="880" spans="1:42" ht="15.75" customHeight="1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  <c r="AD880" s="61"/>
      <c r="AE880" s="61"/>
      <c r="AF880" s="61"/>
      <c r="AG880" s="61"/>
      <c r="AH880" s="61"/>
      <c r="AI880" s="61"/>
      <c r="AJ880" s="61"/>
      <c r="AK880" s="61"/>
      <c r="AL880" s="61"/>
      <c r="AM880" s="61"/>
      <c r="AN880" s="61"/>
      <c r="AO880" s="61"/>
      <c r="AP880" s="61"/>
    </row>
    <row r="881" spans="1:42" ht="15.75" customHeight="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  <c r="AD881" s="61"/>
      <c r="AE881" s="61"/>
      <c r="AF881" s="61"/>
      <c r="AG881" s="61"/>
      <c r="AH881" s="61"/>
      <c r="AI881" s="61"/>
      <c r="AJ881" s="61"/>
      <c r="AK881" s="61"/>
      <c r="AL881" s="61"/>
      <c r="AM881" s="61"/>
      <c r="AN881" s="61"/>
      <c r="AO881" s="61"/>
      <c r="AP881" s="61"/>
    </row>
    <row r="882" spans="1:42" ht="15.75" customHeight="1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  <c r="AD882" s="61"/>
      <c r="AE882" s="61"/>
      <c r="AF882" s="61"/>
      <c r="AG882" s="61"/>
      <c r="AH882" s="61"/>
      <c r="AI882" s="61"/>
      <c r="AJ882" s="61"/>
      <c r="AK882" s="61"/>
      <c r="AL882" s="61"/>
      <c r="AM882" s="61"/>
      <c r="AN882" s="61"/>
      <c r="AO882" s="61"/>
      <c r="AP882" s="61"/>
    </row>
    <row r="883" spans="1:42" ht="15.75" customHeight="1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  <c r="AD883" s="61"/>
      <c r="AE883" s="61"/>
      <c r="AF883" s="61"/>
      <c r="AG883" s="61"/>
      <c r="AH883" s="61"/>
      <c r="AI883" s="61"/>
      <c r="AJ883" s="61"/>
      <c r="AK883" s="61"/>
      <c r="AL883" s="61"/>
      <c r="AM883" s="61"/>
      <c r="AN883" s="61"/>
      <c r="AO883" s="61"/>
      <c r="AP883" s="61"/>
    </row>
    <row r="884" spans="1:42" ht="15.75" customHeight="1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  <c r="AD884" s="61"/>
      <c r="AE884" s="61"/>
      <c r="AF884" s="61"/>
      <c r="AG884" s="61"/>
      <c r="AH884" s="61"/>
      <c r="AI884" s="61"/>
      <c r="AJ884" s="61"/>
      <c r="AK884" s="61"/>
      <c r="AL884" s="61"/>
      <c r="AM884" s="61"/>
      <c r="AN884" s="61"/>
      <c r="AO884" s="61"/>
      <c r="AP884" s="61"/>
    </row>
    <row r="885" spans="1:42" ht="15.75" customHeight="1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  <c r="AD885" s="61"/>
      <c r="AE885" s="61"/>
      <c r="AF885" s="61"/>
      <c r="AG885" s="61"/>
      <c r="AH885" s="61"/>
      <c r="AI885" s="61"/>
      <c r="AJ885" s="61"/>
      <c r="AK885" s="61"/>
      <c r="AL885" s="61"/>
      <c r="AM885" s="61"/>
      <c r="AN885" s="61"/>
      <c r="AO885" s="61"/>
      <c r="AP885" s="61"/>
    </row>
    <row r="886" spans="1:42" ht="15.75" customHeight="1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  <c r="AD886" s="61"/>
      <c r="AE886" s="61"/>
      <c r="AF886" s="61"/>
      <c r="AG886" s="61"/>
      <c r="AH886" s="61"/>
      <c r="AI886" s="61"/>
      <c r="AJ886" s="61"/>
      <c r="AK886" s="61"/>
      <c r="AL886" s="61"/>
      <c r="AM886" s="61"/>
      <c r="AN886" s="61"/>
      <c r="AO886" s="61"/>
      <c r="AP886" s="61"/>
    </row>
    <row r="887" spans="1:42" ht="15.75" customHeight="1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  <c r="AD887" s="61"/>
      <c r="AE887" s="61"/>
      <c r="AF887" s="61"/>
      <c r="AG887" s="61"/>
      <c r="AH887" s="61"/>
      <c r="AI887" s="61"/>
      <c r="AJ887" s="61"/>
      <c r="AK887" s="61"/>
      <c r="AL887" s="61"/>
      <c r="AM887" s="61"/>
      <c r="AN887" s="61"/>
      <c r="AO887" s="61"/>
      <c r="AP887" s="61"/>
    </row>
    <row r="888" spans="1:42" ht="15.75" customHeight="1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  <c r="AD888" s="61"/>
      <c r="AE888" s="61"/>
      <c r="AF888" s="61"/>
      <c r="AG888" s="61"/>
      <c r="AH888" s="61"/>
      <c r="AI888" s="61"/>
      <c r="AJ888" s="61"/>
      <c r="AK888" s="61"/>
      <c r="AL888" s="61"/>
      <c r="AM888" s="61"/>
      <c r="AN888" s="61"/>
      <c r="AO888" s="61"/>
      <c r="AP888" s="61"/>
    </row>
    <row r="889" spans="1:42" ht="15.75" customHeight="1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  <c r="AD889" s="61"/>
      <c r="AE889" s="61"/>
      <c r="AF889" s="61"/>
      <c r="AG889" s="61"/>
      <c r="AH889" s="61"/>
      <c r="AI889" s="61"/>
      <c r="AJ889" s="61"/>
      <c r="AK889" s="61"/>
      <c r="AL889" s="61"/>
      <c r="AM889" s="61"/>
      <c r="AN889" s="61"/>
      <c r="AO889" s="61"/>
      <c r="AP889" s="61"/>
    </row>
    <row r="890" spans="1:42" ht="15.75" customHeight="1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  <c r="AD890" s="61"/>
      <c r="AE890" s="61"/>
      <c r="AF890" s="61"/>
      <c r="AG890" s="61"/>
      <c r="AH890" s="61"/>
      <c r="AI890" s="61"/>
      <c r="AJ890" s="61"/>
      <c r="AK890" s="61"/>
      <c r="AL890" s="61"/>
      <c r="AM890" s="61"/>
      <c r="AN890" s="61"/>
      <c r="AO890" s="61"/>
      <c r="AP890" s="61"/>
    </row>
    <row r="891" spans="1:42" ht="15.75" customHeight="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  <c r="AD891" s="61"/>
      <c r="AE891" s="61"/>
      <c r="AF891" s="61"/>
      <c r="AG891" s="61"/>
      <c r="AH891" s="61"/>
      <c r="AI891" s="61"/>
      <c r="AJ891" s="61"/>
      <c r="AK891" s="61"/>
      <c r="AL891" s="61"/>
      <c r="AM891" s="61"/>
      <c r="AN891" s="61"/>
      <c r="AO891" s="61"/>
      <c r="AP891" s="61"/>
    </row>
    <row r="892" spans="1:42" ht="15.75" customHeight="1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  <c r="AD892" s="61"/>
      <c r="AE892" s="61"/>
      <c r="AF892" s="61"/>
      <c r="AG892" s="61"/>
      <c r="AH892" s="61"/>
      <c r="AI892" s="61"/>
      <c r="AJ892" s="61"/>
      <c r="AK892" s="61"/>
      <c r="AL892" s="61"/>
      <c r="AM892" s="61"/>
      <c r="AN892" s="61"/>
      <c r="AO892" s="61"/>
      <c r="AP892" s="61"/>
    </row>
    <row r="893" spans="1:42" ht="15.75" customHeight="1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  <c r="AD893" s="61"/>
      <c r="AE893" s="61"/>
      <c r="AF893" s="61"/>
      <c r="AG893" s="61"/>
      <c r="AH893" s="61"/>
      <c r="AI893" s="61"/>
      <c r="AJ893" s="61"/>
      <c r="AK893" s="61"/>
      <c r="AL893" s="61"/>
      <c r="AM893" s="61"/>
      <c r="AN893" s="61"/>
      <c r="AO893" s="61"/>
      <c r="AP893" s="61"/>
    </row>
    <row r="894" spans="1:42" ht="15.75" customHeight="1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  <c r="AD894" s="61"/>
      <c r="AE894" s="61"/>
      <c r="AF894" s="61"/>
      <c r="AG894" s="61"/>
      <c r="AH894" s="61"/>
      <c r="AI894" s="61"/>
      <c r="AJ894" s="61"/>
      <c r="AK894" s="61"/>
      <c r="AL894" s="61"/>
      <c r="AM894" s="61"/>
      <c r="AN894" s="61"/>
      <c r="AO894" s="61"/>
      <c r="AP894" s="61"/>
    </row>
    <row r="895" spans="1:42" ht="15.75" customHeight="1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  <c r="AD895" s="61"/>
      <c r="AE895" s="61"/>
      <c r="AF895" s="61"/>
      <c r="AG895" s="61"/>
      <c r="AH895" s="61"/>
      <c r="AI895" s="61"/>
      <c r="AJ895" s="61"/>
      <c r="AK895" s="61"/>
      <c r="AL895" s="61"/>
      <c r="AM895" s="61"/>
      <c r="AN895" s="61"/>
      <c r="AO895" s="61"/>
      <c r="AP895" s="61"/>
    </row>
    <row r="896" spans="1:42" ht="15.75" customHeight="1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  <c r="AD896" s="61"/>
      <c r="AE896" s="61"/>
      <c r="AF896" s="61"/>
      <c r="AG896" s="61"/>
      <c r="AH896" s="61"/>
      <c r="AI896" s="61"/>
      <c r="AJ896" s="61"/>
      <c r="AK896" s="61"/>
      <c r="AL896" s="61"/>
      <c r="AM896" s="61"/>
      <c r="AN896" s="61"/>
      <c r="AO896" s="61"/>
      <c r="AP896" s="61"/>
    </row>
    <row r="897" spans="1:42" ht="15.75" customHeight="1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  <c r="AD897" s="61"/>
      <c r="AE897" s="61"/>
      <c r="AF897" s="61"/>
      <c r="AG897" s="61"/>
      <c r="AH897" s="61"/>
      <c r="AI897" s="61"/>
      <c r="AJ897" s="61"/>
      <c r="AK897" s="61"/>
      <c r="AL897" s="61"/>
      <c r="AM897" s="61"/>
      <c r="AN897" s="61"/>
      <c r="AO897" s="61"/>
      <c r="AP897" s="61"/>
    </row>
    <row r="898" spans="1:42" ht="15.75" customHeight="1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  <c r="AD898" s="61"/>
      <c r="AE898" s="61"/>
      <c r="AF898" s="61"/>
      <c r="AG898" s="61"/>
      <c r="AH898" s="61"/>
      <c r="AI898" s="61"/>
      <c r="AJ898" s="61"/>
      <c r="AK898" s="61"/>
      <c r="AL898" s="61"/>
      <c r="AM898" s="61"/>
      <c r="AN898" s="61"/>
      <c r="AO898" s="61"/>
      <c r="AP898" s="61"/>
    </row>
    <row r="899" spans="1:42" ht="15.75" customHeight="1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  <c r="AD899" s="61"/>
      <c r="AE899" s="61"/>
      <c r="AF899" s="61"/>
      <c r="AG899" s="61"/>
      <c r="AH899" s="61"/>
      <c r="AI899" s="61"/>
      <c r="AJ899" s="61"/>
      <c r="AK899" s="61"/>
      <c r="AL899" s="61"/>
      <c r="AM899" s="61"/>
      <c r="AN899" s="61"/>
      <c r="AO899" s="61"/>
      <c r="AP899" s="61"/>
    </row>
    <row r="900" spans="1:42" ht="15.75" customHeight="1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  <c r="AD900" s="61"/>
      <c r="AE900" s="61"/>
      <c r="AF900" s="61"/>
      <c r="AG900" s="61"/>
      <c r="AH900" s="61"/>
      <c r="AI900" s="61"/>
      <c r="AJ900" s="61"/>
      <c r="AK900" s="61"/>
      <c r="AL900" s="61"/>
      <c r="AM900" s="61"/>
      <c r="AN900" s="61"/>
      <c r="AO900" s="61"/>
      <c r="AP900" s="61"/>
    </row>
    <row r="901" spans="1:42" ht="15.75" customHeight="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  <c r="AD901" s="61"/>
      <c r="AE901" s="61"/>
      <c r="AF901" s="61"/>
      <c r="AG901" s="61"/>
      <c r="AH901" s="61"/>
      <c r="AI901" s="61"/>
      <c r="AJ901" s="61"/>
      <c r="AK901" s="61"/>
      <c r="AL901" s="61"/>
      <c r="AM901" s="61"/>
      <c r="AN901" s="61"/>
      <c r="AO901" s="61"/>
      <c r="AP901" s="61"/>
    </row>
    <row r="902" spans="1:42" ht="15.75" customHeight="1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  <c r="AD902" s="61"/>
      <c r="AE902" s="61"/>
      <c r="AF902" s="61"/>
      <c r="AG902" s="61"/>
      <c r="AH902" s="61"/>
      <c r="AI902" s="61"/>
      <c r="AJ902" s="61"/>
      <c r="AK902" s="61"/>
      <c r="AL902" s="61"/>
      <c r="AM902" s="61"/>
      <c r="AN902" s="61"/>
      <c r="AO902" s="61"/>
      <c r="AP902" s="61"/>
    </row>
    <row r="903" spans="1:42" ht="15.75" customHeight="1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  <c r="AD903" s="61"/>
      <c r="AE903" s="61"/>
      <c r="AF903" s="61"/>
      <c r="AG903" s="61"/>
      <c r="AH903" s="61"/>
      <c r="AI903" s="61"/>
      <c r="AJ903" s="61"/>
      <c r="AK903" s="61"/>
      <c r="AL903" s="61"/>
      <c r="AM903" s="61"/>
      <c r="AN903" s="61"/>
      <c r="AO903" s="61"/>
      <c r="AP903" s="61"/>
    </row>
    <row r="904" spans="1:42" ht="15.75" customHeight="1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  <c r="AD904" s="61"/>
      <c r="AE904" s="61"/>
      <c r="AF904" s="61"/>
      <c r="AG904" s="61"/>
      <c r="AH904" s="61"/>
      <c r="AI904" s="61"/>
      <c r="AJ904" s="61"/>
      <c r="AK904" s="61"/>
      <c r="AL904" s="61"/>
      <c r="AM904" s="61"/>
      <c r="AN904" s="61"/>
      <c r="AO904" s="61"/>
      <c r="AP904" s="61"/>
    </row>
    <row r="905" spans="1:42" ht="15.75" customHeight="1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  <c r="AD905" s="61"/>
      <c r="AE905" s="61"/>
      <c r="AF905" s="61"/>
      <c r="AG905" s="61"/>
      <c r="AH905" s="61"/>
      <c r="AI905" s="61"/>
      <c r="AJ905" s="61"/>
      <c r="AK905" s="61"/>
      <c r="AL905" s="61"/>
      <c r="AM905" s="61"/>
      <c r="AN905" s="61"/>
      <c r="AO905" s="61"/>
      <c r="AP905" s="61"/>
    </row>
    <row r="906" spans="1:42" ht="15.75" customHeight="1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  <c r="AD906" s="61"/>
      <c r="AE906" s="61"/>
      <c r="AF906" s="61"/>
      <c r="AG906" s="61"/>
      <c r="AH906" s="61"/>
      <c r="AI906" s="61"/>
      <c r="AJ906" s="61"/>
      <c r="AK906" s="61"/>
      <c r="AL906" s="61"/>
      <c r="AM906" s="61"/>
      <c r="AN906" s="61"/>
      <c r="AO906" s="61"/>
      <c r="AP906" s="61"/>
    </row>
    <row r="907" spans="1:42" ht="15.75" customHeight="1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  <c r="AD907" s="61"/>
      <c r="AE907" s="61"/>
      <c r="AF907" s="61"/>
      <c r="AG907" s="61"/>
      <c r="AH907" s="61"/>
      <c r="AI907" s="61"/>
      <c r="AJ907" s="61"/>
      <c r="AK907" s="61"/>
      <c r="AL907" s="61"/>
      <c r="AM907" s="61"/>
      <c r="AN907" s="61"/>
      <c r="AO907" s="61"/>
      <c r="AP907" s="61"/>
    </row>
    <row r="908" spans="1:42" ht="15.75" customHeight="1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  <c r="AD908" s="61"/>
      <c r="AE908" s="61"/>
      <c r="AF908" s="61"/>
      <c r="AG908" s="61"/>
      <c r="AH908" s="61"/>
      <c r="AI908" s="61"/>
      <c r="AJ908" s="61"/>
      <c r="AK908" s="61"/>
      <c r="AL908" s="61"/>
      <c r="AM908" s="61"/>
      <c r="AN908" s="61"/>
      <c r="AO908" s="61"/>
      <c r="AP908" s="61"/>
    </row>
    <row r="909" spans="1:42" ht="15.75" customHeight="1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  <c r="AD909" s="61"/>
      <c r="AE909" s="61"/>
      <c r="AF909" s="61"/>
      <c r="AG909" s="61"/>
      <c r="AH909" s="61"/>
      <c r="AI909" s="61"/>
      <c r="AJ909" s="61"/>
      <c r="AK909" s="61"/>
      <c r="AL909" s="61"/>
      <c r="AM909" s="61"/>
      <c r="AN909" s="61"/>
      <c r="AO909" s="61"/>
      <c r="AP909" s="61"/>
    </row>
    <row r="910" spans="1:42" ht="15.75" customHeight="1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  <c r="AD910" s="61"/>
      <c r="AE910" s="61"/>
      <c r="AF910" s="61"/>
      <c r="AG910" s="61"/>
      <c r="AH910" s="61"/>
      <c r="AI910" s="61"/>
      <c r="AJ910" s="61"/>
      <c r="AK910" s="61"/>
      <c r="AL910" s="61"/>
      <c r="AM910" s="61"/>
      <c r="AN910" s="61"/>
      <c r="AO910" s="61"/>
      <c r="AP910" s="61"/>
    </row>
    <row r="911" spans="1:42" ht="15.75" customHeight="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  <c r="AD911" s="61"/>
      <c r="AE911" s="61"/>
      <c r="AF911" s="61"/>
      <c r="AG911" s="61"/>
      <c r="AH911" s="61"/>
      <c r="AI911" s="61"/>
      <c r="AJ911" s="61"/>
      <c r="AK911" s="61"/>
      <c r="AL911" s="61"/>
      <c r="AM911" s="61"/>
      <c r="AN911" s="61"/>
      <c r="AO911" s="61"/>
      <c r="AP911" s="61"/>
    </row>
    <row r="912" spans="1:42" ht="15.75" customHeight="1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  <c r="AD912" s="61"/>
      <c r="AE912" s="61"/>
      <c r="AF912" s="61"/>
      <c r="AG912" s="61"/>
      <c r="AH912" s="61"/>
      <c r="AI912" s="61"/>
      <c r="AJ912" s="61"/>
      <c r="AK912" s="61"/>
      <c r="AL912" s="61"/>
      <c r="AM912" s="61"/>
      <c r="AN912" s="61"/>
      <c r="AO912" s="61"/>
      <c r="AP912" s="61"/>
    </row>
    <row r="913" spans="1:42" ht="15.75" customHeight="1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  <c r="AD913" s="61"/>
      <c r="AE913" s="61"/>
      <c r="AF913" s="61"/>
      <c r="AG913" s="61"/>
      <c r="AH913" s="61"/>
      <c r="AI913" s="61"/>
      <c r="AJ913" s="61"/>
      <c r="AK913" s="61"/>
      <c r="AL913" s="61"/>
      <c r="AM913" s="61"/>
      <c r="AN913" s="61"/>
      <c r="AO913" s="61"/>
      <c r="AP913" s="61"/>
    </row>
    <row r="914" spans="1:42" ht="15.75" customHeight="1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  <c r="AD914" s="61"/>
      <c r="AE914" s="61"/>
      <c r="AF914" s="61"/>
      <c r="AG914" s="61"/>
      <c r="AH914" s="61"/>
      <c r="AI914" s="61"/>
      <c r="AJ914" s="61"/>
      <c r="AK914" s="61"/>
      <c r="AL914" s="61"/>
      <c r="AM914" s="61"/>
      <c r="AN914" s="61"/>
      <c r="AO914" s="61"/>
      <c r="AP914" s="61"/>
    </row>
    <row r="915" spans="1:42" ht="15.75" customHeight="1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  <c r="AD915" s="61"/>
      <c r="AE915" s="61"/>
      <c r="AF915" s="61"/>
      <c r="AG915" s="61"/>
      <c r="AH915" s="61"/>
      <c r="AI915" s="61"/>
      <c r="AJ915" s="61"/>
      <c r="AK915" s="61"/>
      <c r="AL915" s="61"/>
      <c r="AM915" s="61"/>
      <c r="AN915" s="61"/>
      <c r="AO915" s="61"/>
      <c r="AP915" s="61"/>
    </row>
    <row r="916" spans="1:42" ht="15.75" customHeight="1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  <c r="AD916" s="61"/>
      <c r="AE916" s="61"/>
      <c r="AF916" s="61"/>
      <c r="AG916" s="61"/>
      <c r="AH916" s="61"/>
      <c r="AI916" s="61"/>
      <c r="AJ916" s="61"/>
      <c r="AK916" s="61"/>
      <c r="AL916" s="61"/>
      <c r="AM916" s="61"/>
      <c r="AN916" s="61"/>
      <c r="AO916" s="61"/>
      <c r="AP916" s="61"/>
    </row>
    <row r="917" spans="1:42" ht="15.75" customHeight="1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  <c r="AD917" s="61"/>
      <c r="AE917" s="61"/>
      <c r="AF917" s="61"/>
      <c r="AG917" s="61"/>
      <c r="AH917" s="61"/>
      <c r="AI917" s="61"/>
      <c r="AJ917" s="61"/>
      <c r="AK917" s="61"/>
      <c r="AL917" s="61"/>
      <c r="AM917" s="61"/>
      <c r="AN917" s="61"/>
      <c r="AO917" s="61"/>
      <c r="AP917" s="61"/>
    </row>
    <row r="918" spans="1:42" ht="15.75" customHeight="1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  <c r="AD918" s="61"/>
      <c r="AE918" s="61"/>
      <c r="AF918" s="61"/>
      <c r="AG918" s="61"/>
      <c r="AH918" s="61"/>
      <c r="AI918" s="61"/>
      <c r="AJ918" s="61"/>
      <c r="AK918" s="61"/>
      <c r="AL918" s="61"/>
      <c r="AM918" s="61"/>
      <c r="AN918" s="61"/>
      <c r="AO918" s="61"/>
      <c r="AP918" s="61"/>
    </row>
    <row r="919" spans="1:42" ht="15.75" customHeight="1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  <c r="AD919" s="61"/>
      <c r="AE919" s="61"/>
      <c r="AF919" s="61"/>
      <c r="AG919" s="61"/>
      <c r="AH919" s="61"/>
      <c r="AI919" s="61"/>
      <c r="AJ919" s="61"/>
      <c r="AK919" s="61"/>
      <c r="AL919" s="61"/>
      <c r="AM919" s="61"/>
      <c r="AN919" s="61"/>
      <c r="AO919" s="61"/>
      <c r="AP919" s="61"/>
    </row>
    <row r="920" spans="1:42" ht="15.75" customHeight="1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  <c r="AD920" s="61"/>
      <c r="AE920" s="61"/>
      <c r="AF920" s="61"/>
      <c r="AG920" s="61"/>
      <c r="AH920" s="61"/>
      <c r="AI920" s="61"/>
      <c r="AJ920" s="61"/>
      <c r="AK920" s="61"/>
      <c r="AL920" s="61"/>
      <c r="AM920" s="61"/>
      <c r="AN920" s="61"/>
      <c r="AO920" s="61"/>
      <c r="AP920" s="61"/>
    </row>
    <row r="921" spans="1:42" ht="15.75" customHeight="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  <c r="AD921" s="61"/>
      <c r="AE921" s="61"/>
      <c r="AF921" s="61"/>
      <c r="AG921" s="61"/>
      <c r="AH921" s="61"/>
      <c r="AI921" s="61"/>
      <c r="AJ921" s="61"/>
      <c r="AK921" s="61"/>
      <c r="AL921" s="61"/>
      <c r="AM921" s="61"/>
      <c r="AN921" s="61"/>
      <c r="AO921" s="61"/>
      <c r="AP921" s="61"/>
    </row>
    <row r="922" spans="1:42" ht="15.75" customHeight="1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  <c r="AD922" s="61"/>
      <c r="AE922" s="61"/>
      <c r="AF922" s="61"/>
      <c r="AG922" s="61"/>
      <c r="AH922" s="61"/>
      <c r="AI922" s="61"/>
      <c r="AJ922" s="61"/>
      <c r="AK922" s="61"/>
      <c r="AL922" s="61"/>
      <c r="AM922" s="61"/>
      <c r="AN922" s="61"/>
      <c r="AO922" s="61"/>
      <c r="AP922" s="61"/>
    </row>
    <row r="923" spans="1:42" ht="15.75" customHeight="1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  <c r="AE923" s="61"/>
      <c r="AF923" s="61"/>
      <c r="AG923" s="61"/>
      <c r="AH923" s="61"/>
      <c r="AI923" s="61"/>
      <c r="AJ923" s="61"/>
      <c r="AK923" s="61"/>
      <c r="AL923" s="61"/>
      <c r="AM923" s="61"/>
      <c r="AN923" s="61"/>
      <c r="AO923" s="61"/>
      <c r="AP923" s="61"/>
    </row>
    <row r="924" spans="1:42" ht="15.75" customHeight="1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  <c r="AE924" s="61"/>
      <c r="AF924" s="61"/>
      <c r="AG924" s="61"/>
      <c r="AH924" s="61"/>
      <c r="AI924" s="61"/>
      <c r="AJ924" s="61"/>
      <c r="AK924" s="61"/>
      <c r="AL924" s="61"/>
      <c r="AM924" s="61"/>
      <c r="AN924" s="61"/>
      <c r="AO924" s="61"/>
      <c r="AP924" s="61"/>
    </row>
    <row r="925" spans="1:42" ht="15.75" customHeight="1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  <c r="AD925" s="61"/>
      <c r="AE925" s="61"/>
      <c r="AF925" s="61"/>
      <c r="AG925" s="61"/>
      <c r="AH925" s="61"/>
      <c r="AI925" s="61"/>
      <c r="AJ925" s="61"/>
      <c r="AK925" s="61"/>
      <c r="AL925" s="61"/>
      <c r="AM925" s="61"/>
      <c r="AN925" s="61"/>
      <c r="AO925" s="61"/>
      <c r="AP925" s="61"/>
    </row>
    <row r="926" spans="1:42" ht="15.75" customHeight="1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  <c r="AE926" s="61"/>
      <c r="AF926" s="61"/>
      <c r="AG926" s="61"/>
      <c r="AH926" s="61"/>
      <c r="AI926" s="61"/>
      <c r="AJ926" s="61"/>
      <c r="AK926" s="61"/>
      <c r="AL926" s="61"/>
      <c r="AM926" s="61"/>
      <c r="AN926" s="61"/>
      <c r="AO926" s="61"/>
      <c r="AP926" s="61"/>
    </row>
    <row r="927" spans="1:42" ht="15.75" customHeight="1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  <c r="AD927" s="61"/>
      <c r="AE927" s="61"/>
      <c r="AF927" s="61"/>
      <c r="AG927" s="61"/>
      <c r="AH927" s="61"/>
      <c r="AI927" s="61"/>
      <c r="AJ927" s="61"/>
      <c r="AK927" s="61"/>
      <c r="AL927" s="61"/>
      <c r="AM927" s="61"/>
      <c r="AN927" s="61"/>
      <c r="AO927" s="61"/>
      <c r="AP927" s="61"/>
    </row>
    <row r="928" spans="1:42" ht="15.75" customHeight="1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  <c r="AO928" s="61"/>
      <c r="AP928" s="61"/>
    </row>
    <row r="929" spans="1:42" ht="15.75" customHeight="1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  <c r="AD929" s="61"/>
      <c r="AE929" s="61"/>
      <c r="AF929" s="61"/>
      <c r="AG929" s="61"/>
      <c r="AH929" s="61"/>
      <c r="AI929" s="61"/>
      <c r="AJ929" s="61"/>
      <c r="AK929" s="61"/>
      <c r="AL929" s="61"/>
      <c r="AM929" s="61"/>
      <c r="AN929" s="61"/>
      <c r="AO929" s="61"/>
      <c r="AP929" s="61"/>
    </row>
    <row r="930" spans="1:42" ht="15.75" customHeight="1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61"/>
      <c r="AG930" s="61"/>
      <c r="AH930" s="61"/>
      <c r="AI930" s="61"/>
      <c r="AJ930" s="61"/>
      <c r="AK930" s="61"/>
      <c r="AL930" s="61"/>
      <c r="AM930" s="61"/>
      <c r="AN930" s="61"/>
      <c r="AO930" s="61"/>
      <c r="AP930" s="61"/>
    </row>
    <row r="931" spans="1:42" ht="15.75" customHeight="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  <c r="AD931" s="61"/>
      <c r="AE931" s="61"/>
      <c r="AF931" s="61"/>
      <c r="AG931" s="61"/>
      <c r="AH931" s="61"/>
      <c r="AI931" s="61"/>
      <c r="AJ931" s="61"/>
      <c r="AK931" s="61"/>
      <c r="AL931" s="61"/>
      <c r="AM931" s="61"/>
      <c r="AN931" s="61"/>
      <c r="AO931" s="61"/>
      <c r="AP931" s="61"/>
    </row>
    <row r="932" spans="1:42" ht="15.75" customHeight="1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  <c r="AD932" s="61"/>
      <c r="AE932" s="61"/>
      <c r="AF932" s="61"/>
      <c r="AG932" s="61"/>
      <c r="AH932" s="61"/>
      <c r="AI932" s="61"/>
      <c r="AJ932" s="61"/>
      <c r="AK932" s="61"/>
      <c r="AL932" s="61"/>
      <c r="AM932" s="61"/>
      <c r="AN932" s="61"/>
      <c r="AO932" s="61"/>
      <c r="AP932" s="61"/>
    </row>
    <row r="933" spans="1:42" ht="15.75" customHeight="1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  <c r="AD933" s="61"/>
      <c r="AE933" s="61"/>
      <c r="AF933" s="61"/>
      <c r="AG933" s="61"/>
      <c r="AH933" s="61"/>
      <c r="AI933" s="61"/>
      <c r="AJ933" s="61"/>
      <c r="AK933" s="61"/>
      <c r="AL933" s="61"/>
      <c r="AM933" s="61"/>
      <c r="AN933" s="61"/>
      <c r="AO933" s="61"/>
      <c r="AP933" s="61"/>
    </row>
    <row r="934" spans="1:42" ht="15.75" customHeight="1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  <c r="AD934" s="61"/>
      <c r="AE934" s="61"/>
      <c r="AF934" s="61"/>
      <c r="AG934" s="61"/>
      <c r="AH934" s="61"/>
      <c r="AI934" s="61"/>
      <c r="AJ934" s="61"/>
      <c r="AK934" s="61"/>
      <c r="AL934" s="61"/>
      <c r="AM934" s="61"/>
      <c r="AN934" s="61"/>
      <c r="AO934" s="61"/>
      <c r="AP934" s="61"/>
    </row>
    <row r="935" spans="1:42" ht="15.75" customHeight="1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  <c r="AD935" s="61"/>
      <c r="AE935" s="61"/>
      <c r="AF935" s="61"/>
      <c r="AG935" s="61"/>
      <c r="AH935" s="61"/>
      <c r="AI935" s="61"/>
      <c r="AJ935" s="61"/>
      <c r="AK935" s="61"/>
      <c r="AL935" s="61"/>
      <c r="AM935" s="61"/>
      <c r="AN935" s="61"/>
      <c r="AO935" s="61"/>
      <c r="AP935" s="61"/>
    </row>
    <row r="936" spans="1:42" ht="15.75" customHeight="1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  <c r="AE936" s="61"/>
      <c r="AF936" s="61"/>
      <c r="AG936" s="61"/>
      <c r="AH936" s="61"/>
      <c r="AI936" s="61"/>
      <c r="AJ936" s="61"/>
      <c r="AK936" s="61"/>
      <c r="AL936" s="61"/>
      <c r="AM936" s="61"/>
      <c r="AN936" s="61"/>
      <c r="AO936" s="61"/>
      <c r="AP936" s="61"/>
    </row>
    <row r="937" spans="1:42" ht="15.75" customHeight="1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  <c r="AD937" s="61"/>
      <c r="AE937" s="61"/>
      <c r="AF937" s="61"/>
      <c r="AG937" s="61"/>
      <c r="AH937" s="61"/>
      <c r="AI937" s="61"/>
      <c r="AJ937" s="61"/>
      <c r="AK937" s="61"/>
      <c r="AL937" s="61"/>
      <c r="AM937" s="61"/>
      <c r="AN937" s="61"/>
      <c r="AO937" s="61"/>
      <c r="AP937" s="61"/>
    </row>
    <row r="938" spans="1:42" ht="15.75" customHeight="1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  <c r="AD938" s="61"/>
      <c r="AE938" s="61"/>
      <c r="AF938" s="61"/>
      <c r="AG938" s="61"/>
      <c r="AH938" s="61"/>
      <c r="AI938" s="61"/>
      <c r="AJ938" s="61"/>
      <c r="AK938" s="61"/>
      <c r="AL938" s="61"/>
      <c r="AM938" s="61"/>
      <c r="AN938" s="61"/>
      <c r="AO938" s="61"/>
      <c r="AP938" s="61"/>
    </row>
    <row r="939" spans="1:42" ht="15.75" customHeight="1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  <c r="AE939" s="61"/>
      <c r="AF939" s="61"/>
      <c r="AG939" s="61"/>
      <c r="AH939" s="61"/>
      <c r="AI939" s="61"/>
      <c r="AJ939" s="61"/>
      <c r="AK939" s="61"/>
      <c r="AL939" s="61"/>
      <c r="AM939" s="61"/>
      <c r="AN939" s="61"/>
      <c r="AO939" s="61"/>
      <c r="AP939" s="61"/>
    </row>
    <row r="940" spans="1:42" ht="15.75" customHeight="1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  <c r="AD940" s="61"/>
      <c r="AE940" s="61"/>
      <c r="AF940" s="61"/>
      <c r="AG940" s="61"/>
      <c r="AH940" s="61"/>
      <c r="AI940" s="61"/>
      <c r="AJ940" s="61"/>
      <c r="AK940" s="61"/>
      <c r="AL940" s="61"/>
      <c r="AM940" s="61"/>
      <c r="AN940" s="61"/>
      <c r="AO940" s="61"/>
      <c r="AP940" s="61"/>
    </row>
    <row r="941" spans="1:42" ht="15.75" customHeight="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  <c r="AD941" s="61"/>
      <c r="AE941" s="61"/>
      <c r="AF941" s="61"/>
      <c r="AG941" s="61"/>
      <c r="AH941" s="61"/>
      <c r="AI941" s="61"/>
      <c r="AJ941" s="61"/>
      <c r="AK941" s="61"/>
      <c r="AL941" s="61"/>
      <c r="AM941" s="61"/>
      <c r="AN941" s="61"/>
      <c r="AO941" s="61"/>
      <c r="AP941" s="61"/>
    </row>
    <row r="942" spans="1:42" ht="15.75" customHeight="1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  <c r="AO942" s="61"/>
      <c r="AP942" s="61"/>
    </row>
    <row r="943" spans="1:42" ht="15.75" customHeight="1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  <c r="AA943" s="61"/>
      <c r="AB943" s="61"/>
      <c r="AC943" s="61"/>
      <c r="AD943" s="61"/>
      <c r="AE943" s="61"/>
      <c r="AF943" s="61"/>
      <c r="AG943" s="61"/>
      <c r="AH943" s="61"/>
      <c r="AI943" s="61"/>
      <c r="AJ943" s="61"/>
      <c r="AK943" s="61"/>
      <c r="AL943" s="61"/>
      <c r="AM943" s="61"/>
      <c r="AN943" s="61"/>
      <c r="AO943" s="61"/>
      <c r="AP943" s="61"/>
    </row>
    <row r="944" spans="1:42" ht="15.75" customHeight="1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  <c r="AD944" s="61"/>
      <c r="AE944" s="61"/>
      <c r="AF944" s="61"/>
      <c r="AG944" s="61"/>
      <c r="AH944" s="61"/>
      <c r="AI944" s="61"/>
      <c r="AJ944" s="61"/>
      <c r="AK944" s="61"/>
      <c r="AL944" s="61"/>
      <c r="AM944" s="61"/>
      <c r="AN944" s="61"/>
      <c r="AO944" s="61"/>
      <c r="AP944" s="61"/>
    </row>
    <row r="945" spans="1:42" ht="15.75" customHeight="1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  <c r="AD945" s="61"/>
      <c r="AE945" s="61"/>
      <c r="AF945" s="61"/>
      <c r="AG945" s="61"/>
      <c r="AH945" s="61"/>
      <c r="AI945" s="61"/>
      <c r="AJ945" s="61"/>
      <c r="AK945" s="61"/>
      <c r="AL945" s="61"/>
      <c r="AM945" s="61"/>
      <c r="AN945" s="61"/>
      <c r="AO945" s="61"/>
      <c r="AP945" s="61"/>
    </row>
    <row r="946" spans="1:42" ht="15.75" customHeight="1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  <c r="AO946" s="61"/>
      <c r="AP946" s="61"/>
    </row>
    <row r="947" spans="1:42" ht="15.75" customHeight="1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  <c r="AD947" s="61"/>
      <c r="AE947" s="61"/>
      <c r="AF947" s="61"/>
      <c r="AG947" s="61"/>
      <c r="AH947" s="61"/>
      <c r="AI947" s="61"/>
      <c r="AJ947" s="61"/>
      <c r="AK947" s="61"/>
      <c r="AL947" s="61"/>
      <c r="AM947" s="61"/>
      <c r="AN947" s="61"/>
      <c r="AO947" s="61"/>
      <c r="AP947" s="61"/>
    </row>
    <row r="948" spans="1:42" ht="15.75" customHeight="1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  <c r="AD948" s="61"/>
      <c r="AE948" s="61"/>
      <c r="AF948" s="61"/>
      <c r="AG948" s="61"/>
      <c r="AH948" s="61"/>
      <c r="AI948" s="61"/>
      <c r="AJ948" s="61"/>
      <c r="AK948" s="61"/>
      <c r="AL948" s="61"/>
      <c r="AM948" s="61"/>
      <c r="AN948" s="61"/>
      <c r="AO948" s="61"/>
      <c r="AP948" s="61"/>
    </row>
    <row r="949" spans="1:42" ht="15.75" customHeight="1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  <c r="AD949" s="61"/>
      <c r="AE949" s="61"/>
      <c r="AF949" s="61"/>
      <c r="AG949" s="61"/>
      <c r="AH949" s="61"/>
      <c r="AI949" s="61"/>
      <c r="AJ949" s="61"/>
      <c r="AK949" s="61"/>
      <c r="AL949" s="61"/>
      <c r="AM949" s="61"/>
      <c r="AN949" s="61"/>
      <c r="AO949" s="61"/>
      <c r="AP949" s="61"/>
    </row>
    <row r="950" spans="1:42" ht="15.75" customHeight="1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  <c r="AD950" s="61"/>
      <c r="AE950" s="61"/>
      <c r="AF950" s="61"/>
      <c r="AG950" s="61"/>
      <c r="AH950" s="61"/>
      <c r="AI950" s="61"/>
      <c r="AJ950" s="61"/>
      <c r="AK950" s="61"/>
      <c r="AL950" s="61"/>
      <c r="AM950" s="61"/>
      <c r="AN950" s="61"/>
      <c r="AO950" s="61"/>
      <c r="AP950" s="61"/>
    </row>
    <row r="951" spans="1:42" ht="15.75" customHeight="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  <c r="AD951" s="61"/>
      <c r="AE951" s="61"/>
      <c r="AF951" s="61"/>
      <c r="AG951" s="61"/>
      <c r="AH951" s="61"/>
      <c r="AI951" s="61"/>
      <c r="AJ951" s="61"/>
      <c r="AK951" s="61"/>
      <c r="AL951" s="61"/>
      <c r="AM951" s="61"/>
      <c r="AN951" s="61"/>
      <c r="AO951" s="61"/>
      <c r="AP951" s="61"/>
    </row>
    <row r="952" spans="1:42" ht="15.75" customHeight="1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  <c r="AO952" s="61"/>
      <c r="AP952" s="61"/>
    </row>
    <row r="953" spans="1:42" ht="15.75" customHeight="1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  <c r="AD953" s="61"/>
      <c r="AE953" s="61"/>
      <c r="AF953" s="61"/>
      <c r="AG953" s="61"/>
      <c r="AH953" s="61"/>
      <c r="AI953" s="61"/>
      <c r="AJ953" s="61"/>
      <c r="AK953" s="61"/>
      <c r="AL953" s="61"/>
      <c r="AM953" s="61"/>
      <c r="AN953" s="61"/>
      <c r="AO953" s="61"/>
      <c r="AP953" s="61"/>
    </row>
    <row r="954" spans="1:42" ht="15.75" customHeight="1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  <c r="AD954" s="61"/>
      <c r="AE954" s="61"/>
      <c r="AF954" s="61"/>
      <c r="AG954" s="61"/>
      <c r="AH954" s="61"/>
      <c r="AI954" s="61"/>
      <c r="AJ954" s="61"/>
      <c r="AK954" s="61"/>
      <c r="AL954" s="61"/>
      <c r="AM954" s="61"/>
      <c r="AN954" s="61"/>
      <c r="AO954" s="61"/>
      <c r="AP954" s="61"/>
    </row>
    <row r="955" spans="1:42" ht="15.75" customHeight="1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  <c r="AD955" s="61"/>
      <c r="AE955" s="61"/>
      <c r="AF955" s="61"/>
      <c r="AG955" s="61"/>
      <c r="AH955" s="61"/>
      <c r="AI955" s="61"/>
      <c r="AJ955" s="61"/>
      <c r="AK955" s="61"/>
      <c r="AL955" s="61"/>
      <c r="AM955" s="61"/>
      <c r="AN955" s="61"/>
      <c r="AO955" s="61"/>
      <c r="AP955" s="61"/>
    </row>
    <row r="956" spans="1:42" ht="15.75" customHeight="1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  <c r="AD956" s="61"/>
      <c r="AE956" s="61"/>
      <c r="AF956" s="61"/>
      <c r="AG956" s="61"/>
      <c r="AH956" s="61"/>
      <c r="AI956" s="61"/>
      <c r="AJ956" s="61"/>
      <c r="AK956" s="61"/>
      <c r="AL956" s="61"/>
      <c r="AM956" s="61"/>
      <c r="AN956" s="61"/>
      <c r="AO956" s="61"/>
      <c r="AP956" s="61"/>
    </row>
    <row r="957" spans="1:42" ht="15.75" customHeight="1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  <c r="AD957" s="61"/>
      <c r="AE957" s="61"/>
      <c r="AF957" s="61"/>
      <c r="AG957" s="61"/>
      <c r="AH957" s="61"/>
      <c r="AI957" s="61"/>
      <c r="AJ957" s="61"/>
      <c r="AK957" s="61"/>
      <c r="AL957" s="61"/>
      <c r="AM957" s="61"/>
      <c r="AN957" s="61"/>
      <c r="AO957" s="61"/>
      <c r="AP957" s="61"/>
    </row>
    <row r="958" spans="1:42" ht="15.75" customHeight="1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  <c r="AD958" s="61"/>
      <c r="AE958" s="61"/>
      <c r="AF958" s="61"/>
      <c r="AG958" s="61"/>
      <c r="AH958" s="61"/>
      <c r="AI958" s="61"/>
      <c r="AJ958" s="61"/>
      <c r="AK958" s="61"/>
      <c r="AL958" s="61"/>
      <c r="AM958" s="61"/>
      <c r="AN958" s="61"/>
      <c r="AO958" s="61"/>
      <c r="AP958" s="61"/>
    </row>
    <row r="959" spans="1:42" ht="15.75" customHeight="1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  <c r="AD959" s="61"/>
      <c r="AE959" s="61"/>
      <c r="AF959" s="61"/>
      <c r="AG959" s="61"/>
      <c r="AH959" s="61"/>
      <c r="AI959" s="61"/>
      <c r="AJ959" s="61"/>
      <c r="AK959" s="61"/>
      <c r="AL959" s="61"/>
      <c r="AM959" s="61"/>
      <c r="AN959" s="61"/>
      <c r="AO959" s="61"/>
      <c r="AP959" s="61"/>
    </row>
    <row r="960" spans="1:42" ht="15.75" customHeight="1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  <c r="AD960" s="61"/>
      <c r="AE960" s="61"/>
      <c r="AF960" s="61"/>
      <c r="AG960" s="61"/>
      <c r="AH960" s="61"/>
      <c r="AI960" s="61"/>
      <c r="AJ960" s="61"/>
      <c r="AK960" s="61"/>
      <c r="AL960" s="61"/>
      <c r="AM960" s="61"/>
      <c r="AN960" s="61"/>
      <c r="AO960" s="61"/>
      <c r="AP960" s="61"/>
    </row>
    <row r="961" spans="1:42" ht="15.75" customHeight="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  <c r="AD961" s="61"/>
      <c r="AE961" s="61"/>
      <c r="AF961" s="61"/>
      <c r="AG961" s="61"/>
      <c r="AH961" s="61"/>
      <c r="AI961" s="61"/>
      <c r="AJ961" s="61"/>
      <c r="AK961" s="61"/>
      <c r="AL961" s="61"/>
      <c r="AM961" s="61"/>
      <c r="AN961" s="61"/>
      <c r="AO961" s="61"/>
      <c r="AP961" s="61"/>
    </row>
    <row r="962" spans="1:42" ht="15.75" customHeight="1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  <c r="AD962" s="61"/>
      <c r="AE962" s="61"/>
      <c r="AF962" s="61"/>
      <c r="AG962" s="61"/>
      <c r="AH962" s="61"/>
      <c r="AI962" s="61"/>
      <c r="AJ962" s="61"/>
      <c r="AK962" s="61"/>
      <c r="AL962" s="61"/>
      <c r="AM962" s="61"/>
      <c r="AN962" s="61"/>
      <c r="AO962" s="61"/>
      <c r="AP962" s="61"/>
    </row>
    <row r="963" spans="1:42" ht="15.75" customHeight="1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  <c r="AD963" s="61"/>
      <c r="AE963" s="61"/>
      <c r="AF963" s="61"/>
      <c r="AG963" s="61"/>
      <c r="AH963" s="61"/>
      <c r="AI963" s="61"/>
      <c r="AJ963" s="61"/>
      <c r="AK963" s="61"/>
      <c r="AL963" s="61"/>
      <c r="AM963" s="61"/>
      <c r="AN963" s="61"/>
      <c r="AO963" s="61"/>
      <c r="AP963" s="61"/>
    </row>
    <row r="964" spans="1:42" ht="15.75" customHeight="1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  <c r="AD964" s="61"/>
      <c r="AE964" s="61"/>
      <c r="AF964" s="61"/>
      <c r="AG964" s="61"/>
      <c r="AH964" s="61"/>
      <c r="AI964" s="61"/>
      <c r="AJ964" s="61"/>
      <c r="AK964" s="61"/>
      <c r="AL964" s="61"/>
      <c r="AM964" s="61"/>
      <c r="AN964" s="61"/>
      <c r="AO964" s="61"/>
      <c r="AP964" s="61"/>
    </row>
    <row r="965" spans="1:42" ht="15.75" customHeight="1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  <c r="AD965" s="61"/>
      <c r="AE965" s="61"/>
      <c r="AF965" s="61"/>
      <c r="AG965" s="61"/>
      <c r="AH965" s="61"/>
      <c r="AI965" s="61"/>
      <c r="AJ965" s="61"/>
      <c r="AK965" s="61"/>
      <c r="AL965" s="61"/>
      <c r="AM965" s="61"/>
      <c r="AN965" s="61"/>
      <c r="AO965" s="61"/>
      <c r="AP965" s="61"/>
    </row>
    <row r="966" spans="1:42" ht="15.75" customHeight="1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  <c r="AD966" s="61"/>
      <c r="AE966" s="61"/>
      <c r="AF966" s="61"/>
      <c r="AG966" s="61"/>
      <c r="AH966" s="61"/>
      <c r="AI966" s="61"/>
      <c r="AJ966" s="61"/>
      <c r="AK966" s="61"/>
      <c r="AL966" s="61"/>
      <c r="AM966" s="61"/>
      <c r="AN966" s="61"/>
      <c r="AO966" s="61"/>
      <c r="AP966" s="61"/>
    </row>
    <row r="967" spans="1:42" ht="15.75" customHeight="1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  <c r="AD967" s="61"/>
      <c r="AE967" s="61"/>
      <c r="AF967" s="61"/>
      <c r="AG967" s="61"/>
      <c r="AH967" s="61"/>
      <c r="AI967" s="61"/>
      <c r="AJ967" s="61"/>
      <c r="AK967" s="61"/>
      <c r="AL967" s="61"/>
      <c r="AM967" s="61"/>
      <c r="AN967" s="61"/>
      <c r="AO967" s="61"/>
      <c r="AP967" s="61"/>
    </row>
    <row r="968" spans="1:42" ht="15.75" customHeight="1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  <c r="AD968" s="61"/>
      <c r="AE968" s="61"/>
      <c r="AF968" s="61"/>
      <c r="AG968" s="61"/>
      <c r="AH968" s="61"/>
      <c r="AI968" s="61"/>
      <c r="AJ968" s="61"/>
      <c r="AK968" s="61"/>
      <c r="AL968" s="61"/>
      <c r="AM968" s="61"/>
      <c r="AN968" s="61"/>
      <c r="AO968" s="61"/>
      <c r="AP968" s="61"/>
    </row>
    <row r="969" spans="1:42" ht="15" customHeight="1">
      <c r="A969" s="122"/>
      <c r="B969" s="61"/>
      <c r="C969" s="61"/>
      <c r="D969" s="61"/>
      <c r="E969" s="61"/>
      <c r="F969" s="61"/>
      <c r="G969" s="61"/>
      <c r="H969" s="122"/>
      <c r="I969" s="122"/>
      <c r="J969" s="122"/>
      <c r="K969" s="122"/>
      <c r="L969" s="122"/>
      <c r="M969" s="122"/>
      <c r="N969" s="122"/>
      <c r="O969" s="122"/>
      <c r="P969" s="122"/>
      <c r="Q969" s="122"/>
      <c r="R969" s="122"/>
      <c r="S969" s="122"/>
      <c r="T969" s="122"/>
      <c r="U969" s="122"/>
      <c r="V969" s="122"/>
      <c r="W969" s="122"/>
      <c r="X969" s="122"/>
      <c r="Y969" s="122"/>
      <c r="Z969" s="122"/>
      <c r="AA969" s="122"/>
      <c r="AB969" s="122"/>
      <c r="AC969" s="122"/>
      <c r="AD969" s="122"/>
      <c r="AE969" s="122"/>
      <c r="AF969" s="122"/>
      <c r="AG969" s="122"/>
      <c r="AH969" s="122"/>
      <c r="AI969" s="122"/>
      <c r="AJ969" s="122"/>
      <c r="AK969" s="122"/>
      <c r="AL969" s="122"/>
      <c r="AM969" s="122"/>
      <c r="AN969" s="122"/>
      <c r="AO969" s="122"/>
      <c r="AP969" s="122"/>
    </row>
    <row r="970" spans="1:42" ht="15" customHeight="1">
      <c r="A970" s="122"/>
      <c r="B970" s="61"/>
      <c r="C970" s="61"/>
      <c r="D970" s="61"/>
      <c r="E970" s="61"/>
      <c r="F970" s="61"/>
      <c r="G970" s="61"/>
      <c r="H970" s="122"/>
      <c r="I970" s="122"/>
      <c r="J970" s="122"/>
      <c r="K970" s="122"/>
      <c r="L970" s="122"/>
      <c r="M970" s="122"/>
      <c r="N970" s="122"/>
      <c r="O970" s="122"/>
      <c r="P970" s="122"/>
      <c r="Q970" s="122"/>
      <c r="R970" s="122"/>
      <c r="S970" s="122"/>
      <c r="T970" s="122"/>
      <c r="U970" s="122"/>
      <c r="V970" s="122"/>
      <c r="W970" s="122"/>
      <c r="X970" s="122"/>
      <c r="Y970" s="122"/>
      <c r="Z970" s="122"/>
      <c r="AA970" s="122"/>
      <c r="AB970" s="122"/>
      <c r="AC970" s="122"/>
      <c r="AD970" s="122"/>
      <c r="AE970" s="122"/>
      <c r="AF970" s="122"/>
      <c r="AG970" s="122"/>
      <c r="AH970" s="122"/>
      <c r="AI970" s="122"/>
      <c r="AJ970" s="122"/>
      <c r="AK970" s="122"/>
      <c r="AL970" s="122"/>
      <c r="AM970" s="122"/>
      <c r="AN970" s="122"/>
      <c r="AO970" s="122"/>
      <c r="AP970" s="122"/>
    </row>
    <row r="971" spans="1:42" ht="15" customHeight="1">
      <c r="A971" s="122"/>
      <c r="B971" s="61"/>
      <c r="C971" s="61"/>
      <c r="D971" s="61"/>
      <c r="E971" s="61"/>
      <c r="F971" s="61"/>
      <c r="G971" s="61"/>
      <c r="H971" s="122"/>
      <c r="I971" s="122"/>
      <c r="J971" s="122"/>
      <c r="K971" s="122"/>
      <c r="L971" s="122"/>
      <c r="M971" s="122"/>
      <c r="N971" s="122"/>
      <c r="O971" s="122"/>
      <c r="P971" s="122"/>
      <c r="Q971" s="122"/>
      <c r="R971" s="122"/>
      <c r="S971" s="122"/>
      <c r="T971" s="122"/>
      <c r="U971" s="122"/>
      <c r="V971" s="122"/>
      <c r="W971" s="122"/>
      <c r="X971" s="122"/>
      <c r="Y971" s="122"/>
      <c r="Z971" s="122"/>
      <c r="AA971" s="122"/>
      <c r="AB971" s="122"/>
      <c r="AC971" s="122"/>
      <c r="AD971" s="122"/>
      <c r="AE971" s="122"/>
      <c r="AF971" s="122"/>
      <c r="AG971" s="122"/>
      <c r="AH971" s="122"/>
      <c r="AI971" s="122"/>
      <c r="AJ971" s="122"/>
      <c r="AK971" s="122"/>
      <c r="AL971" s="122"/>
      <c r="AM971" s="122"/>
      <c r="AN971" s="122"/>
      <c r="AO971" s="122"/>
      <c r="AP971" s="122"/>
    </row>
    <row r="972" spans="1:42" ht="15" customHeight="1">
      <c r="A972" s="122"/>
      <c r="B972" s="61"/>
      <c r="C972" s="61"/>
      <c r="D972" s="61"/>
      <c r="E972" s="61"/>
      <c r="F972" s="61"/>
      <c r="G972" s="61"/>
      <c r="H972" s="122"/>
      <c r="I972" s="122"/>
      <c r="J972" s="122"/>
      <c r="K972" s="122"/>
      <c r="L972" s="122"/>
      <c r="M972" s="122"/>
      <c r="N972" s="122"/>
      <c r="O972" s="122"/>
      <c r="P972" s="122"/>
      <c r="Q972" s="122"/>
      <c r="R972" s="122"/>
      <c r="S972" s="122"/>
      <c r="T972" s="122"/>
      <c r="U972" s="122"/>
      <c r="V972" s="122"/>
      <c r="W972" s="122"/>
      <c r="X972" s="122"/>
      <c r="Y972" s="122"/>
      <c r="Z972" s="122"/>
      <c r="AA972" s="122"/>
      <c r="AB972" s="122"/>
      <c r="AC972" s="122"/>
      <c r="AD972" s="122"/>
      <c r="AE972" s="122"/>
      <c r="AF972" s="122"/>
      <c r="AG972" s="122"/>
      <c r="AH972" s="122"/>
      <c r="AI972" s="122"/>
      <c r="AJ972" s="122"/>
      <c r="AK972" s="122"/>
      <c r="AL972" s="122"/>
      <c r="AM972" s="122"/>
      <c r="AN972" s="122"/>
      <c r="AO972" s="122"/>
      <c r="AP972" s="122"/>
    </row>
    <row r="973" spans="1:42" ht="15" customHeight="1">
      <c r="A973" s="122"/>
      <c r="B973" s="61"/>
      <c r="C973" s="61"/>
      <c r="D973" s="61"/>
      <c r="E973" s="61"/>
      <c r="F973" s="61"/>
      <c r="G973" s="61"/>
      <c r="H973" s="122"/>
      <c r="I973" s="122"/>
      <c r="J973" s="122"/>
      <c r="K973" s="122"/>
      <c r="L973" s="122"/>
      <c r="M973" s="122"/>
      <c r="N973" s="122"/>
      <c r="O973" s="122"/>
      <c r="P973" s="122"/>
      <c r="Q973" s="122"/>
      <c r="R973" s="122"/>
      <c r="S973" s="122"/>
      <c r="T973" s="122"/>
      <c r="U973" s="122"/>
      <c r="V973" s="122"/>
      <c r="W973" s="122"/>
      <c r="X973" s="122"/>
      <c r="Y973" s="122"/>
      <c r="Z973" s="122"/>
      <c r="AA973" s="122"/>
      <c r="AB973" s="122"/>
      <c r="AC973" s="122"/>
      <c r="AD973" s="122"/>
      <c r="AE973" s="122"/>
      <c r="AF973" s="122"/>
      <c r="AG973" s="122"/>
      <c r="AH973" s="122"/>
      <c r="AI973" s="122"/>
      <c r="AJ973" s="122"/>
      <c r="AK973" s="122"/>
      <c r="AL973" s="122"/>
      <c r="AM973" s="122"/>
      <c r="AN973" s="122"/>
      <c r="AO973" s="122"/>
      <c r="AP973" s="122"/>
    </row>
    <row r="974" spans="1:42" ht="15" customHeight="1">
      <c r="A974" s="122"/>
      <c r="B974" s="61"/>
      <c r="C974" s="61"/>
      <c r="D974" s="61"/>
      <c r="E974" s="61"/>
      <c r="F974" s="61"/>
      <c r="G974" s="61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2"/>
      <c r="X974" s="122"/>
      <c r="Y974" s="122"/>
      <c r="Z974" s="122"/>
      <c r="AA974" s="122"/>
      <c r="AB974" s="122"/>
      <c r="AC974" s="122"/>
      <c r="AD974" s="122"/>
      <c r="AE974" s="122"/>
      <c r="AF974" s="122"/>
      <c r="AG974" s="122"/>
      <c r="AH974" s="122"/>
      <c r="AI974" s="122"/>
      <c r="AJ974" s="122"/>
      <c r="AK974" s="122"/>
      <c r="AL974" s="122"/>
      <c r="AM974" s="122"/>
      <c r="AN974" s="122"/>
      <c r="AO974" s="122"/>
      <c r="AP974" s="122"/>
    </row>
    <row r="975" spans="1:42" ht="15" customHeight="1">
      <c r="A975" s="122"/>
      <c r="B975" s="61"/>
      <c r="C975" s="61"/>
      <c r="D975" s="61"/>
      <c r="E975" s="61"/>
      <c r="F975" s="61"/>
      <c r="G975" s="61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2"/>
      <c r="W975" s="122"/>
      <c r="X975" s="122"/>
      <c r="Y975" s="122"/>
      <c r="Z975" s="122"/>
      <c r="AA975" s="122"/>
      <c r="AB975" s="122"/>
      <c r="AC975" s="122"/>
      <c r="AD975" s="122"/>
      <c r="AE975" s="122"/>
      <c r="AF975" s="122"/>
      <c r="AG975" s="122"/>
      <c r="AH975" s="122"/>
      <c r="AI975" s="122"/>
      <c r="AJ975" s="122"/>
      <c r="AK975" s="122"/>
      <c r="AL975" s="122"/>
      <c r="AM975" s="122"/>
      <c r="AN975" s="122"/>
      <c r="AO975" s="122"/>
      <c r="AP975" s="122"/>
    </row>
    <row r="976" spans="1:42" ht="15" customHeight="1">
      <c r="A976" s="122"/>
      <c r="B976" s="61"/>
      <c r="C976" s="61"/>
      <c r="D976" s="61"/>
      <c r="E976" s="61"/>
      <c r="F976" s="61"/>
      <c r="G976" s="61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  <c r="AA976" s="122"/>
      <c r="AB976" s="122"/>
      <c r="AC976" s="122"/>
      <c r="AD976" s="122"/>
      <c r="AE976" s="122"/>
      <c r="AF976" s="122"/>
      <c r="AG976" s="122"/>
      <c r="AH976" s="122"/>
      <c r="AI976" s="122"/>
      <c r="AJ976" s="122"/>
      <c r="AK976" s="122"/>
      <c r="AL976" s="122"/>
      <c r="AM976" s="122"/>
      <c r="AN976" s="122"/>
      <c r="AO976" s="122"/>
      <c r="AP976" s="122"/>
    </row>
    <row r="977" spans="2:7" ht="15" customHeight="1">
      <c r="B977" s="61"/>
      <c r="C977" s="61"/>
      <c r="D977" s="61"/>
      <c r="E977" s="61"/>
      <c r="F977" s="61"/>
      <c r="G977" s="61"/>
    </row>
    <row r="978" spans="2:7" ht="15" customHeight="1">
      <c r="B978" s="61"/>
      <c r="C978" s="61"/>
      <c r="D978" s="61"/>
      <c r="E978" s="61"/>
      <c r="F978" s="61"/>
      <c r="G978" s="61"/>
    </row>
    <row r="979" spans="2:7" ht="15" customHeight="1">
      <c r="B979" s="61"/>
      <c r="C979" s="61"/>
      <c r="D979" s="61"/>
      <c r="E979" s="61"/>
      <c r="F979" s="61"/>
      <c r="G979" s="61"/>
    </row>
    <row r="980" spans="2:7" ht="15" customHeight="1">
      <c r="B980" s="61"/>
      <c r="C980" s="61"/>
      <c r="D980" s="61"/>
      <c r="E980" s="61"/>
      <c r="F980" s="61"/>
      <c r="G980" s="61"/>
    </row>
    <row r="981" spans="2:7" ht="15" customHeight="1">
      <c r="B981" s="61"/>
      <c r="C981" s="61"/>
      <c r="D981" s="61"/>
      <c r="E981" s="61"/>
      <c r="F981" s="61"/>
      <c r="G981" s="61"/>
    </row>
    <row r="982" spans="2:7" ht="15" customHeight="1">
      <c r="B982" s="61"/>
      <c r="C982" s="61"/>
      <c r="D982" s="61"/>
      <c r="E982" s="61"/>
      <c r="F982" s="61"/>
      <c r="G982" s="61"/>
    </row>
    <row r="983" spans="2:7" ht="15" customHeight="1">
      <c r="B983" s="61"/>
      <c r="C983" s="61"/>
      <c r="D983" s="61"/>
      <c r="E983" s="61"/>
      <c r="F983" s="61"/>
      <c r="G983" s="61"/>
    </row>
    <row r="984" spans="2:7" ht="15" customHeight="1">
      <c r="B984" s="61"/>
      <c r="C984" s="61"/>
      <c r="D984" s="61"/>
      <c r="E984" s="61"/>
      <c r="F984" s="61"/>
      <c r="G984" s="61"/>
    </row>
    <row r="985" spans="2:7" ht="15" customHeight="1">
      <c r="B985" s="61"/>
      <c r="C985" s="61"/>
      <c r="D985" s="61"/>
      <c r="E985" s="61"/>
      <c r="F985" s="61"/>
      <c r="G985" s="61"/>
    </row>
    <row r="986" spans="2:7" ht="15" customHeight="1">
      <c r="B986" s="61"/>
      <c r="C986" s="61"/>
      <c r="D986" s="61"/>
      <c r="E986" s="61"/>
      <c r="F986" s="61"/>
      <c r="G986" s="61"/>
    </row>
    <row r="987" spans="2:7" ht="15" customHeight="1">
      <c r="B987" s="61"/>
      <c r="C987" s="61"/>
      <c r="D987" s="61"/>
      <c r="E987" s="61"/>
      <c r="F987" s="61"/>
      <c r="G987" s="61"/>
    </row>
    <row r="988" spans="2:7" ht="15" customHeight="1">
      <c r="B988" s="61"/>
      <c r="C988" s="61"/>
      <c r="D988" s="61"/>
      <c r="E988" s="61"/>
      <c r="F988" s="61"/>
      <c r="G988" s="61"/>
    </row>
    <row r="989" spans="2:7" ht="15" customHeight="1">
      <c r="B989" s="61"/>
      <c r="C989" s="61"/>
      <c r="D989" s="61"/>
      <c r="E989" s="61"/>
      <c r="F989" s="61"/>
      <c r="G989" s="61"/>
    </row>
    <row r="990" spans="2:7" ht="15" customHeight="1">
      <c r="B990" s="61"/>
      <c r="C990" s="61"/>
      <c r="D990" s="61"/>
      <c r="E990" s="61"/>
      <c r="F990" s="61"/>
      <c r="G990" s="61"/>
    </row>
    <row r="991" spans="2:7" ht="15" customHeight="1">
      <c r="B991" s="61"/>
      <c r="C991" s="61"/>
      <c r="D991" s="61"/>
      <c r="E991" s="61"/>
      <c r="F991" s="61"/>
      <c r="G991" s="61"/>
    </row>
    <row r="992" spans="2:7" ht="15" customHeight="1">
      <c r="B992" s="61"/>
      <c r="C992" s="61"/>
      <c r="D992" s="61"/>
      <c r="E992" s="61"/>
      <c r="F992" s="61"/>
      <c r="G992" s="61"/>
    </row>
    <row r="993" spans="2:7" ht="15" customHeight="1">
      <c r="B993" s="61"/>
      <c r="C993" s="61"/>
      <c r="D993" s="61"/>
      <c r="E993" s="61"/>
      <c r="F993" s="61"/>
      <c r="G993" s="61"/>
    </row>
    <row r="994" spans="2:7" ht="15" customHeight="1">
      <c r="B994" s="61"/>
      <c r="C994" s="61"/>
      <c r="D994" s="61"/>
      <c r="E994" s="61"/>
      <c r="F994" s="61"/>
      <c r="G994" s="61"/>
    </row>
    <row r="995" spans="2:7" ht="15" customHeight="1">
      <c r="B995" s="61"/>
      <c r="C995" s="61"/>
      <c r="D995" s="61"/>
      <c r="E995" s="61"/>
      <c r="F995" s="61"/>
      <c r="G995" s="61"/>
    </row>
    <row r="996" spans="2:7" ht="15" customHeight="1">
      <c r="B996" s="61"/>
      <c r="C996" s="61"/>
      <c r="D996" s="61"/>
      <c r="E996" s="61"/>
      <c r="F996" s="61"/>
      <c r="G996" s="61"/>
    </row>
    <row r="997" spans="2:7" ht="15" customHeight="1">
      <c r="B997" s="61"/>
      <c r="C997" s="61"/>
      <c r="D997" s="61"/>
      <c r="E997" s="61"/>
      <c r="F997" s="61"/>
      <c r="G997" s="61"/>
    </row>
    <row r="998" spans="2:7" ht="15" customHeight="1">
      <c r="B998" s="61"/>
      <c r="C998" s="61"/>
      <c r="D998" s="61"/>
      <c r="E998" s="61"/>
      <c r="F998" s="61"/>
      <c r="G998" s="61"/>
    </row>
    <row r="999" spans="2:7" ht="15" customHeight="1">
      <c r="B999" s="61"/>
      <c r="C999" s="61"/>
      <c r="D999" s="61"/>
      <c r="E999" s="61"/>
      <c r="F999" s="61"/>
      <c r="G999" s="61"/>
    </row>
    <row r="1000" spans="2:7" ht="15" customHeight="1">
      <c r="B1000" s="61"/>
      <c r="C1000" s="61"/>
      <c r="D1000" s="61"/>
      <c r="E1000" s="61"/>
      <c r="F1000" s="61"/>
      <c r="G1000" s="61"/>
    </row>
    <row r="1001" spans="2:7" ht="15" customHeight="1">
      <c r="B1001" s="61"/>
      <c r="C1001" s="61"/>
      <c r="D1001" s="61"/>
      <c r="E1001" s="61"/>
      <c r="F1001" s="61"/>
      <c r="G1001" s="61"/>
    </row>
    <row r="1002" spans="2:7" ht="15" customHeight="1">
      <c r="B1002" s="61"/>
      <c r="C1002" s="61"/>
      <c r="D1002" s="61"/>
      <c r="E1002" s="61"/>
      <c r="F1002" s="61"/>
      <c r="G1002" s="61"/>
    </row>
    <row r="1003" spans="2:7" ht="15" customHeight="1">
      <c r="B1003" s="61"/>
      <c r="C1003" s="61"/>
      <c r="D1003" s="61"/>
      <c r="E1003" s="61"/>
      <c r="F1003" s="61"/>
      <c r="G1003" s="61"/>
    </row>
    <row r="1004" spans="2:7" ht="15" customHeight="1">
      <c r="B1004" s="61"/>
      <c r="C1004" s="61"/>
      <c r="D1004" s="61"/>
      <c r="E1004" s="61"/>
      <c r="F1004" s="61"/>
      <c r="G1004" s="61"/>
    </row>
    <row r="1005" spans="2:7" ht="15" customHeight="1">
      <c r="B1005" s="61"/>
      <c r="C1005" s="61"/>
      <c r="D1005" s="61"/>
      <c r="E1005" s="61"/>
      <c r="F1005" s="61"/>
      <c r="G1005" s="61"/>
    </row>
    <row r="1006" spans="2:7" ht="15" customHeight="1">
      <c r="B1006" s="61"/>
      <c r="C1006" s="61"/>
      <c r="D1006" s="61"/>
      <c r="E1006" s="61"/>
      <c r="F1006" s="61"/>
      <c r="G1006" s="61"/>
    </row>
    <row r="1007" spans="2:7" ht="15" customHeight="1">
      <c r="B1007" s="61"/>
      <c r="C1007" s="61"/>
      <c r="D1007" s="61"/>
      <c r="E1007" s="61"/>
      <c r="F1007" s="61"/>
      <c r="G1007" s="61"/>
    </row>
    <row r="1008" spans="2:7" ht="15" customHeight="1">
      <c r="B1008" s="61"/>
      <c r="C1008" s="61"/>
      <c r="D1008" s="61"/>
      <c r="E1008" s="61"/>
      <c r="F1008" s="61"/>
      <c r="G1008" s="61"/>
    </row>
    <row r="1009" spans="2:7" ht="15" customHeight="1">
      <c r="B1009" s="61"/>
      <c r="C1009" s="61"/>
      <c r="D1009" s="61"/>
      <c r="E1009" s="61"/>
      <c r="F1009" s="61"/>
      <c r="G1009" s="61"/>
    </row>
    <row r="1010" spans="2:7" ht="15" customHeight="1">
      <c r="B1010" s="61"/>
      <c r="C1010" s="61"/>
      <c r="D1010" s="61"/>
      <c r="E1010" s="61"/>
      <c r="F1010" s="61"/>
      <c r="G1010" s="61"/>
    </row>
    <row r="1011" spans="2:7" ht="15" customHeight="1">
      <c r="B1011" s="61"/>
      <c r="C1011" s="61"/>
      <c r="D1011" s="61"/>
      <c r="E1011" s="61"/>
      <c r="F1011" s="61"/>
      <c r="G1011" s="61"/>
    </row>
    <row r="1012" spans="2:7" ht="15" customHeight="1">
      <c r="B1012" s="61"/>
      <c r="C1012" s="61"/>
      <c r="D1012" s="61"/>
      <c r="E1012" s="61"/>
      <c r="F1012" s="61"/>
      <c r="G1012" s="61"/>
    </row>
    <row r="1013" spans="2:7" ht="15" customHeight="1">
      <c r="B1013" s="61"/>
      <c r="C1013" s="61"/>
      <c r="D1013" s="61"/>
      <c r="E1013" s="61"/>
      <c r="F1013" s="61"/>
      <c r="G1013" s="61"/>
    </row>
    <row r="1014" spans="2:7" ht="15" customHeight="1">
      <c r="B1014" s="61"/>
      <c r="C1014" s="61"/>
      <c r="D1014" s="61"/>
      <c r="E1014" s="61"/>
      <c r="F1014" s="61"/>
      <c r="G1014" s="61"/>
    </row>
    <row r="1015" spans="2:7" ht="15" customHeight="1">
      <c r="B1015" s="61"/>
      <c r="C1015" s="61"/>
      <c r="D1015" s="61"/>
      <c r="E1015" s="61"/>
      <c r="F1015" s="61"/>
      <c r="G1015" s="61"/>
    </row>
    <row r="1016" spans="2:7" ht="15" customHeight="1">
      <c r="B1016" s="61"/>
      <c r="C1016" s="61"/>
      <c r="D1016" s="61"/>
      <c r="E1016" s="61"/>
      <c r="F1016" s="61"/>
      <c r="G1016" s="61"/>
    </row>
    <row r="1017" spans="2:7" ht="15" customHeight="1">
      <c r="B1017" s="61"/>
      <c r="C1017" s="61"/>
      <c r="D1017" s="61"/>
      <c r="E1017" s="61"/>
      <c r="F1017" s="61"/>
      <c r="G1017" s="61"/>
    </row>
    <row r="1018" spans="2:7" ht="15" customHeight="1">
      <c r="B1018" s="61"/>
      <c r="C1018" s="61"/>
      <c r="D1018" s="61"/>
      <c r="E1018" s="61"/>
      <c r="F1018" s="61"/>
      <c r="G1018" s="61"/>
    </row>
    <row r="1019" spans="2:7" ht="15" customHeight="1">
      <c r="B1019" s="61"/>
      <c r="C1019" s="61"/>
      <c r="D1019" s="61"/>
      <c r="E1019" s="61"/>
      <c r="F1019" s="61"/>
      <c r="G1019" s="61"/>
    </row>
    <row r="1020" spans="2:7" ht="15" customHeight="1">
      <c r="B1020" s="61"/>
      <c r="C1020" s="61"/>
      <c r="D1020" s="61"/>
      <c r="E1020" s="61"/>
      <c r="F1020" s="61"/>
      <c r="G1020" s="61"/>
    </row>
    <row r="1021" spans="2:7" ht="15" customHeight="1">
      <c r="B1021" s="61"/>
      <c r="C1021" s="61"/>
      <c r="D1021" s="61"/>
      <c r="E1021" s="61"/>
      <c r="F1021" s="61"/>
      <c r="G1021" s="61"/>
    </row>
    <row r="1022" spans="2:7" ht="15" customHeight="1">
      <c r="B1022" s="61"/>
      <c r="C1022" s="61"/>
      <c r="D1022" s="61"/>
      <c r="E1022" s="61"/>
      <c r="F1022" s="61"/>
      <c r="G1022" s="61"/>
    </row>
    <row r="1023" spans="2:7" ht="15" customHeight="1">
      <c r="B1023" s="61"/>
      <c r="C1023" s="61"/>
      <c r="D1023" s="61"/>
      <c r="E1023" s="61"/>
      <c r="F1023" s="61"/>
      <c r="G1023" s="61"/>
    </row>
    <row r="1024" spans="2:7" ht="15" customHeight="1">
      <c r="B1024" s="61"/>
      <c r="C1024" s="61"/>
      <c r="D1024" s="61"/>
      <c r="E1024" s="61"/>
      <c r="F1024" s="61"/>
      <c r="G1024" s="61"/>
    </row>
    <row r="1025" spans="2:7" ht="15" customHeight="1">
      <c r="B1025" s="61"/>
      <c r="C1025" s="61"/>
      <c r="D1025" s="61"/>
      <c r="E1025" s="61"/>
      <c r="F1025" s="61"/>
      <c r="G1025" s="61"/>
    </row>
    <row r="1026" spans="2:7" ht="15" customHeight="1">
      <c r="B1026" s="61"/>
      <c r="C1026" s="61"/>
      <c r="D1026" s="61"/>
      <c r="E1026" s="61"/>
      <c r="F1026" s="61"/>
      <c r="G1026" s="61"/>
    </row>
  </sheetData>
  <mergeCells count="9">
    <mergeCell ref="B95:B96"/>
    <mergeCell ref="C95:E95"/>
    <mergeCell ref="B63:B64"/>
    <mergeCell ref="C63:E63"/>
    <mergeCell ref="B2:H2"/>
    <mergeCell ref="B3:H3"/>
    <mergeCell ref="B31:B32"/>
    <mergeCell ref="C31:E31"/>
    <mergeCell ref="B35:H35"/>
  </mergeCells>
  <phoneticPr fontId="20" type="noConversion"/>
  <pageMargins left="0.7" right="0.7" top="0.75" bottom="0.75" header="0" footer="0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-0.249977111117893"/>
    <outlinePr summaryBelow="0" summaryRight="0"/>
  </sheetPr>
  <dimension ref="A1:R993"/>
  <sheetViews>
    <sheetView topLeftCell="A2" zoomScale="66" workbookViewId="0">
      <selection activeCell="C20" sqref="C20"/>
    </sheetView>
  </sheetViews>
  <sheetFormatPr defaultColWidth="12.7109375" defaultRowHeight="15" customHeight="1"/>
  <cols>
    <col min="1" max="1" width="6.7109375" customWidth="1"/>
    <col min="2" max="4" width="25.140625" customWidth="1"/>
    <col min="5" max="5" width="8.42578125" customWidth="1"/>
    <col min="6" max="8" width="25.140625" customWidth="1"/>
    <col min="9" max="9" width="7" customWidth="1"/>
    <col min="10" max="12" width="25.140625" customWidth="1"/>
    <col min="13" max="18" width="13.7109375" customWidth="1"/>
  </cols>
  <sheetData>
    <row r="1" spans="1:18" ht="32.25" customHeight="1">
      <c r="A1" s="2"/>
      <c r="B1" s="184" t="s">
        <v>193</v>
      </c>
      <c r="C1" s="151"/>
      <c r="D1" s="152"/>
      <c r="E1" s="145" t="s">
        <v>194</v>
      </c>
      <c r="F1" s="15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2.25" customHeight="1">
      <c r="A2" s="2"/>
      <c r="B2" s="184" t="s">
        <v>195</v>
      </c>
      <c r="C2" s="151"/>
      <c r="D2" s="152"/>
      <c r="E2" s="185" t="s">
        <v>196</v>
      </c>
      <c r="F2" s="17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8.25" customHeight="1">
      <c r="A3" s="2"/>
      <c r="B3" s="186" t="s">
        <v>197</v>
      </c>
      <c r="C3" s="152"/>
      <c r="D3" s="72" t="s">
        <v>198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56.25" customHeight="1">
      <c r="A4" s="2"/>
      <c r="B4" s="73" t="s">
        <v>199</v>
      </c>
      <c r="C4" s="74" t="s">
        <v>200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5.5" customHeight="1">
      <c r="A5" s="2"/>
      <c r="B5" s="64" t="s">
        <v>201</v>
      </c>
      <c r="C5" s="75">
        <v>3000000</v>
      </c>
      <c r="D5" s="187" t="s">
        <v>202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5.5" customHeight="1">
      <c r="A6" s="2"/>
      <c r="B6" s="64" t="s">
        <v>203</v>
      </c>
      <c r="C6" s="75">
        <v>3000000</v>
      </c>
      <c r="D6" s="16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32.25" customHeight="1">
      <c r="A7" s="2"/>
      <c r="B7" s="64" t="s">
        <v>204</v>
      </c>
      <c r="C7" s="75">
        <v>2500000</v>
      </c>
      <c r="D7" s="16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5.5" customHeight="1">
      <c r="A8" s="2"/>
      <c r="B8" s="64" t="s">
        <v>205</v>
      </c>
      <c r="C8" s="75">
        <v>2000000</v>
      </c>
      <c r="D8" s="16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25.5" customHeight="1">
      <c r="A9" s="2"/>
      <c r="B9" s="64" t="s">
        <v>206</v>
      </c>
      <c r="C9" s="75">
        <v>2000000</v>
      </c>
      <c r="D9" s="16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34.9">
      <c r="A10" s="2"/>
      <c r="B10" s="63" t="s">
        <v>207</v>
      </c>
      <c r="C10" s="76">
        <f>SUM(C5:C9)</f>
        <v>12500000</v>
      </c>
      <c r="D10" s="183" t="s">
        <v>208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21"/>
    </row>
    <row r="11" spans="1:18" ht="34.9">
      <c r="A11" s="2"/>
      <c r="B11" s="63" t="s">
        <v>209</v>
      </c>
      <c r="C11" s="76">
        <f>C10/12</f>
        <v>1041666.6666666666</v>
      </c>
      <c r="D11" s="16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52.15">
      <c r="A12" s="2"/>
      <c r="B12" s="13" t="s">
        <v>210</v>
      </c>
      <c r="C12" s="77">
        <f>C10+C11</f>
        <v>13541666.666666666</v>
      </c>
      <c r="D12" s="16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29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5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21"/>
    </row>
    <row r="15" spans="1:18" ht="26.25" customHeight="1">
      <c r="A15" s="2"/>
      <c r="B15" s="181" t="s">
        <v>211</v>
      </c>
      <c r="C15" s="182" t="s">
        <v>212</v>
      </c>
      <c r="D15" s="12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121"/>
    </row>
    <row r="16" spans="1:18" ht="33.75" customHeight="1">
      <c r="A16" s="2"/>
      <c r="B16" s="163"/>
      <c r="C16" s="163"/>
      <c r="D16" s="121"/>
      <c r="E16" s="2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21"/>
    </row>
    <row r="17" spans="1:18" ht="17.45">
      <c r="A17" s="2"/>
      <c r="B17" s="13" t="s">
        <v>213</v>
      </c>
      <c r="C17" s="75">
        <f>C12*0.16</f>
        <v>2166666.6666666665</v>
      </c>
      <c r="D17" s="183" t="s">
        <v>208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21"/>
    </row>
    <row r="18" spans="1:18" ht="17.45">
      <c r="A18" s="2"/>
      <c r="B18" s="13" t="s">
        <v>214</v>
      </c>
      <c r="C18" s="75">
        <f>C12*0.02</f>
        <v>270833.33333333331</v>
      </c>
      <c r="D18" s="16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21"/>
    </row>
    <row r="19" spans="1:18" ht="17.45">
      <c r="A19" s="2"/>
      <c r="B19" s="13" t="s">
        <v>215</v>
      </c>
      <c r="C19" s="75">
        <f>C12*0.06</f>
        <v>812499.99999999988</v>
      </c>
      <c r="D19" s="16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21"/>
    </row>
    <row r="20" spans="1:18" ht="34.9">
      <c r="A20" s="2"/>
      <c r="B20" s="13" t="s">
        <v>216</v>
      </c>
      <c r="C20" s="75">
        <f>C12*0.015</f>
        <v>203124.99999999997</v>
      </c>
      <c r="D20" s="16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21"/>
    </row>
    <row r="21" spans="1:18" ht="34.9">
      <c r="A21" s="2"/>
      <c r="B21" s="13" t="s">
        <v>217</v>
      </c>
      <c r="C21" s="75">
        <f>C12*0.003</f>
        <v>40625</v>
      </c>
      <c r="D21" s="16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21"/>
    </row>
    <row r="22" spans="1:18" ht="17.45">
      <c r="A22" s="2"/>
      <c r="B22" s="13" t="s">
        <v>218</v>
      </c>
      <c r="C22" s="75">
        <f>C12*0.03</f>
        <v>406249.99999999994</v>
      </c>
      <c r="D22" s="16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21"/>
    </row>
    <row r="23" spans="1:18" ht="34.9">
      <c r="A23" s="2"/>
      <c r="B23" s="63" t="s">
        <v>219</v>
      </c>
      <c r="C23" s="78">
        <f>SUM(C17:C22)</f>
        <v>3900000</v>
      </c>
      <c r="D23" s="16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121"/>
    </row>
    <row r="24" spans="1:18" ht="34.5" customHeight="1">
      <c r="A24" s="2"/>
      <c r="B24" s="2"/>
      <c r="C24" s="2"/>
      <c r="D24" s="2"/>
      <c r="E24" s="12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25.5" customHeight="1">
      <c r="A25" s="2"/>
      <c r="B25" s="121"/>
      <c r="C25" s="12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21"/>
      <c r="R25" s="121"/>
    </row>
    <row r="26" spans="1:18" ht="18.75" customHeight="1">
      <c r="A26" s="2"/>
      <c r="B26" s="121"/>
      <c r="C26" s="12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21"/>
      <c r="R26" s="121"/>
    </row>
    <row r="27" spans="1:18" ht="27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21"/>
    </row>
    <row r="28" spans="1:18" ht="25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25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25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25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25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25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25.5" customHeight="1">
      <c r="A34" s="2"/>
      <c r="B34" s="79" t="s">
        <v>220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25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25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25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25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25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25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25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25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25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25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25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25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25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25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25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25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25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25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25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25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25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25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25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25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25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25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25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25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25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25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25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25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25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25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25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25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25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25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25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25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25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25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25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25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25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25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25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25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25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25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25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25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25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25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25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25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25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25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25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25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25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25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25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25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25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25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25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25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25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25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25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25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25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25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25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25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25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25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25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25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25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25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25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25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25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25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25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25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25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25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25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25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25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25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25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25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25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25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25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25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25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25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25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25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25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25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25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25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25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25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25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25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25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25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25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25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25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25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25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25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25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25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25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25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25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25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25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25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25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25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25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25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25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25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25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25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25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25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25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25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25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25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25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25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25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25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25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25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25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25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25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25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25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25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25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25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25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25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25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25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25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25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25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25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25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25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25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25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25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25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25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25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25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25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25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25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25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25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25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25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25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25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25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25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25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25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25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25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25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25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25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</row>
    <row r="228" spans="1:18" ht="15.75" customHeight="1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</row>
    <row r="229" spans="1:18" ht="15.75" customHeight="1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</row>
    <row r="230" spans="1:18" ht="15.75" customHeight="1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</row>
    <row r="231" spans="1:18" ht="15.75" customHeight="1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</row>
    <row r="232" spans="1:18" ht="15.75" customHeight="1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</row>
    <row r="233" spans="1:18" ht="15.75" customHeight="1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</row>
    <row r="234" spans="1:18" ht="15.75" customHeight="1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</row>
    <row r="235" spans="1:18" ht="15.75" customHeight="1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</row>
    <row r="236" spans="1:18" ht="15.75" customHeight="1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</row>
    <row r="237" spans="1:18" ht="15.75" customHeight="1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</row>
    <row r="238" spans="1:18" ht="15.75" customHeight="1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</row>
    <row r="239" spans="1:18" ht="15.75" customHeight="1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</row>
    <row r="240" spans="1:18" ht="15.75" customHeight="1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</row>
    <row r="241" spans="1:18" ht="15.75" customHeight="1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</row>
    <row r="242" spans="1:18" ht="15.75" customHeight="1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</row>
    <row r="243" spans="1:18" ht="15.75" customHeight="1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</row>
    <row r="244" spans="1:18" ht="15.75" customHeight="1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</row>
    <row r="245" spans="1:18" ht="15.75" customHeight="1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</row>
    <row r="246" spans="1:18" ht="15.75" customHeight="1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</row>
    <row r="247" spans="1:18" ht="15.75" customHeight="1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</row>
    <row r="248" spans="1:18" ht="15.75" customHeight="1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</row>
    <row r="249" spans="1:18" ht="15.75" customHeight="1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</row>
    <row r="250" spans="1:18" ht="15.75" customHeight="1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</row>
    <row r="251" spans="1:18" ht="15.75" customHeight="1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</row>
    <row r="252" spans="1:18" ht="15.75" customHeight="1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</row>
    <row r="253" spans="1:18" ht="15.75" customHeight="1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</row>
    <row r="254" spans="1:18" ht="15.75" customHeight="1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</row>
    <row r="255" spans="1:18" ht="15.75" customHeight="1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</row>
    <row r="256" spans="1:18" ht="15.75" customHeight="1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</row>
    <row r="257" spans="1:18" ht="15.75" customHeight="1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</row>
    <row r="258" spans="1:18" ht="15.75" customHeight="1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</row>
    <row r="259" spans="1:18" ht="15.75" customHeight="1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</row>
    <row r="260" spans="1:18" ht="15.75" customHeight="1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</row>
    <row r="261" spans="1:18" ht="15.75" customHeight="1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</row>
    <row r="262" spans="1:18" ht="15.75" customHeight="1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</row>
    <row r="263" spans="1:18" ht="15.75" customHeight="1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</row>
    <row r="264" spans="1:18" ht="15.75" customHeight="1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</row>
    <row r="265" spans="1:18" ht="15.75" customHeight="1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</row>
    <row r="266" spans="1:18" ht="15.75" customHeight="1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</row>
    <row r="267" spans="1:18" ht="15.75" customHeight="1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</row>
    <row r="268" spans="1:18" ht="15.75" customHeight="1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</row>
    <row r="269" spans="1:18" ht="15.75" customHeight="1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</row>
    <row r="270" spans="1:18" ht="15.75" customHeight="1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</row>
    <row r="271" spans="1:18" ht="15.75" customHeight="1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</row>
    <row r="272" spans="1:18" ht="15.75" customHeight="1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</row>
    <row r="273" spans="1:18" ht="15.75" customHeight="1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</row>
    <row r="274" spans="1:18" ht="15.75" customHeight="1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</row>
    <row r="275" spans="1:18" ht="15.75" customHeight="1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</row>
    <row r="276" spans="1:18" ht="15.75" customHeight="1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</row>
    <row r="277" spans="1:18" ht="15.75" customHeight="1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</row>
    <row r="278" spans="1:18" ht="15.75" customHeight="1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</row>
    <row r="279" spans="1:18" ht="15.75" customHeight="1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</row>
    <row r="280" spans="1:18" ht="15.75" customHeight="1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</row>
    <row r="281" spans="1:18" ht="15.75" customHeight="1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</row>
    <row r="282" spans="1:18" ht="15.75" customHeight="1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</row>
    <row r="283" spans="1:18" ht="15.75" customHeight="1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</row>
    <row r="284" spans="1:18" ht="15.75" customHeight="1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</row>
    <row r="285" spans="1:18" ht="15.75" customHeight="1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</row>
    <row r="286" spans="1:18" ht="15.75" customHeight="1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</row>
    <row r="287" spans="1:18" ht="15.75" customHeight="1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</row>
    <row r="288" spans="1:18" ht="15.75" customHeight="1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</row>
    <row r="289" spans="1:18" ht="15.75" customHeight="1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</row>
    <row r="290" spans="1:18" ht="15.75" customHeight="1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</row>
    <row r="291" spans="1:18" ht="15.75" customHeight="1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</row>
    <row r="292" spans="1:18" ht="15.75" customHeight="1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</row>
    <row r="293" spans="1:18" ht="15.75" customHeight="1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</row>
    <row r="294" spans="1:18" ht="15.75" customHeight="1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</row>
    <row r="295" spans="1:18" ht="15.75" customHeight="1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</row>
    <row r="296" spans="1:18" ht="15.75" customHeight="1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</row>
    <row r="297" spans="1:18" ht="15.75" customHeight="1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</row>
    <row r="298" spans="1:18" ht="15.75" customHeight="1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</row>
    <row r="299" spans="1:18" ht="15.75" customHeight="1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</row>
    <row r="300" spans="1:18" ht="15.75" customHeight="1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</row>
    <row r="301" spans="1:18" ht="15.75" customHeight="1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</row>
    <row r="302" spans="1:18" ht="15.75" customHeight="1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</row>
    <row r="303" spans="1:18" ht="15.75" customHeight="1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</row>
    <row r="304" spans="1:18" ht="15.75" customHeight="1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</row>
    <row r="305" spans="1:18" ht="15.75" customHeight="1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</row>
    <row r="306" spans="1:18" ht="15.75" customHeight="1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</row>
    <row r="307" spans="1:18" ht="15.75" customHeight="1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</row>
    <row r="308" spans="1:18" ht="15.75" customHeight="1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</row>
    <row r="309" spans="1:18" ht="15.75" customHeight="1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</row>
    <row r="310" spans="1:18" ht="15.75" customHeight="1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</row>
    <row r="311" spans="1:18" ht="15.75" customHeight="1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</row>
    <row r="312" spans="1:18" ht="15.75" customHeight="1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</row>
    <row r="313" spans="1:18" ht="15.75" customHeight="1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</row>
    <row r="314" spans="1:18" ht="15.75" customHeight="1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</row>
    <row r="315" spans="1:18" ht="15.75" customHeight="1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</row>
    <row r="316" spans="1:18" ht="15.75" customHeight="1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</row>
    <row r="317" spans="1:18" ht="15.75" customHeight="1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</row>
    <row r="318" spans="1:18" ht="15.75" customHeight="1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</row>
    <row r="319" spans="1:18" ht="15.75" customHeight="1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</row>
    <row r="320" spans="1:18" ht="15.75" customHeight="1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</row>
    <row r="321" spans="1:18" ht="15.75" customHeight="1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</row>
    <row r="322" spans="1:18" ht="15.75" customHeight="1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</row>
    <row r="323" spans="1:18" ht="15.75" customHeight="1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</row>
    <row r="324" spans="1:18" ht="15.75" customHeight="1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</row>
    <row r="325" spans="1:18" ht="15.75" customHeight="1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</row>
    <row r="326" spans="1:18" ht="15.75" customHeight="1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</row>
    <row r="327" spans="1:18" ht="15.75" customHeight="1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</row>
    <row r="328" spans="1:18" ht="15.75" customHeight="1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</row>
    <row r="329" spans="1:18" ht="15.75" customHeight="1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</row>
    <row r="330" spans="1:18" ht="15.75" customHeight="1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</row>
    <row r="331" spans="1:18" ht="15.75" customHeight="1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</row>
    <row r="332" spans="1:18" ht="15.75" customHeight="1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</row>
    <row r="333" spans="1:18" ht="15.75" customHeight="1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</row>
    <row r="334" spans="1:18" ht="15.75" customHeight="1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</row>
    <row r="335" spans="1:18" ht="15.75" customHeight="1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</row>
    <row r="336" spans="1:18" ht="15.75" customHeight="1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</row>
    <row r="337" spans="1:18" ht="15.75" customHeight="1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</row>
    <row r="338" spans="1:18" ht="15.75" customHeight="1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</row>
    <row r="339" spans="1:18" ht="15.75" customHeight="1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</row>
    <row r="340" spans="1:18" ht="15.75" customHeight="1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</row>
    <row r="341" spans="1:18" ht="15.75" customHeight="1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</row>
    <row r="342" spans="1:18" ht="15.75" customHeight="1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</row>
    <row r="343" spans="1:18" ht="15.75" customHeight="1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</row>
    <row r="344" spans="1:18" ht="15.75" customHeight="1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</row>
    <row r="345" spans="1:18" ht="15.75" customHeight="1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</row>
    <row r="346" spans="1:18" ht="15.75" customHeight="1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</row>
    <row r="347" spans="1:18" ht="15.75" customHeight="1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</row>
    <row r="348" spans="1:18" ht="15.75" customHeight="1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</row>
    <row r="349" spans="1:18" ht="15.75" customHeight="1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</row>
    <row r="350" spans="1:18" ht="15.75" customHeight="1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</row>
    <row r="351" spans="1:18" ht="15.75" customHeight="1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</row>
    <row r="352" spans="1:18" ht="15.75" customHeight="1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</row>
    <row r="353" spans="1:18" ht="15.75" customHeight="1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</row>
    <row r="354" spans="1:18" ht="15.75" customHeight="1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</row>
    <row r="355" spans="1:18" ht="15.75" customHeight="1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</row>
    <row r="356" spans="1:18" ht="15.75" customHeight="1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</row>
    <row r="357" spans="1:18" ht="15.75" customHeight="1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</row>
    <row r="358" spans="1:18" ht="15.75" customHeight="1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</row>
    <row r="359" spans="1:18" ht="15.75" customHeight="1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</row>
    <row r="360" spans="1:18" ht="15.75" customHeight="1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</row>
    <row r="361" spans="1:18" ht="15.75" customHeight="1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</row>
    <row r="362" spans="1:18" ht="15.75" customHeight="1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</row>
    <row r="363" spans="1:18" ht="15.75" customHeight="1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</row>
    <row r="364" spans="1:18" ht="15.75" customHeight="1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</row>
    <row r="365" spans="1:18" ht="15.75" customHeight="1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</row>
    <row r="366" spans="1:18" ht="15.75" customHeight="1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</row>
    <row r="367" spans="1:18" ht="15.75" customHeight="1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</row>
    <row r="368" spans="1:18" ht="15.75" customHeight="1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</row>
    <row r="369" spans="1:18" ht="15.75" customHeight="1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</row>
    <row r="370" spans="1:18" ht="15.75" customHeight="1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</row>
    <row r="371" spans="1:18" ht="15.75" customHeight="1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</row>
    <row r="372" spans="1:18" ht="15.75" customHeight="1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</row>
    <row r="373" spans="1:18" ht="15.75" customHeight="1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</row>
    <row r="374" spans="1:18" ht="15.75" customHeight="1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</row>
    <row r="375" spans="1:18" ht="15.75" customHeight="1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</row>
    <row r="376" spans="1:18" ht="15.75" customHeight="1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</row>
    <row r="377" spans="1:18" ht="15.75" customHeight="1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</row>
    <row r="378" spans="1:18" ht="15.75" customHeight="1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</row>
    <row r="379" spans="1:18" ht="15.75" customHeight="1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</row>
    <row r="380" spans="1:18" ht="15.75" customHeight="1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</row>
    <row r="381" spans="1:18" ht="15.75" customHeight="1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</row>
    <row r="382" spans="1:18" ht="15.75" customHeight="1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</row>
    <row r="383" spans="1:18" ht="15.75" customHeight="1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</row>
    <row r="384" spans="1:18" ht="15.75" customHeight="1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</row>
    <row r="385" spans="1:18" ht="15.75" customHeight="1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</row>
    <row r="386" spans="1:18" ht="15.75" customHeight="1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</row>
    <row r="387" spans="1:18" ht="15.75" customHeight="1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</row>
    <row r="388" spans="1:18" ht="15.75" customHeight="1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</row>
    <row r="389" spans="1:18" ht="15.75" customHeight="1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</row>
    <row r="390" spans="1:18" ht="15.75" customHeight="1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</row>
    <row r="391" spans="1:18" ht="15.75" customHeight="1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</row>
    <row r="392" spans="1:18" ht="15.75" customHeight="1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</row>
    <row r="393" spans="1:18" ht="15.75" customHeight="1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</row>
    <row r="394" spans="1:18" ht="15.75" customHeight="1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</row>
    <row r="395" spans="1:18" ht="15.75" customHeight="1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</row>
    <row r="396" spans="1:18" ht="15.75" customHeight="1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</row>
    <row r="397" spans="1:18" ht="15.75" customHeight="1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</row>
    <row r="398" spans="1:18" ht="15.75" customHeight="1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</row>
    <row r="399" spans="1:18" ht="15.75" customHeight="1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</row>
    <row r="400" spans="1:18" ht="15.75" customHeight="1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</row>
    <row r="401" spans="1:18" ht="15.75" customHeight="1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</row>
    <row r="402" spans="1:18" ht="15.75" customHeight="1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</row>
    <row r="403" spans="1:18" ht="15.75" customHeight="1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</row>
    <row r="404" spans="1:18" ht="15.75" customHeight="1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</row>
    <row r="405" spans="1:18" ht="15.75" customHeight="1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</row>
    <row r="406" spans="1:18" ht="15.75" customHeight="1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</row>
    <row r="407" spans="1:18" ht="15.75" customHeight="1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</row>
    <row r="408" spans="1:18" ht="15.75" customHeight="1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</row>
    <row r="409" spans="1:18" ht="15.75" customHeight="1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</row>
    <row r="410" spans="1:18" ht="15.75" customHeight="1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</row>
    <row r="411" spans="1:18" ht="15.75" customHeight="1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</row>
    <row r="412" spans="1:18" ht="15.75" customHeight="1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</row>
    <row r="413" spans="1:18" ht="15.75" customHeight="1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</row>
    <row r="414" spans="1:18" ht="15.75" customHeight="1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</row>
    <row r="415" spans="1:18" ht="15.75" customHeight="1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</row>
    <row r="416" spans="1:18" ht="15.75" customHeight="1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</row>
    <row r="417" spans="1:18" ht="15.75" customHeight="1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</row>
    <row r="418" spans="1:18" ht="15.75" customHeight="1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</row>
    <row r="419" spans="1:18" ht="15.75" customHeight="1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</row>
    <row r="420" spans="1:18" ht="15.75" customHeight="1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</row>
    <row r="421" spans="1:18" ht="15.75" customHeight="1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</row>
    <row r="422" spans="1:18" ht="15.75" customHeight="1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</row>
    <row r="423" spans="1:18" ht="15.75" customHeight="1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</row>
    <row r="424" spans="1:18" ht="15.75" customHeight="1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</row>
    <row r="425" spans="1:18" ht="15.75" customHeight="1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</row>
    <row r="426" spans="1:18" ht="15.75" customHeight="1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</row>
    <row r="427" spans="1:18" ht="15.75" customHeight="1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</row>
    <row r="428" spans="1:18" ht="15.75" customHeight="1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</row>
    <row r="429" spans="1:18" ht="15.75" customHeight="1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</row>
    <row r="430" spans="1:18" ht="15.75" customHeight="1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</row>
    <row r="431" spans="1:18" ht="15.75" customHeight="1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</row>
    <row r="432" spans="1:18" ht="15.75" customHeight="1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</row>
    <row r="433" spans="1:18" ht="15.75" customHeight="1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</row>
    <row r="434" spans="1:18" ht="15.75" customHeight="1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</row>
    <row r="435" spans="1:18" ht="15.75" customHeight="1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</row>
    <row r="436" spans="1:18" ht="15.75" customHeight="1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</row>
    <row r="437" spans="1:18" ht="15.75" customHeight="1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</row>
    <row r="438" spans="1:18" ht="15.75" customHeight="1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</row>
    <row r="439" spans="1:18" ht="15.75" customHeight="1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</row>
    <row r="440" spans="1:18" ht="15.75" customHeight="1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</row>
    <row r="441" spans="1:18" ht="15.75" customHeight="1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</row>
    <row r="442" spans="1:18" ht="15.75" customHeight="1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</row>
    <row r="443" spans="1:18" ht="15.75" customHeight="1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</row>
    <row r="444" spans="1:18" ht="15.75" customHeight="1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</row>
    <row r="445" spans="1:18" ht="15.75" customHeight="1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</row>
    <row r="446" spans="1:18" ht="15.75" customHeight="1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</row>
    <row r="447" spans="1:18" ht="15.75" customHeight="1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</row>
    <row r="448" spans="1:18" ht="15.75" customHeight="1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</row>
    <row r="449" spans="1:18" ht="15.75" customHeight="1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</row>
    <row r="450" spans="1:18" ht="15.75" customHeight="1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</row>
    <row r="451" spans="1:18" ht="15.75" customHeight="1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</row>
    <row r="452" spans="1:18" ht="15.75" customHeight="1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</row>
    <row r="453" spans="1:18" ht="15.75" customHeight="1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</row>
    <row r="454" spans="1:18" ht="15.75" customHeight="1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</row>
    <row r="455" spans="1:18" ht="15.75" customHeight="1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</row>
    <row r="456" spans="1:18" ht="15.75" customHeight="1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</row>
    <row r="457" spans="1:18" ht="15.75" customHeight="1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</row>
    <row r="458" spans="1:18" ht="15.75" customHeight="1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</row>
    <row r="459" spans="1:18" ht="15.75" customHeight="1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</row>
    <row r="460" spans="1:18" ht="15.75" customHeight="1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</row>
    <row r="461" spans="1:18" ht="15.75" customHeight="1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</row>
    <row r="462" spans="1:18" ht="15.75" customHeight="1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</row>
    <row r="463" spans="1:18" ht="15.75" customHeight="1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</row>
    <row r="464" spans="1:18" ht="15.75" customHeight="1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</row>
    <row r="465" spans="1:18" ht="15.75" customHeight="1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</row>
    <row r="466" spans="1:18" ht="15.75" customHeight="1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</row>
    <row r="467" spans="1:18" ht="15.75" customHeight="1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</row>
    <row r="468" spans="1:18" ht="15.75" customHeight="1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</row>
    <row r="469" spans="1:18" ht="15.75" customHeight="1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</row>
    <row r="470" spans="1:18" ht="15.75" customHeight="1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</row>
    <row r="471" spans="1:18" ht="15.75" customHeight="1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</row>
    <row r="472" spans="1:18" ht="15.75" customHeight="1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</row>
    <row r="473" spans="1:18" ht="15.75" customHeight="1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</row>
    <row r="474" spans="1:18" ht="15.75" customHeight="1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</row>
    <row r="475" spans="1:18" ht="15.75" customHeight="1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</row>
    <row r="476" spans="1:18" ht="15.75" customHeight="1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</row>
    <row r="477" spans="1:18" ht="15.75" customHeight="1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</row>
    <row r="478" spans="1:18" ht="15.75" customHeight="1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</row>
    <row r="479" spans="1:18" ht="15.75" customHeight="1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</row>
    <row r="480" spans="1:18" ht="15.75" customHeight="1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</row>
    <row r="481" spans="1:18" ht="15.75" customHeight="1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</row>
    <row r="482" spans="1:18" ht="15.75" customHeight="1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</row>
    <row r="483" spans="1:18" ht="15.75" customHeight="1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</row>
    <row r="484" spans="1:18" ht="15.75" customHeight="1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</row>
    <row r="485" spans="1:18" ht="15.75" customHeight="1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</row>
    <row r="486" spans="1:18" ht="15.75" customHeight="1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</row>
    <row r="487" spans="1:18" ht="15.75" customHeight="1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</row>
    <row r="488" spans="1:18" ht="15.75" customHeight="1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</row>
    <row r="489" spans="1:18" ht="15.75" customHeight="1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</row>
    <row r="490" spans="1:18" ht="15.75" customHeight="1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</row>
    <row r="491" spans="1:18" ht="15.75" customHeight="1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</row>
    <row r="492" spans="1:18" ht="15.75" customHeight="1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</row>
    <row r="493" spans="1:18" ht="15.75" customHeight="1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</row>
    <row r="494" spans="1:18" ht="15.75" customHeight="1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</row>
    <row r="495" spans="1:18" ht="15.75" customHeight="1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</row>
    <row r="496" spans="1:18" ht="15.75" customHeight="1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</row>
    <row r="497" spans="1:18" ht="15.75" customHeight="1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</row>
    <row r="498" spans="1:18" ht="15.75" customHeight="1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</row>
    <row r="499" spans="1:18" ht="15.75" customHeight="1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</row>
    <row r="500" spans="1:18" ht="15.75" customHeight="1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</row>
    <row r="501" spans="1:18" ht="15.75" customHeight="1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</row>
    <row r="502" spans="1:18" ht="15.75" customHeight="1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</row>
    <row r="503" spans="1:18" ht="15.75" customHeight="1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</row>
    <row r="504" spans="1:18" ht="15.75" customHeight="1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</row>
    <row r="505" spans="1:18" ht="15.75" customHeight="1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</row>
    <row r="506" spans="1:18" ht="15.75" customHeight="1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</row>
    <row r="507" spans="1:18" ht="15.75" customHeight="1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</row>
    <row r="508" spans="1:18" ht="15.75" customHeight="1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</row>
    <row r="509" spans="1:18" ht="15.75" customHeight="1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</row>
    <row r="510" spans="1:18" ht="15.75" customHeight="1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</row>
    <row r="511" spans="1:18" ht="15.75" customHeight="1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</row>
    <row r="512" spans="1:18" ht="15.75" customHeight="1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</row>
    <row r="513" spans="1:18" ht="15.75" customHeight="1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</row>
    <row r="514" spans="1:18" ht="15.75" customHeight="1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</row>
    <row r="515" spans="1:18" ht="15.75" customHeight="1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</row>
    <row r="516" spans="1:18" ht="15.75" customHeight="1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</row>
    <row r="517" spans="1:18" ht="15.75" customHeight="1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</row>
    <row r="518" spans="1:18" ht="15.75" customHeight="1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</row>
    <row r="519" spans="1:18" ht="15.75" customHeight="1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</row>
    <row r="520" spans="1:18" ht="15.75" customHeight="1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</row>
    <row r="521" spans="1:18" ht="15.75" customHeight="1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</row>
    <row r="522" spans="1:18" ht="15.75" customHeight="1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</row>
    <row r="523" spans="1:18" ht="15.75" customHeight="1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</row>
    <row r="524" spans="1:18" ht="15.75" customHeight="1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</row>
    <row r="525" spans="1:18" ht="15.75" customHeight="1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</row>
    <row r="526" spans="1:18" ht="15.75" customHeight="1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</row>
    <row r="527" spans="1:18" ht="15.75" customHeight="1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</row>
    <row r="528" spans="1:18" ht="15.75" customHeight="1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</row>
    <row r="529" spans="1:18" ht="15.75" customHeight="1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</row>
    <row r="530" spans="1:18" ht="15.75" customHeight="1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</row>
    <row r="531" spans="1:18" ht="15.75" customHeight="1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</row>
    <row r="532" spans="1:18" ht="15.75" customHeight="1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</row>
    <row r="533" spans="1:18" ht="15.75" customHeight="1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</row>
    <row r="534" spans="1:18" ht="15.75" customHeight="1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</row>
    <row r="535" spans="1:18" ht="15.75" customHeight="1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</row>
    <row r="536" spans="1:18" ht="15.75" customHeight="1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</row>
    <row r="537" spans="1:18" ht="15.75" customHeight="1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</row>
    <row r="538" spans="1:18" ht="15.75" customHeight="1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</row>
    <row r="539" spans="1:18" ht="15.75" customHeight="1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</row>
    <row r="540" spans="1:18" ht="15.75" customHeight="1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</row>
    <row r="541" spans="1:18" ht="15.75" customHeight="1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</row>
    <row r="542" spans="1:18" ht="15.75" customHeight="1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</row>
    <row r="543" spans="1:18" ht="15.75" customHeight="1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</row>
    <row r="544" spans="1:18" ht="15.75" customHeight="1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</row>
    <row r="545" spans="1:18" ht="15.75" customHeight="1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</row>
    <row r="546" spans="1:18" ht="15.75" customHeight="1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</row>
    <row r="547" spans="1:18" ht="15.75" customHeight="1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</row>
    <row r="548" spans="1:18" ht="15.75" customHeight="1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</row>
    <row r="549" spans="1:18" ht="15.75" customHeight="1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</row>
    <row r="550" spans="1:18" ht="15.75" customHeight="1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</row>
    <row r="551" spans="1:18" ht="15.75" customHeight="1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</row>
    <row r="552" spans="1:18" ht="15.75" customHeight="1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</row>
    <row r="553" spans="1:18" ht="15.75" customHeight="1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</row>
    <row r="554" spans="1:18" ht="15.75" customHeight="1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</row>
    <row r="555" spans="1:18" ht="15.75" customHeight="1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</row>
    <row r="556" spans="1:18" ht="15.75" customHeight="1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</row>
    <row r="557" spans="1:18" ht="15.75" customHeight="1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</row>
    <row r="558" spans="1:18" ht="15.75" customHeight="1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</row>
    <row r="559" spans="1:18" ht="15.75" customHeight="1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</row>
    <row r="560" spans="1:18" ht="15.75" customHeight="1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</row>
    <row r="561" spans="1:18" ht="15.75" customHeight="1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</row>
    <row r="562" spans="1:18" ht="15.75" customHeight="1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</row>
    <row r="563" spans="1:18" ht="15.75" customHeight="1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</row>
    <row r="564" spans="1:18" ht="15.75" customHeight="1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</row>
    <row r="565" spans="1:18" ht="15.75" customHeight="1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</row>
    <row r="566" spans="1:18" ht="15.75" customHeight="1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</row>
    <row r="567" spans="1:18" ht="15.75" customHeight="1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</row>
    <row r="568" spans="1:18" ht="15.75" customHeight="1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</row>
    <row r="569" spans="1:18" ht="15.75" customHeight="1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</row>
    <row r="570" spans="1:18" ht="15.75" customHeight="1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</row>
    <row r="571" spans="1:18" ht="15.75" customHeight="1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</row>
    <row r="572" spans="1:18" ht="15.75" customHeight="1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</row>
    <row r="573" spans="1:18" ht="15.75" customHeight="1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</row>
    <row r="574" spans="1:18" ht="15.75" customHeight="1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</row>
    <row r="575" spans="1:18" ht="15.75" customHeight="1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</row>
    <row r="576" spans="1:18" ht="15.75" customHeight="1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</row>
    <row r="577" spans="1:18" ht="15.75" customHeight="1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</row>
    <row r="578" spans="1:18" ht="15.75" customHeight="1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</row>
    <row r="579" spans="1:18" ht="15.75" customHeight="1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</row>
    <row r="580" spans="1:18" ht="15.75" customHeight="1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</row>
    <row r="581" spans="1:18" ht="15.75" customHeight="1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</row>
    <row r="582" spans="1:18" ht="15.75" customHeight="1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</row>
    <row r="583" spans="1:18" ht="15.75" customHeight="1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</row>
    <row r="584" spans="1:18" ht="15.75" customHeight="1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</row>
    <row r="585" spans="1:18" ht="15.75" customHeight="1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</row>
    <row r="586" spans="1:18" ht="15.75" customHeight="1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</row>
    <row r="587" spans="1:18" ht="15.75" customHeight="1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</row>
    <row r="588" spans="1:18" ht="15.75" customHeight="1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</row>
    <row r="589" spans="1:18" ht="15.75" customHeight="1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</row>
    <row r="590" spans="1:18" ht="15.75" customHeight="1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</row>
    <row r="591" spans="1:18" ht="15.75" customHeight="1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</row>
    <row r="592" spans="1:18" ht="15.75" customHeight="1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</row>
    <row r="593" spans="1:18" ht="15.75" customHeight="1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</row>
    <row r="594" spans="1:18" ht="15.75" customHeight="1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</row>
    <row r="595" spans="1:18" ht="15.75" customHeight="1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</row>
    <row r="596" spans="1:18" ht="15.75" customHeight="1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</row>
    <row r="597" spans="1:18" ht="15.75" customHeight="1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</row>
    <row r="598" spans="1:18" ht="15.75" customHeight="1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</row>
    <row r="599" spans="1:18" ht="15.75" customHeight="1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</row>
    <row r="600" spans="1:18" ht="15.75" customHeight="1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</row>
    <row r="601" spans="1:18" ht="15.75" customHeight="1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</row>
    <row r="602" spans="1:18" ht="15.75" customHeight="1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</row>
    <row r="603" spans="1:18" ht="15.75" customHeight="1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</row>
    <row r="604" spans="1:18" ht="15.75" customHeight="1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</row>
    <row r="605" spans="1:18" ht="15.75" customHeight="1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</row>
    <row r="606" spans="1:18" ht="15.75" customHeight="1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</row>
    <row r="607" spans="1:18" ht="15.75" customHeight="1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</row>
    <row r="608" spans="1:18" ht="15.75" customHeight="1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</row>
    <row r="609" spans="1:18" ht="15.75" customHeight="1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</row>
    <row r="610" spans="1:18" ht="15.75" customHeight="1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</row>
    <row r="611" spans="1:18" ht="15.75" customHeight="1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</row>
    <row r="612" spans="1:18" ht="15.75" customHeight="1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</row>
    <row r="613" spans="1:18" ht="15.75" customHeight="1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</row>
    <row r="614" spans="1:18" ht="15.75" customHeight="1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</row>
    <row r="615" spans="1:18" ht="15.75" customHeight="1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</row>
    <row r="616" spans="1:18" ht="15.75" customHeight="1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</row>
    <row r="617" spans="1:18" ht="15.75" customHeight="1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</row>
    <row r="618" spans="1:18" ht="15.75" customHeight="1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</row>
    <row r="619" spans="1:18" ht="15.75" customHeight="1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</row>
    <row r="620" spans="1:18" ht="15.75" customHeight="1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</row>
    <row r="621" spans="1:18" ht="15.75" customHeight="1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</row>
    <row r="622" spans="1:18" ht="15.75" customHeight="1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</row>
    <row r="623" spans="1:18" ht="15.75" customHeight="1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</row>
    <row r="624" spans="1:18" ht="15.75" customHeight="1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</row>
    <row r="625" spans="1:18" ht="15.75" customHeight="1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</row>
    <row r="626" spans="1:18" ht="15.75" customHeight="1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21"/>
      <c r="P626" s="121"/>
      <c r="Q626" s="121"/>
      <c r="R626" s="121"/>
    </row>
    <row r="627" spans="1:18" ht="15.75" customHeight="1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</row>
    <row r="628" spans="1:18" ht="15.75" customHeight="1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</row>
    <row r="629" spans="1:18" ht="15.75" customHeight="1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</row>
    <row r="630" spans="1:18" ht="15.75" customHeight="1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</row>
    <row r="631" spans="1:18" ht="15.75" customHeight="1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</row>
    <row r="632" spans="1:18" ht="15.75" customHeight="1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</row>
    <row r="633" spans="1:18" ht="15.75" customHeight="1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</row>
    <row r="634" spans="1:18" ht="15.75" customHeight="1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</row>
    <row r="635" spans="1:18" ht="15.75" customHeight="1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</row>
    <row r="636" spans="1:18" ht="15.75" customHeight="1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</row>
    <row r="637" spans="1:18" ht="15.75" customHeight="1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</row>
    <row r="638" spans="1:18" ht="15.75" customHeight="1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</row>
    <row r="639" spans="1:18" ht="15.75" customHeight="1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</row>
    <row r="640" spans="1:18" ht="15.75" customHeight="1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21"/>
      <c r="P640" s="121"/>
      <c r="Q640" s="121"/>
      <c r="R640" s="121"/>
    </row>
    <row r="641" spans="1:18" ht="15.75" customHeight="1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</row>
    <row r="642" spans="1:18" ht="15.75" customHeight="1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</row>
    <row r="643" spans="1:18" ht="15.75" customHeight="1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</row>
    <row r="644" spans="1:18" ht="15.75" customHeight="1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</row>
    <row r="645" spans="1:18" ht="15.75" customHeight="1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</row>
    <row r="646" spans="1:18" ht="15.75" customHeight="1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</row>
    <row r="647" spans="1:18" ht="15.75" customHeight="1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21"/>
      <c r="P647" s="121"/>
      <c r="Q647" s="121"/>
      <c r="R647" s="121"/>
    </row>
    <row r="648" spans="1:18" ht="15.75" customHeight="1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</row>
    <row r="649" spans="1:18" ht="15.75" customHeight="1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</row>
    <row r="650" spans="1:18" ht="15.75" customHeight="1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</row>
    <row r="651" spans="1:18" ht="15.75" customHeight="1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</row>
    <row r="652" spans="1:18" ht="15.75" customHeight="1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</row>
    <row r="653" spans="1:18" ht="15.75" customHeight="1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</row>
    <row r="654" spans="1:18" ht="15.75" customHeight="1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</row>
    <row r="655" spans="1:18" ht="15.75" customHeight="1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</row>
    <row r="656" spans="1:18" ht="15.75" customHeight="1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</row>
    <row r="657" spans="1:18" ht="15.75" customHeight="1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</row>
    <row r="658" spans="1:18" ht="15.75" customHeight="1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</row>
    <row r="659" spans="1:18" ht="15.75" customHeight="1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</row>
    <row r="660" spans="1:18" ht="15.75" customHeight="1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</row>
    <row r="661" spans="1:18" ht="15.75" customHeight="1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</row>
    <row r="662" spans="1:18" ht="15.75" customHeight="1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</row>
    <row r="663" spans="1:18" ht="15.75" customHeight="1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</row>
    <row r="664" spans="1:18" ht="15.75" customHeight="1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21"/>
      <c r="P664" s="121"/>
      <c r="Q664" s="121"/>
      <c r="R664" s="121"/>
    </row>
    <row r="665" spans="1:18" ht="15.75" customHeight="1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</row>
    <row r="666" spans="1:18" ht="15.75" customHeight="1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</row>
    <row r="667" spans="1:18" ht="15.75" customHeight="1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</row>
    <row r="668" spans="1:18" ht="15.75" customHeight="1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</row>
    <row r="669" spans="1:18" ht="15.75" customHeight="1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</row>
    <row r="670" spans="1:18" ht="15.75" customHeight="1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</row>
    <row r="671" spans="1:18" ht="15.75" customHeight="1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</row>
    <row r="672" spans="1:18" ht="15.75" customHeight="1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</row>
    <row r="673" spans="1:18" ht="15.75" customHeight="1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</row>
    <row r="674" spans="1:18" ht="15.75" customHeight="1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</row>
    <row r="675" spans="1:18" ht="15.75" customHeight="1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</row>
    <row r="676" spans="1:18" ht="15.75" customHeight="1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</row>
    <row r="677" spans="1:18" ht="15.75" customHeight="1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</row>
    <row r="678" spans="1:18" ht="15.75" customHeight="1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</row>
    <row r="679" spans="1:18" ht="15.75" customHeight="1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</row>
    <row r="680" spans="1:18" ht="15.75" customHeight="1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</row>
    <row r="681" spans="1:18" ht="15.75" customHeight="1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</row>
    <row r="682" spans="1:18" ht="15.75" customHeight="1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</row>
    <row r="683" spans="1:18" ht="15.75" customHeight="1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</row>
    <row r="684" spans="1:18" ht="15.75" customHeight="1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</row>
    <row r="685" spans="1:18" ht="15.75" customHeight="1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</row>
    <row r="686" spans="1:18" ht="15.75" customHeight="1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</row>
    <row r="687" spans="1:18" ht="15.75" customHeight="1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</row>
    <row r="688" spans="1:18" ht="15.75" customHeight="1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</row>
    <row r="689" spans="1:18" ht="15.75" customHeight="1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</row>
    <row r="690" spans="1:18" ht="15.75" customHeight="1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</row>
    <row r="691" spans="1:18" ht="15.75" customHeight="1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</row>
    <row r="692" spans="1:18" ht="15.75" customHeight="1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</row>
    <row r="693" spans="1:18" ht="15.75" customHeight="1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</row>
    <row r="694" spans="1:18" ht="15.75" customHeight="1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</row>
    <row r="695" spans="1:18" ht="15.75" customHeight="1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</row>
    <row r="696" spans="1:18" ht="15.75" customHeight="1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</row>
    <row r="697" spans="1:18" ht="15.75" customHeight="1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</row>
    <row r="698" spans="1:18" ht="15.75" customHeight="1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</row>
    <row r="699" spans="1:18" ht="15.75" customHeight="1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</row>
    <row r="700" spans="1:18" ht="15.75" customHeight="1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</row>
    <row r="701" spans="1:18" ht="15.75" customHeight="1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</row>
    <row r="702" spans="1:18" ht="15.75" customHeight="1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</row>
    <row r="703" spans="1:18" ht="15.75" customHeight="1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</row>
    <row r="704" spans="1:18" ht="15.75" customHeight="1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</row>
    <row r="705" spans="1:18" ht="15.75" customHeight="1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</row>
    <row r="706" spans="1:18" ht="15.75" customHeight="1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</row>
    <row r="707" spans="1:18" ht="15.75" customHeight="1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</row>
    <row r="708" spans="1:18" ht="15.75" customHeight="1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</row>
    <row r="709" spans="1:18" ht="15.75" customHeight="1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</row>
    <row r="710" spans="1:18" ht="15.75" customHeight="1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21"/>
      <c r="P710" s="121"/>
      <c r="Q710" s="121"/>
      <c r="R710" s="121"/>
    </row>
    <row r="711" spans="1:18" ht="15.75" customHeight="1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</row>
    <row r="712" spans="1:18" ht="15.75" customHeight="1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</row>
    <row r="713" spans="1:18" ht="15.75" customHeight="1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</row>
    <row r="714" spans="1:18" ht="15.75" customHeight="1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</row>
    <row r="715" spans="1:18" ht="15.75" customHeight="1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</row>
    <row r="716" spans="1:18" ht="15.75" customHeight="1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</row>
    <row r="717" spans="1:18" ht="15.75" customHeight="1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</row>
    <row r="718" spans="1:18" ht="15.75" customHeight="1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</row>
    <row r="719" spans="1:18" ht="15.75" customHeight="1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</row>
    <row r="720" spans="1:18" ht="15.75" customHeight="1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</row>
    <row r="721" spans="1:18" ht="15.75" customHeight="1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</row>
    <row r="722" spans="1:18" ht="15.75" customHeight="1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</row>
    <row r="723" spans="1:18" ht="15.75" customHeight="1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21"/>
      <c r="P723" s="121"/>
      <c r="Q723" s="121"/>
      <c r="R723" s="121"/>
    </row>
    <row r="724" spans="1:18" ht="15.75" customHeight="1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</row>
    <row r="725" spans="1:18" ht="15.75" customHeight="1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</row>
    <row r="726" spans="1:18" ht="15.75" customHeight="1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</row>
    <row r="727" spans="1:18" ht="15.75" customHeight="1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21"/>
      <c r="P727" s="121"/>
      <c r="Q727" s="121"/>
      <c r="R727" s="121"/>
    </row>
    <row r="728" spans="1:18" ht="15.75" customHeight="1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</row>
    <row r="729" spans="1:18" ht="15.75" customHeight="1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</row>
    <row r="730" spans="1:18" ht="15.75" customHeight="1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</row>
    <row r="731" spans="1:18" ht="15.75" customHeight="1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</row>
    <row r="732" spans="1:18" ht="15.75" customHeight="1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</row>
    <row r="733" spans="1:18" ht="15.75" customHeight="1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</row>
    <row r="734" spans="1:18" ht="15.75" customHeight="1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</row>
    <row r="735" spans="1:18" ht="15.75" customHeight="1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</row>
    <row r="736" spans="1:18" ht="15.75" customHeight="1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</row>
    <row r="737" spans="1:18" ht="15.75" customHeight="1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21"/>
      <c r="P737" s="121"/>
      <c r="Q737" s="121"/>
      <c r="R737" s="121"/>
    </row>
    <row r="738" spans="1:18" ht="15.75" customHeight="1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</row>
    <row r="739" spans="1:18" ht="15.75" customHeight="1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</row>
    <row r="740" spans="1:18" ht="15.75" customHeight="1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21"/>
      <c r="P740" s="121"/>
      <c r="Q740" s="121"/>
      <c r="R740" s="121"/>
    </row>
    <row r="741" spans="1:18" ht="15.75" customHeight="1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</row>
    <row r="742" spans="1:18" ht="15.75" customHeight="1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</row>
    <row r="743" spans="1:18" ht="15.75" customHeight="1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</row>
    <row r="744" spans="1:18" ht="15.75" customHeight="1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</row>
    <row r="745" spans="1:18" ht="15.75" customHeight="1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</row>
    <row r="746" spans="1:18" ht="15.75" customHeight="1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</row>
    <row r="747" spans="1:18" ht="15.75" customHeight="1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</row>
    <row r="748" spans="1:18" ht="15.75" customHeight="1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</row>
    <row r="749" spans="1:18" ht="15.75" customHeight="1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</row>
    <row r="750" spans="1:18" ht="15.75" customHeight="1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</row>
    <row r="751" spans="1:18" ht="15.75" customHeight="1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</row>
    <row r="752" spans="1:18" ht="15.75" customHeight="1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</row>
    <row r="753" spans="1:18" ht="15.75" customHeight="1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</row>
    <row r="754" spans="1:18" ht="15.75" customHeight="1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</row>
    <row r="755" spans="1:18" ht="15.75" customHeight="1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</row>
    <row r="756" spans="1:18" ht="15.75" customHeight="1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</row>
    <row r="757" spans="1:18" ht="15.75" customHeight="1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</row>
    <row r="758" spans="1:18" ht="15.75" customHeight="1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21"/>
    </row>
    <row r="759" spans="1:18" ht="15.75" customHeight="1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</row>
    <row r="760" spans="1:18" ht="15.75" customHeight="1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</row>
    <row r="761" spans="1:18" ht="15.75" customHeight="1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</row>
    <row r="762" spans="1:18" ht="15.75" customHeight="1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</row>
    <row r="763" spans="1:18" ht="15.75" customHeight="1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</row>
    <row r="764" spans="1:18" ht="15.75" customHeight="1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</row>
    <row r="765" spans="1:18" ht="15.75" customHeight="1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</row>
    <row r="766" spans="1:18" ht="15.75" customHeight="1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</row>
    <row r="767" spans="1:18" ht="15.75" customHeight="1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</row>
    <row r="768" spans="1:18" ht="15.75" customHeight="1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</row>
    <row r="769" spans="1:18" ht="15.75" customHeight="1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</row>
    <row r="770" spans="1:18" ht="15.75" customHeight="1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</row>
    <row r="771" spans="1:18" ht="15.75" customHeight="1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</row>
    <row r="772" spans="1:18" ht="15.75" customHeight="1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</row>
    <row r="773" spans="1:18" ht="15.75" customHeight="1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</row>
    <row r="774" spans="1:18" ht="15.75" customHeight="1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</row>
    <row r="775" spans="1:18" ht="15.75" customHeight="1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</row>
    <row r="776" spans="1:18" ht="15.75" customHeight="1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</row>
    <row r="777" spans="1:18" ht="15.75" customHeight="1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</row>
    <row r="778" spans="1:18" ht="15.75" customHeight="1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21"/>
      <c r="L778" s="121"/>
      <c r="M778" s="121"/>
      <c r="N778" s="121"/>
      <c r="O778" s="121"/>
      <c r="P778" s="121"/>
      <c r="Q778" s="121"/>
      <c r="R778" s="121"/>
    </row>
    <row r="779" spans="1:18" ht="15.75" customHeight="1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</row>
    <row r="780" spans="1:18" ht="15.75" customHeight="1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</row>
    <row r="781" spans="1:18" ht="15.75" customHeight="1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</row>
    <row r="782" spans="1:18" ht="15.75" customHeight="1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</row>
    <row r="783" spans="1:18" ht="15.75" customHeight="1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</row>
    <row r="784" spans="1:18" ht="15.75" customHeight="1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</row>
    <row r="785" spans="1:18" ht="15.75" customHeight="1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</row>
    <row r="786" spans="1:18" ht="15.75" customHeight="1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</row>
    <row r="787" spans="1:18" ht="15.75" customHeight="1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</row>
    <row r="788" spans="1:18" ht="15.75" customHeight="1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</row>
    <row r="789" spans="1:18" ht="15.75" customHeight="1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</row>
    <row r="790" spans="1:18" ht="15.75" customHeight="1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</row>
    <row r="791" spans="1:18" ht="15.75" customHeight="1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</row>
    <row r="792" spans="1:18" ht="15.75" customHeight="1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</row>
    <row r="793" spans="1:18" ht="15.75" customHeight="1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</row>
    <row r="794" spans="1:18" ht="15.75" customHeight="1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</row>
    <row r="795" spans="1:18" ht="15.75" customHeight="1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21"/>
      <c r="P795" s="121"/>
      <c r="Q795" s="121"/>
      <c r="R795" s="121"/>
    </row>
    <row r="796" spans="1:18" ht="15.75" customHeight="1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</row>
    <row r="797" spans="1:18" ht="15.75" customHeight="1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</row>
    <row r="798" spans="1:18" ht="15.75" customHeight="1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21"/>
      <c r="P798" s="121"/>
      <c r="Q798" s="121"/>
      <c r="R798" s="121"/>
    </row>
    <row r="799" spans="1:18" ht="15.75" customHeight="1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21"/>
      <c r="P799" s="121"/>
      <c r="Q799" s="121"/>
      <c r="R799" s="121"/>
    </row>
    <row r="800" spans="1:18" ht="15.75" customHeight="1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21"/>
      <c r="P800" s="121"/>
      <c r="Q800" s="121"/>
      <c r="R800" s="121"/>
    </row>
    <row r="801" spans="1:18" ht="15.75" customHeight="1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21"/>
      <c r="P801" s="121"/>
      <c r="Q801" s="121"/>
      <c r="R801" s="121"/>
    </row>
    <row r="802" spans="1:18" ht="15.75" customHeight="1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21"/>
      <c r="P802" s="121"/>
      <c r="Q802" s="121"/>
      <c r="R802" s="121"/>
    </row>
    <row r="803" spans="1:18" ht="15.75" customHeight="1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21"/>
      <c r="P803" s="121"/>
      <c r="Q803" s="121"/>
      <c r="R803" s="121"/>
    </row>
    <row r="804" spans="1:18" ht="15.75" customHeight="1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21"/>
      <c r="P804" s="121"/>
      <c r="Q804" s="121"/>
      <c r="R804" s="121"/>
    </row>
    <row r="805" spans="1:18" ht="15.75" customHeight="1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21"/>
      <c r="P805" s="121"/>
      <c r="Q805" s="121"/>
      <c r="R805" s="121"/>
    </row>
    <row r="806" spans="1:18" ht="15.75" customHeight="1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21"/>
      <c r="P806" s="121"/>
      <c r="Q806" s="121"/>
      <c r="R806" s="121"/>
    </row>
    <row r="807" spans="1:18" ht="15.75" customHeight="1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21"/>
      <c r="P807" s="121"/>
      <c r="Q807" s="121"/>
      <c r="R807" s="121"/>
    </row>
    <row r="808" spans="1:18" ht="15.75" customHeight="1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21"/>
      <c r="P808" s="121"/>
      <c r="Q808" s="121"/>
      <c r="R808" s="121"/>
    </row>
    <row r="809" spans="1:18" ht="15.75" customHeight="1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21"/>
      <c r="P809" s="121"/>
      <c r="Q809" s="121"/>
      <c r="R809" s="121"/>
    </row>
    <row r="810" spans="1:18" ht="15.75" customHeight="1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21"/>
      <c r="P810" s="121"/>
      <c r="Q810" s="121"/>
      <c r="R810" s="121"/>
    </row>
    <row r="811" spans="1:18" ht="15.75" customHeight="1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21"/>
      <c r="P811" s="121"/>
      <c r="Q811" s="121"/>
      <c r="R811" s="121"/>
    </row>
    <row r="812" spans="1:18" ht="15.75" customHeight="1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</row>
    <row r="813" spans="1:18" ht="15.75" customHeight="1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</row>
    <row r="814" spans="1:18" ht="15.75" customHeight="1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1"/>
      <c r="P814" s="121"/>
      <c r="Q814" s="121"/>
      <c r="R814" s="121"/>
    </row>
    <row r="815" spans="1:18" ht="15.75" customHeight="1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21"/>
      <c r="P815" s="121"/>
      <c r="Q815" s="121"/>
      <c r="R815" s="121"/>
    </row>
    <row r="816" spans="1:18" ht="15.75" customHeight="1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21"/>
      <c r="P816" s="121"/>
      <c r="Q816" s="121"/>
      <c r="R816" s="121"/>
    </row>
    <row r="817" spans="1:18" ht="15.75" customHeight="1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</row>
    <row r="818" spans="1:18" ht="15.75" customHeight="1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</row>
    <row r="819" spans="1:18" ht="15.75" customHeight="1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21"/>
    </row>
    <row r="820" spans="1:18" ht="15.75" customHeight="1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21"/>
    </row>
    <row r="821" spans="1:18" ht="15.75" customHeight="1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21"/>
      <c r="P821" s="121"/>
      <c r="Q821" s="121"/>
      <c r="R821" s="121"/>
    </row>
    <row r="822" spans="1:18" ht="15.75" customHeight="1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21"/>
      <c r="P822" s="121"/>
      <c r="Q822" s="121"/>
      <c r="R822" s="121"/>
    </row>
    <row r="823" spans="1:18" ht="15.75" customHeight="1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21"/>
    </row>
    <row r="824" spans="1:18" ht="15.75" customHeight="1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21"/>
      <c r="P824" s="121"/>
      <c r="Q824" s="121"/>
      <c r="R824" s="121"/>
    </row>
    <row r="825" spans="1:18" ht="15.75" customHeight="1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21"/>
      <c r="L825" s="121"/>
      <c r="M825" s="121"/>
      <c r="N825" s="121"/>
      <c r="O825" s="121"/>
      <c r="P825" s="121"/>
      <c r="Q825" s="121"/>
      <c r="R825" s="121"/>
    </row>
    <row r="826" spans="1:18" ht="15.75" customHeight="1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21"/>
      <c r="P826" s="121"/>
      <c r="Q826" s="121"/>
      <c r="R826" s="121"/>
    </row>
    <row r="827" spans="1:18" ht="15.75" customHeight="1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21"/>
      <c r="P827" s="121"/>
      <c r="Q827" s="121"/>
      <c r="R827" s="121"/>
    </row>
    <row r="828" spans="1:18" ht="15.75" customHeight="1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21"/>
      <c r="P828" s="121"/>
      <c r="Q828" s="121"/>
      <c r="R828" s="121"/>
    </row>
    <row r="829" spans="1:18" ht="15.75" customHeight="1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21"/>
    </row>
    <row r="830" spans="1:18" ht="15.75" customHeight="1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21"/>
    </row>
    <row r="831" spans="1:18" ht="15.75" customHeight="1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21"/>
      <c r="P831" s="121"/>
      <c r="Q831" s="121"/>
      <c r="R831" s="121"/>
    </row>
    <row r="832" spans="1:18" ht="15.75" customHeight="1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1"/>
      <c r="P832" s="121"/>
      <c r="Q832" s="121"/>
      <c r="R832" s="121"/>
    </row>
    <row r="833" spans="1:18" ht="15.75" customHeight="1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21"/>
      <c r="P833" s="121"/>
      <c r="Q833" s="121"/>
      <c r="R833" s="121"/>
    </row>
    <row r="834" spans="1:18" ht="15.75" customHeight="1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21"/>
      <c r="P834" s="121"/>
      <c r="Q834" s="121"/>
      <c r="R834" s="121"/>
    </row>
    <row r="835" spans="1:18" ht="15.75" customHeight="1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21"/>
      <c r="P835" s="121"/>
      <c r="Q835" s="121"/>
      <c r="R835" s="121"/>
    </row>
    <row r="836" spans="1:18" ht="15.75" customHeight="1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21"/>
      <c r="P836" s="121"/>
      <c r="Q836" s="121"/>
      <c r="R836" s="121"/>
    </row>
    <row r="837" spans="1:18" ht="15.75" customHeight="1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21"/>
      <c r="P837" s="121"/>
      <c r="Q837" s="121"/>
      <c r="R837" s="121"/>
    </row>
    <row r="838" spans="1:18" ht="15.75" customHeight="1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1"/>
      <c r="P838" s="121"/>
      <c r="Q838" s="121"/>
      <c r="R838" s="121"/>
    </row>
    <row r="839" spans="1:18" ht="15.75" customHeight="1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21"/>
      <c r="P839" s="121"/>
      <c r="Q839" s="121"/>
      <c r="R839" s="121"/>
    </row>
    <row r="840" spans="1:18" ht="15.75" customHeight="1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21"/>
      <c r="P840" s="121"/>
      <c r="Q840" s="121"/>
      <c r="R840" s="121"/>
    </row>
    <row r="841" spans="1:18" ht="15.75" customHeight="1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</row>
    <row r="842" spans="1:18" ht="15.75" customHeight="1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21"/>
      <c r="P842" s="121"/>
      <c r="Q842" s="121"/>
      <c r="R842" s="121"/>
    </row>
    <row r="843" spans="1:18" ht="15.75" customHeight="1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21"/>
    </row>
    <row r="844" spans="1:18" ht="15.75" customHeight="1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21"/>
      <c r="P844" s="121"/>
      <c r="Q844" s="121"/>
      <c r="R844" s="121"/>
    </row>
    <row r="845" spans="1:18" ht="15.75" customHeight="1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21"/>
      <c r="P845" s="121"/>
      <c r="Q845" s="121"/>
      <c r="R845" s="121"/>
    </row>
    <row r="846" spans="1:18" ht="15.75" customHeight="1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21"/>
      <c r="P846" s="121"/>
      <c r="Q846" s="121"/>
      <c r="R846" s="121"/>
    </row>
    <row r="847" spans="1:18" ht="15.75" customHeight="1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21"/>
      <c r="P847" s="121"/>
      <c r="Q847" s="121"/>
      <c r="R847" s="121"/>
    </row>
    <row r="848" spans="1:18" ht="15.75" customHeight="1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21"/>
      <c r="P848" s="121"/>
      <c r="Q848" s="121"/>
      <c r="R848" s="121"/>
    </row>
    <row r="849" spans="1:18" ht="15.75" customHeight="1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21"/>
    </row>
    <row r="850" spans="1:18" ht="15.75" customHeight="1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1"/>
      <c r="P850" s="121"/>
      <c r="Q850" s="121"/>
      <c r="R850" s="121"/>
    </row>
    <row r="851" spans="1:18" ht="15.75" customHeight="1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</row>
    <row r="852" spans="1:18" ht="15.75" customHeight="1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21"/>
    </row>
    <row r="853" spans="1:18" ht="15.75" customHeight="1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1"/>
      <c r="P853" s="121"/>
      <c r="Q853" s="121"/>
      <c r="R853" s="121"/>
    </row>
    <row r="854" spans="1:18" ht="15.75" customHeight="1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1"/>
      <c r="P854" s="121"/>
      <c r="Q854" s="121"/>
      <c r="R854" s="121"/>
    </row>
    <row r="855" spans="1:18" ht="15.75" customHeight="1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1"/>
      <c r="P855" s="121"/>
      <c r="Q855" s="121"/>
      <c r="R855" s="121"/>
    </row>
    <row r="856" spans="1:18" ht="15.75" customHeight="1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1"/>
      <c r="P856" s="121"/>
      <c r="Q856" s="121"/>
      <c r="R856" s="121"/>
    </row>
    <row r="857" spans="1:18" ht="15.75" customHeight="1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1"/>
      <c r="P857" s="121"/>
      <c r="Q857" s="121"/>
      <c r="R857" s="121"/>
    </row>
    <row r="858" spans="1:18" ht="15.75" customHeight="1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1"/>
      <c r="P858" s="121"/>
      <c r="Q858" s="121"/>
      <c r="R858" s="121"/>
    </row>
    <row r="859" spans="1:18" ht="15.75" customHeight="1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</row>
    <row r="860" spans="1:18" ht="15.75" customHeight="1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</row>
    <row r="861" spans="1:18" ht="15.75" customHeight="1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21"/>
      <c r="P861" s="121"/>
      <c r="Q861" s="121"/>
      <c r="R861" s="121"/>
    </row>
    <row r="862" spans="1:18" ht="15.75" customHeight="1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</row>
    <row r="863" spans="1:18" ht="15.75" customHeight="1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</row>
    <row r="864" spans="1:18" ht="15.75" customHeight="1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</row>
    <row r="865" spans="1:18" ht="15.75" customHeight="1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</row>
    <row r="866" spans="1:18" ht="15.75" customHeight="1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</row>
    <row r="867" spans="1:18" ht="15.75" customHeight="1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</row>
    <row r="868" spans="1:18" ht="15.75" customHeight="1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</row>
    <row r="869" spans="1:18" ht="15.75" customHeight="1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</row>
    <row r="870" spans="1:18" ht="15.75" customHeight="1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</row>
    <row r="871" spans="1:18" ht="15.75" customHeight="1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</row>
    <row r="872" spans="1:18" ht="15.75" customHeight="1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</row>
    <row r="873" spans="1:18" ht="15.75" customHeight="1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</row>
    <row r="874" spans="1:18" ht="15.75" customHeight="1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</row>
    <row r="875" spans="1:18" ht="15.75" customHeight="1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</row>
    <row r="876" spans="1:18" ht="15.75" customHeight="1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</row>
    <row r="877" spans="1:18" ht="15.75" customHeight="1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</row>
    <row r="878" spans="1:18" ht="15.75" customHeight="1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</row>
    <row r="879" spans="1:18" ht="15.75" customHeight="1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</row>
    <row r="880" spans="1:18" ht="15.75" customHeight="1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</row>
    <row r="881" spans="1:18" ht="15.75" customHeight="1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</row>
    <row r="882" spans="1:18" ht="15.75" customHeight="1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</row>
    <row r="883" spans="1:18" ht="15.75" customHeight="1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</row>
    <row r="884" spans="1:18" ht="15.75" customHeight="1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</row>
    <row r="885" spans="1:18" ht="15.75" customHeight="1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</row>
    <row r="886" spans="1:18" ht="15.75" customHeight="1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</row>
    <row r="887" spans="1:18" ht="15.75" customHeight="1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</row>
    <row r="888" spans="1:18" ht="15.75" customHeight="1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</row>
    <row r="889" spans="1:18" ht="15.75" customHeight="1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</row>
    <row r="890" spans="1:18" ht="15.75" customHeight="1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</row>
    <row r="891" spans="1:18" ht="15.75" customHeight="1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</row>
    <row r="892" spans="1:18" ht="15.75" customHeight="1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</row>
    <row r="893" spans="1:18" ht="15.75" customHeight="1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</row>
    <row r="894" spans="1:18" ht="15.75" customHeight="1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</row>
    <row r="895" spans="1:18" ht="15.75" customHeight="1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</row>
    <row r="896" spans="1:18" ht="15.75" customHeight="1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</row>
    <row r="897" spans="1:18" ht="15.75" customHeight="1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</row>
    <row r="898" spans="1:18" ht="15.75" customHeight="1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</row>
    <row r="899" spans="1:18" ht="15.75" customHeight="1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</row>
    <row r="900" spans="1:18" ht="15.75" customHeight="1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</row>
    <row r="901" spans="1:18" ht="15.75" customHeight="1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</row>
    <row r="902" spans="1:18" ht="15.75" customHeight="1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</row>
    <row r="903" spans="1:18" ht="15.75" customHeight="1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</row>
    <row r="904" spans="1:18" ht="15.75" customHeight="1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</row>
    <row r="905" spans="1:18" ht="15.75" customHeight="1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</row>
    <row r="906" spans="1:18" ht="15.75" customHeight="1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</row>
    <row r="907" spans="1:18" ht="15.75" customHeight="1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</row>
    <row r="908" spans="1:18" ht="15.75" customHeight="1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</row>
    <row r="909" spans="1:18" ht="15.75" customHeight="1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</row>
    <row r="910" spans="1:18" ht="15.75" customHeight="1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</row>
    <row r="911" spans="1:18" ht="15.75" customHeight="1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</row>
    <row r="912" spans="1:18" ht="15.75" customHeight="1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</row>
    <row r="913" spans="1:18" ht="15.75" customHeight="1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</row>
    <row r="914" spans="1:18" ht="15.75" customHeight="1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</row>
    <row r="915" spans="1:18" ht="15.75" customHeight="1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</row>
    <row r="916" spans="1:18" ht="15.75" customHeight="1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</row>
    <row r="917" spans="1:18" ht="15.75" customHeight="1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</row>
    <row r="918" spans="1:18" ht="15.75" customHeight="1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</row>
    <row r="919" spans="1:18" ht="15.75" customHeight="1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</row>
    <row r="920" spans="1:18" ht="15.75" customHeight="1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</row>
    <row r="921" spans="1:18" ht="15.75" customHeight="1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</row>
    <row r="922" spans="1:18" ht="15.75" customHeight="1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</row>
    <row r="923" spans="1:18" ht="15.75" customHeight="1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</row>
    <row r="924" spans="1:18" ht="15.75" customHeight="1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</row>
    <row r="925" spans="1:18" ht="15.75" customHeight="1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</row>
    <row r="926" spans="1:18" ht="15.75" customHeight="1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</row>
    <row r="927" spans="1:18" ht="15.75" customHeight="1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</row>
    <row r="928" spans="1:18" ht="15.75" customHeight="1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</row>
    <row r="929" spans="1:18" ht="15.75" customHeight="1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</row>
    <row r="930" spans="1:18" ht="15.75" customHeight="1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</row>
    <row r="931" spans="1:18" ht="15.75" customHeight="1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</row>
    <row r="932" spans="1:18" ht="15.75" customHeight="1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</row>
    <row r="933" spans="1:18" ht="15.75" customHeight="1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</row>
    <row r="934" spans="1:18" ht="15.75" customHeight="1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</row>
    <row r="935" spans="1:18" ht="15.75" customHeight="1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</row>
    <row r="936" spans="1:18" ht="15.75" customHeight="1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</row>
    <row r="937" spans="1:18" ht="15.75" customHeight="1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</row>
    <row r="938" spans="1:18" ht="15.75" customHeight="1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</row>
    <row r="939" spans="1:18" ht="15.75" customHeight="1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</row>
    <row r="940" spans="1:18" ht="15.75" customHeight="1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</row>
    <row r="941" spans="1:18" ht="15.75" customHeight="1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</row>
    <row r="942" spans="1:18" ht="15.75" customHeight="1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</row>
    <row r="943" spans="1:18" ht="15.75" customHeight="1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</row>
    <row r="944" spans="1:18" ht="15.75" customHeight="1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</row>
    <row r="945" spans="1:18" ht="15.75" customHeight="1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</row>
    <row r="946" spans="1:18" ht="15.75" customHeight="1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</row>
    <row r="947" spans="1:18" ht="15.75" customHeight="1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21"/>
      <c r="P947" s="121"/>
      <c r="Q947" s="121"/>
      <c r="R947" s="121"/>
    </row>
    <row r="948" spans="1:18" ht="15.75" customHeight="1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</row>
    <row r="949" spans="1:18" ht="15.75" customHeight="1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</row>
    <row r="950" spans="1:18" ht="15.75" customHeight="1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</row>
    <row r="951" spans="1:18" ht="15.75" customHeight="1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</row>
    <row r="952" spans="1:18" ht="15.75" customHeight="1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</row>
    <row r="953" spans="1:18" ht="15.75" customHeight="1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</row>
    <row r="954" spans="1:18" ht="15.75" customHeight="1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</row>
    <row r="955" spans="1:18" ht="15.75" customHeight="1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</row>
    <row r="956" spans="1:18" ht="15.75" customHeight="1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</row>
    <row r="957" spans="1:18" ht="15.75" customHeight="1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</row>
    <row r="958" spans="1:18" ht="15.75" customHeight="1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</row>
    <row r="959" spans="1:18" ht="15.75" customHeight="1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</row>
    <row r="960" spans="1:18" ht="15.75" customHeight="1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</row>
    <row r="961" spans="1:18" ht="15.75" customHeight="1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</row>
    <row r="962" spans="1:18" ht="15.75" customHeight="1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</row>
    <row r="963" spans="1:18" ht="15.75" customHeight="1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</row>
    <row r="964" spans="1:18" ht="15.75" customHeight="1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</row>
    <row r="965" spans="1:18" ht="15.75" customHeight="1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</row>
    <row r="966" spans="1:18" ht="15.75" customHeight="1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21"/>
      <c r="P966" s="121"/>
      <c r="Q966" s="121"/>
      <c r="R966" s="121"/>
    </row>
    <row r="967" spans="1:18" ht="15.75" customHeight="1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</row>
    <row r="968" spans="1:18" ht="15.75" customHeight="1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</row>
    <row r="969" spans="1:18" ht="15.75" customHeight="1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</row>
    <row r="970" spans="1:18" ht="15.75" customHeight="1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</row>
    <row r="971" spans="1:18" ht="15.75" customHeight="1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</row>
    <row r="972" spans="1:18" ht="15.75" customHeight="1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</row>
    <row r="973" spans="1:18" ht="15.75" customHeight="1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</row>
    <row r="974" spans="1:18" ht="15.75" customHeight="1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</row>
    <row r="975" spans="1:18" ht="15.75" customHeight="1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</row>
    <row r="976" spans="1:18" ht="15.75" customHeight="1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21"/>
      <c r="P976" s="121"/>
      <c r="Q976" s="121"/>
      <c r="R976" s="121"/>
    </row>
    <row r="977" spans="1:18" ht="15.75" customHeight="1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21"/>
      <c r="P977" s="121"/>
      <c r="Q977" s="121"/>
      <c r="R977" s="121"/>
    </row>
    <row r="978" spans="1:18" ht="15.75" customHeight="1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21"/>
      <c r="P978" s="121"/>
      <c r="Q978" s="121"/>
      <c r="R978" s="121"/>
    </row>
    <row r="979" spans="1:18" ht="15.75" customHeight="1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21"/>
      <c r="P979" s="121"/>
      <c r="Q979" s="121"/>
      <c r="R979" s="121"/>
    </row>
    <row r="980" spans="1:18" ht="15.75" customHeight="1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21"/>
      <c r="P980" s="121"/>
      <c r="Q980" s="121"/>
      <c r="R980" s="121"/>
    </row>
    <row r="981" spans="1:18" ht="15.75" customHeight="1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21"/>
      <c r="P981" s="121"/>
      <c r="Q981" s="121"/>
      <c r="R981" s="121"/>
    </row>
    <row r="982" spans="1:18" ht="15.75" customHeight="1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21"/>
      <c r="P982" s="121"/>
      <c r="Q982" s="121"/>
      <c r="R982" s="121"/>
    </row>
    <row r="983" spans="1:18" ht="15.75" customHeight="1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21"/>
      <c r="P983" s="121"/>
      <c r="Q983" s="121"/>
      <c r="R983" s="121"/>
    </row>
    <row r="984" spans="1:18" ht="15.75" customHeight="1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21"/>
      <c r="P984" s="121"/>
      <c r="Q984" s="121"/>
      <c r="R984" s="121"/>
    </row>
    <row r="985" spans="1:18" ht="15.75" customHeight="1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21"/>
    </row>
    <row r="986" spans="1:18" ht="15.75" customHeight="1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</row>
    <row r="987" spans="1:18" ht="15.75" customHeight="1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</row>
    <row r="988" spans="1:18" ht="15.75" customHeight="1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21"/>
      <c r="P988" s="121"/>
      <c r="Q988" s="121"/>
      <c r="R988" s="121"/>
    </row>
    <row r="989" spans="1:18" ht="15.75" customHeight="1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21"/>
      <c r="P989" s="121"/>
      <c r="Q989" s="121"/>
      <c r="R989" s="121"/>
    </row>
    <row r="990" spans="1:18" ht="15.75" customHeight="1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21"/>
      <c r="P990" s="121"/>
      <c r="Q990" s="121"/>
      <c r="R990" s="121"/>
    </row>
    <row r="991" spans="1:18" ht="15.75" customHeight="1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</row>
    <row r="992" spans="1:18" ht="15.75" customHeight="1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21"/>
      <c r="L992" s="121"/>
      <c r="M992" s="121"/>
      <c r="N992" s="121"/>
      <c r="O992" s="121"/>
      <c r="P992" s="121"/>
      <c r="Q992" s="121"/>
      <c r="R992" s="121"/>
    </row>
    <row r="993" spans="1:18" ht="15" customHeight="1">
      <c r="A993" s="122"/>
      <c r="B993" s="122"/>
      <c r="C993" s="122"/>
      <c r="D993" s="122"/>
      <c r="E993" s="122"/>
      <c r="F993" s="122"/>
      <c r="G993" s="122"/>
      <c r="H993" s="122"/>
      <c r="I993" s="122"/>
      <c r="J993" s="122"/>
      <c r="K993" s="122"/>
      <c r="L993" s="122"/>
      <c r="M993" s="122"/>
      <c r="N993" s="122"/>
      <c r="O993" s="122"/>
      <c r="P993" s="122"/>
      <c r="Q993" s="122"/>
      <c r="R993" s="122"/>
    </row>
  </sheetData>
  <mergeCells count="10">
    <mergeCell ref="B15:B16"/>
    <mergeCell ref="C15:C16"/>
    <mergeCell ref="D17:D23"/>
    <mergeCell ref="B1:D1"/>
    <mergeCell ref="E1:F1"/>
    <mergeCell ref="B2:D2"/>
    <mergeCell ref="E2:F2"/>
    <mergeCell ref="B3:C3"/>
    <mergeCell ref="D5:D9"/>
    <mergeCell ref="D10:D12"/>
  </mergeCells>
  <hyperlinks>
    <hyperlink ref="B34" r:id="rId1" location="1" xr:uid="{00000000-0004-0000-0600-000000000000}"/>
    <hyperlink ref="E2:F2" r:id="rId2" display="https://www.faecys.org.ar/faecys-acuerdo-y-escalas-salariales-rama-turismo-sec-de-as-laborales/" xr:uid="{E260FD8B-B845-470D-8126-D292BA13CBAE}"/>
  </hyperlinks>
  <pageMargins left="0.7" right="0.7" top="0.75" bottom="0.75" header="0" footer="0"/>
  <pageSetup orientation="landscape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  <outlinePr summaryBelow="0" summaryRight="0"/>
  </sheetPr>
  <dimension ref="A1:AN1002"/>
  <sheetViews>
    <sheetView tabSelected="1" zoomScale="41" workbookViewId="0">
      <selection activeCell="AJ1" sqref="AJ1"/>
    </sheetView>
  </sheetViews>
  <sheetFormatPr defaultColWidth="12.7109375" defaultRowHeight="15" customHeight="1"/>
  <cols>
    <col min="1" max="1" width="53.42578125" customWidth="1"/>
    <col min="2" max="2" width="32.7109375" bestFit="1" customWidth="1"/>
    <col min="3" max="3" width="16.7109375" bestFit="1" customWidth="1"/>
    <col min="4" max="5" width="17.28515625" bestFit="1" customWidth="1"/>
    <col min="6" max="6" width="17.7109375" bestFit="1" customWidth="1"/>
    <col min="7" max="8" width="18.28515625" bestFit="1" customWidth="1"/>
    <col min="9" max="9" width="18.5703125" bestFit="1" customWidth="1"/>
    <col min="10" max="11" width="19" bestFit="1" customWidth="1"/>
    <col min="12" max="12" width="20.42578125" bestFit="1" customWidth="1"/>
    <col min="13" max="13" width="22.28515625" bestFit="1" customWidth="1"/>
    <col min="14" max="14" width="19.28515625" bestFit="1" customWidth="1"/>
    <col min="15" max="15" width="28" customWidth="1"/>
    <col min="16" max="17" width="19.7109375" bestFit="1" customWidth="1"/>
    <col min="18" max="18" width="20.7109375" bestFit="1" customWidth="1"/>
    <col min="19" max="19" width="21" bestFit="1" customWidth="1"/>
    <col min="20" max="20" width="21.85546875" bestFit="1" customWidth="1"/>
    <col min="21" max="21" width="21.7109375" bestFit="1" customWidth="1"/>
    <col min="22" max="24" width="23.7109375" bestFit="1" customWidth="1"/>
    <col min="25" max="25" width="24.5703125" bestFit="1" customWidth="1"/>
    <col min="26" max="26" width="25" bestFit="1" customWidth="1"/>
    <col min="27" max="27" width="21.28515625" customWidth="1"/>
    <col min="28" max="28" width="31.7109375" customWidth="1"/>
    <col min="29" max="29" width="21" customWidth="1"/>
    <col min="30" max="30" width="26.7109375" bestFit="1" customWidth="1"/>
    <col min="31" max="31" width="26.28515625" bestFit="1" customWidth="1"/>
    <col min="32" max="32" width="26.7109375" bestFit="1" customWidth="1"/>
    <col min="33" max="33" width="26" bestFit="1" customWidth="1"/>
    <col min="34" max="34" width="21.7109375" bestFit="1" customWidth="1"/>
    <col min="35" max="37" width="22.28515625" bestFit="1" customWidth="1"/>
    <col min="38" max="38" width="22.42578125" bestFit="1" customWidth="1"/>
    <col min="39" max="39" width="22.28515625" bestFit="1" customWidth="1"/>
    <col min="40" max="40" width="25.28515625" bestFit="1" customWidth="1"/>
  </cols>
  <sheetData>
    <row r="1" spans="1:40" ht="32.25" customHeight="1">
      <c r="A1" s="80" t="s">
        <v>221</v>
      </c>
      <c r="B1" s="81">
        <v>0.02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80" t="s">
        <v>222</v>
      </c>
      <c r="P1" s="81">
        <v>0.02</v>
      </c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80" t="s">
        <v>223</v>
      </c>
      <c r="AC1" s="81">
        <v>0.02</v>
      </c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</row>
    <row r="2" spans="1:40" ht="25.5" customHeight="1">
      <c r="A2" s="2"/>
      <c r="B2" s="188" t="s">
        <v>150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89" t="s">
        <v>188</v>
      </c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2"/>
      <c r="AB2" s="190" t="s">
        <v>191</v>
      </c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2"/>
    </row>
    <row r="3" spans="1:40" ht="25.5" customHeight="1">
      <c r="A3" s="2"/>
      <c r="B3" s="82" t="s">
        <v>224</v>
      </c>
      <c r="C3" s="82" t="s">
        <v>225</v>
      </c>
      <c r="D3" s="82" t="s">
        <v>226</v>
      </c>
      <c r="E3" s="82" t="s">
        <v>227</v>
      </c>
      <c r="F3" s="82" t="s">
        <v>228</v>
      </c>
      <c r="G3" s="82" t="s">
        <v>229</v>
      </c>
      <c r="H3" s="82" t="s">
        <v>230</v>
      </c>
      <c r="I3" s="82" t="s">
        <v>231</v>
      </c>
      <c r="J3" s="82" t="s">
        <v>232</v>
      </c>
      <c r="K3" s="82" t="s">
        <v>233</v>
      </c>
      <c r="L3" s="82" t="s">
        <v>234</v>
      </c>
      <c r="M3" s="82" t="s">
        <v>235</v>
      </c>
      <c r="N3" s="83" t="s">
        <v>82</v>
      </c>
      <c r="O3" s="84">
        <v>1</v>
      </c>
      <c r="P3" s="84">
        <v>2</v>
      </c>
      <c r="Q3" s="84">
        <v>3</v>
      </c>
      <c r="R3" s="84">
        <v>4</v>
      </c>
      <c r="S3" s="84">
        <v>5</v>
      </c>
      <c r="T3" s="84">
        <v>6</v>
      </c>
      <c r="U3" s="84">
        <v>7</v>
      </c>
      <c r="V3" s="84">
        <v>8</v>
      </c>
      <c r="W3" s="84">
        <v>9</v>
      </c>
      <c r="X3" s="84">
        <v>10</v>
      </c>
      <c r="Y3" s="84">
        <v>11</v>
      </c>
      <c r="Z3" s="84">
        <v>12</v>
      </c>
      <c r="AA3" s="84" t="s">
        <v>82</v>
      </c>
      <c r="AB3" s="85">
        <v>1</v>
      </c>
      <c r="AC3" s="85">
        <v>2</v>
      </c>
      <c r="AD3" s="85">
        <v>3</v>
      </c>
      <c r="AE3" s="85">
        <v>4</v>
      </c>
      <c r="AF3" s="85">
        <v>5</v>
      </c>
      <c r="AG3" s="85">
        <v>6</v>
      </c>
      <c r="AH3" s="85">
        <v>7</v>
      </c>
      <c r="AI3" s="85">
        <v>8</v>
      </c>
      <c r="AJ3" s="85">
        <v>9</v>
      </c>
      <c r="AK3" s="85">
        <v>10</v>
      </c>
      <c r="AL3" s="85">
        <v>11</v>
      </c>
      <c r="AM3" s="85">
        <v>12</v>
      </c>
      <c r="AN3" s="85" t="s">
        <v>82</v>
      </c>
    </row>
    <row r="4" spans="1:40" ht="26.25" customHeight="1">
      <c r="A4" s="6" t="s">
        <v>236</v>
      </c>
      <c r="B4" s="86">
        <v>0</v>
      </c>
      <c r="C4" s="87">
        <f>B46</f>
        <v>4949832.401729051</v>
      </c>
      <c r="D4" s="87">
        <f t="shared" ref="D4:M4" si="0">C46</f>
        <v>6102852.8091567727</v>
      </c>
      <c r="E4" s="87">
        <f t="shared" si="0"/>
        <v>11715589.234499583</v>
      </c>
      <c r="F4" s="87">
        <f t="shared" si="0"/>
        <v>12699140.361127719</v>
      </c>
      <c r="G4" s="87">
        <f t="shared" si="0"/>
        <v>12283660.711197168</v>
      </c>
      <c r="H4" s="87">
        <f t="shared" si="0"/>
        <v>12008075.0525827</v>
      </c>
      <c r="I4" s="87">
        <f t="shared" si="0"/>
        <v>12237851.003929652</v>
      </c>
      <c r="J4" s="87">
        <f t="shared" si="0"/>
        <v>10426647.825129231</v>
      </c>
      <c r="K4" s="87">
        <f t="shared" si="0"/>
        <v>13882790.530860189</v>
      </c>
      <c r="L4" s="87">
        <f t="shared" si="0"/>
        <v>11558408.022259096</v>
      </c>
      <c r="M4" s="87">
        <f t="shared" si="0"/>
        <v>8783527.1914762408</v>
      </c>
      <c r="N4" s="89"/>
      <c r="O4" s="88">
        <f>M46</f>
        <v>12049.524237938225</v>
      </c>
      <c r="P4" s="88">
        <f>O46</f>
        <v>5464703.333518425</v>
      </c>
      <c r="Q4" s="88">
        <f t="shared" ref="Q4:Y4" si="1">P46</f>
        <v>7317549.4836743632</v>
      </c>
      <c r="R4" s="88">
        <f t="shared" si="1"/>
        <v>17299320.460355386</v>
      </c>
      <c r="S4" s="88">
        <f t="shared" si="1"/>
        <v>20431070.55852323</v>
      </c>
      <c r="T4" s="88">
        <f t="shared" si="1"/>
        <v>20784421.08138008</v>
      </c>
      <c r="U4" s="88">
        <f t="shared" si="1"/>
        <v>21889818.628953144</v>
      </c>
      <c r="V4" s="88">
        <f t="shared" si="1"/>
        <v>22465849.944143176</v>
      </c>
      <c r="W4" s="88">
        <f t="shared" si="1"/>
        <v>20561455.409451656</v>
      </c>
      <c r="X4" s="88">
        <f t="shared" si="1"/>
        <v>28293387.735878073</v>
      </c>
      <c r="Y4" s="88">
        <f t="shared" si="1"/>
        <v>28139082.586269811</v>
      </c>
      <c r="Z4" s="88">
        <f t="shared" ref="T4:Z4" si="2">Y46</f>
        <v>27707117.084620029</v>
      </c>
      <c r="AA4" s="89"/>
      <c r="AB4" s="88">
        <f>Z46</f>
        <v>3194250.0871141627</v>
      </c>
      <c r="AC4" s="88">
        <f>AB46</f>
        <v>7002758.0347109493</v>
      </c>
      <c r="AD4" s="88">
        <f t="shared" ref="AC4:AM4" si="3">AB46</f>
        <v>7002758.0347109493</v>
      </c>
      <c r="AE4" s="88">
        <f t="shared" si="3"/>
        <v>6955373.5924891103</v>
      </c>
      <c r="AF4" s="88">
        <f t="shared" si="3"/>
        <v>17911676.452129439</v>
      </c>
      <c r="AG4" s="88">
        <f t="shared" si="3"/>
        <v>18080330.376926672</v>
      </c>
      <c r="AH4" s="88">
        <f t="shared" si="3"/>
        <v>18121655.024622563</v>
      </c>
      <c r="AI4" s="88">
        <f t="shared" si="3"/>
        <v>17948859.015658088</v>
      </c>
      <c r="AJ4" s="88">
        <f t="shared" si="3"/>
        <v>18222409.642027706</v>
      </c>
      <c r="AK4" s="88">
        <f t="shared" si="3"/>
        <v>17888312.200075757</v>
      </c>
      <c r="AL4" s="88">
        <f t="shared" si="3"/>
        <v>31964759.530693207</v>
      </c>
      <c r="AM4" s="88">
        <f t="shared" si="3"/>
        <v>26681928.836507022</v>
      </c>
      <c r="AN4" s="89"/>
    </row>
    <row r="5" spans="1:40" ht="26.25" customHeight="1">
      <c r="A5" s="90" t="s">
        <v>237</v>
      </c>
      <c r="B5" s="19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2"/>
    </row>
    <row r="6" spans="1:40" ht="26.25" customHeight="1">
      <c r="A6" s="91" t="s">
        <v>238</v>
      </c>
      <c r="B6" s="92">
        <f>SUM('6.4.1 Estimación de ventas (E'!G5)</f>
        <v>28800000</v>
      </c>
      <c r="C6" s="92">
        <f>'6.4.1 Estimación de ventas (E'!G8</f>
        <v>25200000</v>
      </c>
      <c r="D6" s="92">
        <f>'6.4.1 Estimación de ventas (E'!G11</f>
        <v>21600000</v>
      </c>
      <c r="E6" s="92">
        <f>'6.4.1 Estimación de ventas (E'!G12</f>
        <v>18000000</v>
      </c>
      <c r="F6" s="92">
        <f>'6.4.1 Estimación de ventas (E'!G15</f>
        <v>18000000</v>
      </c>
      <c r="G6" s="92">
        <v>0</v>
      </c>
      <c r="H6" s="92">
        <v>0</v>
      </c>
      <c r="I6" s="92">
        <v>0</v>
      </c>
      <c r="J6" s="92">
        <f>'6.4.1 Estimación de ventas (E'!G24</f>
        <v>21600000</v>
      </c>
      <c r="K6" s="92">
        <f>'6.4.1 Estimación de ventas (E'!G26</f>
        <v>21600000</v>
      </c>
      <c r="L6" s="92">
        <f>'6.4.1 Estimación de ventas (E'!G28</f>
        <v>21600000</v>
      </c>
      <c r="M6" s="92">
        <f>'6.4.1 Estimación de ventas (E'!G29</f>
        <v>25200000</v>
      </c>
      <c r="N6" s="93">
        <f t="shared" ref="N6:N10" si="4">SUM(B6:M6)</f>
        <v>201600000</v>
      </c>
      <c r="O6" s="92">
        <f>'6.4.1 Estimación de ventas (E'!G37</f>
        <v>41040000</v>
      </c>
      <c r="P6" s="92">
        <f>'6.4.1 Estimación de ventas (E'!G40</f>
        <v>36480000</v>
      </c>
      <c r="Q6" s="92">
        <f>'6.4.1 Estimación de ventas (E'!G43</f>
        <v>31919999.999999996</v>
      </c>
      <c r="R6" s="92">
        <f>'6.4.1 Estimación de ventas (E'!G44</f>
        <v>27360000</v>
      </c>
      <c r="S6" s="92">
        <f>'6.4.1 Estimación de ventas (E'!G47</f>
        <v>27360000</v>
      </c>
      <c r="T6" s="92">
        <v>0</v>
      </c>
      <c r="U6" s="92">
        <v>0</v>
      </c>
      <c r="V6" s="92">
        <v>0</v>
      </c>
      <c r="W6" s="92">
        <f>'6.4.1 Estimación de ventas (E'!G56</f>
        <v>31919999.999999996</v>
      </c>
      <c r="X6" s="92">
        <f>'6.4.1 Estimación de ventas (E'!G58</f>
        <v>31919999.999999996</v>
      </c>
      <c r="Y6" s="92">
        <f>'6.4.1 Estimación de ventas (E'!G60</f>
        <v>31919999.999999996</v>
      </c>
      <c r="Z6" s="92">
        <f>'6.4.1 Estimación de ventas (E'!G61</f>
        <v>36480000</v>
      </c>
      <c r="AA6" s="93">
        <f t="shared" ref="AA6:AA10" si="5">SUM(O6:Z6)</f>
        <v>296400000</v>
      </c>
      <c r="AB6" s="92">
        <f>'6.4.1 Estimación de ventas (E'!G69</f>
        <v>56400000</v>
      </c>
      <c r="AC6" s="92">
        <f>'6.4.1 Estimación de ventas (E'!G72</f>
        <v>50760000</v>
      </c>
      <c r="AD6" s="92">
        <f>'6.4.1 Estimación de ventas (E'!G75</f>
        <v>45120000</v>
      </c>
      <c r="AE6" s="92">
        <f>'6.4.1 Estimación de ventas (E'!G76</f>
        <v>39480000</v>
      </c>
      <c r="AF6" s="92">
        <f>'6.4.1 Estimación de ventas (E'!G79</f>
        <v>39480000</v>
      </c>
      <c r="AG6" s="92">
        <v>0</v>
      </c>
      <c r="AH6" s="92">
        <v>0</v>
      </c>
      <c r="AI6" s="92">
        <v>0</v>
      </c>
      <c r="AJ6" s="92">
        <f>'6.4.1 Estimación de ventas (E'!G88</f>
        <v>45120000</v>
      </c>
      <c r="AK6" s="92">
        <f>'6.4.1 Estimación de ventas (E'!G90</f>
        <v>45120000</v>
      </c>
      <c r="AL6" s="92">
        <f>'6.4.1 Estimación de ventas (E'!G92</f>
        <v>45120000</v>
      </c>
      <c r="AM6" s="92">
        <f>'6.4.1 Estimación de ventas (E'!G93</f>
        <v>50760000</v>
      </c>
      <c r="AN6" s="93">
        <f t="shared" ref="AN6:AN10" si="6">SUM(AB6:AM6)</f>
        <v>417360000</v>
      </c>
    </row>
    <row r="7" spans="1:40" ht="26.25" customHeight="1">
      <c r="A7" s="91" t="s">
        <v>239</v>
      </c>
      <c r="B7" s="92">
        <v>0</v>
      </c>
      <c r="C7" s="92">
        <f>'6.4.1 Estimación de ventas (E'!G7</f>
        <v>15600000</v>
      </c>
      <c r="D7" s="92">
        <f>'6.4.1 Estimación de ventas (E'!G10</f>
        <v>15600000</v>
      </c>
      <c r="E7" s="92">
        <v>0</v>
      </c>
      <c r="F7" s="92">
        <f>'6.4.1 Estimación de ventas (E'!G14</f>
        <v>15600000</v>
      </c>
      <c r="G7" s="92">
        <f>'6.4.1 Estimación de ventas (E'!G17</f>
        <v>15600000</v>
      </c>
      <c r="H7" s="92">
        <f>SUM('6.4.1 Estimación de ventas (E'!G18:G19)</f>
        <v>34320000</v>
      </c>
      <c r="I7" s="92">
        <f>SUM('6.4.1 Estimación de ventas (E'!G20:G21)</f>
        <v>31200000</v>
      </c>
      <c r="J7" s="92">
        <f>'6.4.1 Estimación de ventas (E'!G23</f>
        <v>15600000</v>
      </c>
      <c r="K7" s="92">
        <f>'6.4.1 Estimación de ventas (E'!G25</f>
        <v>15600000</v>
      </c>
      <c r="L7" s="92">
        <v>0</v>
      </c>
      <c r="M7" s="92">
        <v>0</v>
      </c>
      <c r="N7" s="93">
        <f t="shared" si="4"/>
        <v>159120000</v>
      </c>
      <c r="O7" s="92">
        <v>0</v>
      </c>
      <c r="P7" s="92">
        <f>'6.4.1 Estimación de ventas (E'!G39</f>
        <v>24480000</v>
      </c>
      <c r="Q7" s="92">
        <f>'6.4.1 Estimación de ventas (E'!G42</f>
        <v>24480000</v>
      </c>
      <c r="R7" s="92">
        <v>0</v>
      </c>
      <c r="S7" s="92">
        <f>'6.4.1 Estimación de ventas (E'!G46</f>
        <v>24480000</v>
      </c>
      <c r="T7" s="92">
        <f>'6.4.1 Estimación de ventas (E'!G49</f>
        <v>24480000</v>
      </c>
      <c r="U7" s="92">
        <f>SUM('6.4.1 Estimación de ventas (E'!G50:G51)</f>
        <v>53040000</v>
      </c>
      <c r="V7" s="92">
        <f>SUM('6.4.1 Estimación de ventas (E'!G52:G53)</f>
        <v>48960000</v>
      </c>
      <c r="W7" s="92">
        <f>'6.4.1 Estimación de ventas (E'!G55</f>
        <v>24480000</v>
      </c>
      <c r="X7" s="92">
        <f>'6.4.1 Estimación de ventas (E'!G57</f>
        <v>24480000</v>
      </c>
      <c r="Y7" s="92">
        <v>0</v>
      </c>
      <c r="Z7" s="92">
        <v>0</v>
      </c>
      <c r="AA7" s="93">
        <f t="shared" si="5"/>
        <v>248880000</v>
      </c>
      <c r="AB7" s="92">
        <v>0</v>
      </c>
      <c r="AC7" s="92">
        <f>'6.4.1 Estimación de ventas (E'!G71</f>
        <v>36120000</v>
      </c>
      <c r="AD7" s="92">
        <f>'6.4.1 Estimación de ventas (E'!G74</f>
        <v>36120000</v>
      </c>
      <c r="AE7" s="92">
        <v>0</v>
      </c>
      <c r="AF7" s="92">
        <f>'6.4.1 Estimación de ventas (E'!G78</f>
        <v>36120000</v>
      </c>
      <c r="AG7" s="92">
        <f>'6.4.1 Estimación de ventas (E'!G81</f>
        <v>36120000</v>
      </c>
      <c r="AH7" s="92">
        <f>SUM('6.4.1 Estimación de ventas (E'!G82:G83)</f>
        <v>77400000</v>
      </c>
      <c r="AI7" s="92">
        <f>SUM('6.4.1 Estimación de ventas (E'!G84:G85)</f>
        <v>77400000</v>
      </c>
      <c r="AJ7" s="92">
        <f>'6.4.1 Estimación de ventas (E'!G87</f>
        <v>36120000</v>
      </c>
      <c r="AK7" s="92">
        <f>'6.4.1 Estimación de ventas (E'!G89</f>
        <v>36120000</v>
      </c>
      <c r="AL7" s="92">
        <v>0</v>
      </c>
      <c r="AM7" s="92">
        <v>0</v>
      </c>
      <c r="AN7" s="93">
        <f t="shared" si="6"/>
        <v>371520000</v>
      </c>
    </row>
    <row r="8" spans="1:40" ht="26.25" customHeight="1">
      <c r="A8" s="91" t="s">
        <v>240</v>
      </c>
      <c r="B8" s="92">
        <f>'6.4.1 Estimación de ventas (E'!G6</f>
        <v>20160000</v>
      </c>
      <c r="C8" s="92">
        <v>0</v>
      </c>
      <c r="D8" s="92">
        <f>'6.4.1 Estimación de ventas (E'!G9</f>
        <v>16800000</v>
      </c>
      <c r="E8" s="92">
        <f>'6.4.1 Estimación de ventas (E'!G13</f>
        <v>16800000</v>
      </c>
      <c r="F8" s="92">
        <v>0</v>
      </c>
      <c r="G8" s="92">
        <f>'6.4.1 Estimación de ventas (E'!G16</f>
        <v>16800000</v>
      </c>
      <c r="H8" s="92">
        <v>0</v>
      </c>
      <c r="I8" s="92">
        <v>0</v>
      </c>
      <c r="J8" s="92">
        <f>'6.4.1 Estimación de ventas (E'!G22</f>
        <v>16800000</v>
      </c>
      <c r="K8" s="92">
        <v>0</v>
      </c>
      <c r="L8" s="92">
        <f>'6.4.1 Estimación de ventas (E'!G27</f>
        <v>16800000</v>
      </c>
      <c r="M8" s="92">
        <v>0</v>
      </c>
      <c r="N8" s="93">
        <f t="shared" si="4"/>
        <v>104160000</v>
      </c>
      <c r="O8" s="92">
        <f>'6.4.1 Estimación de ventas (E'!G38</f>
        <v>30239999.999999996</v>
      </c>
      <c r="P8" s="92">
        <v>0</v>
      </c>
      <c r="Q8" s="92">
        <f>'6.4.1 Estimación de ventas (E'!G41</f>
        <v>25920000</v>
      </c>
      <c r="R8" s="92">
        <f>'6.4.1 Estimación de ventas (E'!G45</f>
        <v>25920000</v>
      </c>
      <c r="S8" s="92">
        <v>0</v>
      </c>
      <c r="T8" s="92">
        <f>'6.4.1 Estimación de ventas (E'!G48</f>
        <v>25920000</v>
      </c>
      <c r="U8" s="92">
        <v>0</v>
      </c>
      <c r="V8" s="92">
        <v>0</v>
      </c>
      <c r="W8" s="92">
        <f>'6.4.1 Estimación de ventas (E'!G54</f>
        <v>25920000</v>
      </c>
      <c r="X8" s="92">
        <v>0</v>
      </c>
      <c r="Y8" s="92">
        <f>'6.4.1 Estimación de ventas (E'!G59</f>
        <v>25920000</v>
      </c>
      <c r="Z8" s="92">
        <v>0</v>
      </c>
      <c r="AA8" s="93">
        <f t="shared" si="5"/>
        <v>159840000</v>
      </c>
      <c r="AB8" s="92">
        <f>'6.4.1 Estimación de ventas (E'!G70</f>
        <v>43200000</v>
      </c>
      <c r="AC8" s="92">
        <v>0</v>
      </c>
      <c r="AD8" s="92">
        <f>'6.4.1 Estimación de ventas (E'!G73</f>
        <v>37800000</v>
      </c>
      <c r="AE8" s="92">
        <f>'6.4.1 Estimación de ventas (E'!G77</f>
        <v>37800000</v>
      </c>
      <c r="AF8" s="92">
        <v>0</v>
      </c>
      <c r="AG8" s="92">
        <f>'6.4.1 Estimación de ventas (E'!G80</f>
        <v>37800000</v>
      </c>
      <c r="AH8" s="92">
        <v>0</v>
      </c>
      <c r="AI8" s="92">
        <v>0</v>
      </c>
      <c r="AJ8" s="92">
        <f>'6.4.1 Estimación de ventas (E'!G86</f>
        <v>37800000</v>
      </c>
      <c r="AK8" s="92">
        <v>0</v>
      </c>
      <c r="AL8" s="92">
        <f>'6.4.1 Estimación de ventas (E'!G91</f>
        <v>37800000</v>
      </c>
      <c r="AM8" s="92">
        <v>0</v>
      </c>
      <c r="AN8" s="93">
        <f t="shared" si="6"/>
        <v>232200000</v>
      </c>
    </row>
    <row r="9" spans="1:40" s="122" customFormat="1" ht="26.25" customHeight="1">
      <c r="A9" s="91" t="s">
        <v>241</v>
      </c>
      <c r="B9" s="92">
        <f>15918642.825*0.02</f>
        <v>318372.85649999999</v>
      </c>
      <c r="C9" s="92">
        <f>B9</f>
        <v>318372.85649999999</v>
      </c>
      <c r="D9" s="92">
        <f t="shared" ref="D9:M9" si="7">C9</f>
        <v>318372.85649999999</v>
      </c>
      <c r="E9" s="92">
        <f t="shared" si="7"/>
        <v>318372.85649999999</v>
      </c>
      <c r="F9" s="92">
        <f t="shared" si="7"/>
        <v>318372.85649999999</v>
      </c>
      <c r="G9" s="92">
        <f t="shared" si="7"/>
        <v>318372.85649999999</v>
      </c>
      <c r="H9" s="92">
        <f t="shared" si="7"/>
        <v>318372.85649999999</v>
      </c>
      <c r="I9" s="92">
        <f t="shared" si="7"/>
        <v>318372.85649999999</v>
      </c>
      <c r="J9" s="92">
        <f t="shared" si="7"/>
        <v>318372.85649999999</v>
      </c>
      <c r="K9" s="92">
        <f t="shared" si="7"/>
        <v>318372.85649999999</v>
      </c>
      <c r="L9" s="92">
        <f t="shared" si="7"/>
        <v>318372.85649999999</v>
      </c>
      <c r="M9" s="92">
        <f t="shared" si="7"/>
        <v>318372.85649999999</v>
      </c>
      <c r="N9" s="93">
        <f t="shared" si="4"/>
        <v>3820474.277999999</v>
      </c>
      <c r="O9" s="92">
        <f>B9</f>
        <v>318372.85649999999</v>
      </c>
      <c r="P9" s="92">
        <f t="shared" ref="P9:Z9" si="8">C9</f>
        <v>318372.85649999999</v>
      </c>
      <c r="Q9" s="92">
        <f t="shared" si="8"/>
        <v>318372.85649999999</v>
      </c>
      <c r="R9" s="92">
        <f t="shared" si="8"/>
        <v>318372.85649999999</v>
      </c>
      <c r="S9" s="92">
        <f t="shared" si="8"/>
        <v>318372.85649999999</v>
      </c>
      <c r="T9" s="92">
        <f t="shared" si="8"/>
        <v>318372.85649999999</v>
      </c>
      <c r="U9" s="92">
        <f t="shared" si="8"/>
        <v>318372.85649999999</v>
      </c>
      <c r="V9" s="92">
        <f t="shared" si="8"/>
        <v>318372.85649999999</v>
      </c>
      <c r="W9" s="92">
        <f t="shared" si="8"/>
        <v>318372.85649999999</v>
      </c>
      <c r="X9" s="92">
        <f t="shared" si="8"/>
        <v>318372.85649999999</v>
      </c>
      <c r="Y9" s="92">
        <f t="shared" si="8"/>
        <v>318372.85649999999</v>
      </c>
      <c r="Z9" s="92">
        <f t="shared" si="8"/>
        <v>318372.85649999999</v>
      </c>
      <c r="AA9" s="93">
        <f t="shared" si="5"/>
        <v>3820474.277999999</v>
      </c>
      <c r="AB9" s="92">
        <f>O9</f>
        <v>318372.85649999999</v>
      </c>
      <c r="AC9" s="92">
        <f t="shared" ref="AC9:AM9" si="9">P9</f>
        <v>318372.85649999999</v>
      </c>
      <c r="AD9" s="92">
        <f t="shared" si="9"/>
        <v>318372.85649999999</v>
      </c>
      <c r="AE9" s="92">
        <f t="shared" si="9"/>
        <v>318372.85649999999</v>
      </c>
      <c r="AF9" s="92">
        <f t="shared" si="9"/>
        <v>318372.85649999999</v>
      </c>
      <c r="AG9" s="92">
        <f t="shared" si="9"/>
        <v>318372.85649999999</v>
      </c>
      <c r="AH9" s="92">
        <f t="shared" si="9"/>
        <v>318372.85649999999</v>
      </c>
      <c r="AI9" s="92">
        <f t="shared" si="9"/>
        <v>318372.85649999999</v>
      </c>
      <c r="AJ9" s="92">
        <f t="shared" si="9"/>
        <v>318372.85649999999</v>
      </c>
      <c r="AK9" s="92">
        <f t="shared" si="9"/>
        <v>318372.85649999999</v>
      </c>
      <c r="AL9" s="92">
        <f t="shared" si="9"/>
        <v>318372.85649999999</v>
      </c>
      <c r="AM9" s="92">
        <f t="shared" si="9"/>
        <v>318372.85649999999</v>
      </c>
      <c r="AN9" s="93">
        <f t="shared" si="6"/>
        <v>3820474.277999999</v>
      </c>
    </row>
    <row r="10" spans="1:40" s="122" customFormat="1" ht="26.25" customHeight="1">
      <c r="A10" s="91" t="s">
        <v>242</v>
      </c>
      <c r="B10" s="92">
        <v>0</v>
      </c>
      <c r="C10" s="92">
        <v>0</v>
      </c>
      <c r="D10" s="92">
        <v>0</v>
      </c>
      <c r="E10" s="92">
        <v>0</v>
      </c>
      <c r="F10" s="92">
        <v>0</v>
      </c>
      <c r="G10" s="92">
        <v>0</v>
      </c>
      <c r="H10" s="92">
        <v>0</v>
      </c>
      <c r="I10" s="92">
        <v>0</v>
      </c>
      <c r="J10" s="92">
        <v>0</v>
      </c>
      <c r="K10" s="92">
        <v>0</v>
      </c>
      <c r="L10" s="92">
        <v>0</v>
      </c>
      <c r="M10" s="92">
        <f>15918642.825*0.27</f>
        <v>4298033.5627500005</v>
      </c>
      <c r="N10" s="93">
        <f t="shared" si="4"/>
        <v>4298033.5627500005</v>
      </c>
      <c r="O10" s="92">
        <v>0</v>
      </c>
      <c r="P10" s="92">
        <v>0</v>
      </c>
      <c r="Q10" s="92">
        <v>0</v>
      </c>
      <c r="R10" s="92">
        <v>0</v>
      </c>
      <c r="S10" s="92">
        <v>0</v>
      </c>
      <c r="T10" s="92">
        <v>0</v>
      </c>
      <c r="U10" s="92">
        <v>0</v>
      </c>
      <c r="V10" s="92">
        <v>0</v>
      </c>
      <c r="W10" s="92">
        <v>0</v>
      </c>
      <c r="X10" s="92">
        <v>0</v>
      </c>
      <c r="Y10" s="92">
        <v>0</v>
      </c>
      <c r="Z10" s="92">
        <f>M10</f>
        <v>4298033.5627500005</v>
      </c>
      <c r="AA10" s="93">
        <f t="shared" si="5"/>
        <v>4298033.5627500005</v>
      </c>
      <c r="AB10" s="92">
        <v>0</v>
      </c>
      <c r="AC10" s="92">
        <v>0</v>
      </c>
      <c r="AD10" s="92">
        <v>0</v>
      </c>
      <c r="AE10" s="92">
        <v>0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0</v>
      </c>
      <c r="AM10" s="92">
        <f>Z10</f>
        <v>4298033.5627500005</v>
      </c>
      <c r="AN10" s="93">
        <f t="shared" si="6"/>
        <v>4298033.5627500005</v>
      </c>
    </row>
    <row r="11" spans="1:40" ht="26.25" customHeight="1">
      <c r="A11" s="94" t="s">
        <v>243</v>
      </c>
      <c r="B11" s="95">
        <f>SUM(B6:B10)</f>
        <v>49278372.8565</v>
      </c>
      <c r="C11" s="95">
        <f>SUM(C4:C10)</f>
        <v>46068205.258229047</v>
      </c>
      <c r="D11" s="95">
        <f t="shared" ref="D11:M11" si="10">SUM(D4:D10)</f>
        <v>60421225.665656775</v>
      </c>
      <c r="E11" s="95">
        <f t="shared" si="10"/>
        <v>46833962.090999581</v>
      </c>
      <c r="F11" s="95">
        <f t="shared" si="10"/>
        <v>46617513.217627719</v>
      </c>
      <c r="G11" s="95">
        <f t="shared" si="10"/>
        <v>45002033.567697167</v>
      </c>
      <c r="H11" s="95">
        <f t="shared" si="10"/>
        <v>46646447.909082696</v>
      </c>
      <c r="I11" s="95">
        <f t="shared" si="10"/>
        <v>43756223.860429652</v>
      </c>
      <c r="J11" s="95">
        <f t="shared" si="10"/>
        <v>64745020.681629233</v>
      </c>
      <c r="K11" s="95">
        <f t="shared" si="10"/>
        <v>51401163.387360185</v>
      </c>
      <c r="L11" s="95">
        <f t="shared" si="10"/>
        <v>50276780.878759094</v>
      </c>
      <c r="M11" s="95">
        <f t="shared" si="10"/>
        <v>38599933.610726237</v>
      </c>
      <c r="N11" s="95">
        <f t="shared" ref="N11" si="11">SUM(N4:N10)</f>
        <v>472998507.84074998</v>
      </c>
      <c r="O11" s="95">
        <f t="shared" ref="O11" si="12">SUM(O4:O10)</f>
        <v>71610422.380737931</v>
      </c>
      <c r="P11" s="95">
        <f t="shared" ref="P11" si="13">SUM(P4:P10)</f>
        <v>66743076.190018423</v>
      </c>
      <c r="Q11" s="95">
        <f t="shared" ref="Q11" si="14">SUM(Q4:Q10)</f>
        <v>89955922.340174362</v>
      </c>
      <c r="R11" s="95">
        <f t="shared" ref="R11" si="15">SUM(R4:R10)</f>
        <v>70897693.316855386</v>
      </c>
      <c r="S11" s="95">
        <f t="shared" ref="S11" si="16">SUM(S4:S10)</f>
        <v>72589443.415023237</v>
      </c>
      <c r="T11" s="95">
        <f t="shared" ref="T11" si="17">SUM(T4:T10)</f>
        <v>71502793.937880084</v>
      </c>
      <c r="U11" s="95">
        <f t="shared" ref="U11" si="18">SUM(U4:U10)</f>
        <v>75248191.485453144</v>
      </c>
      <c r="V11" s="95">
        <f t="shared" ref="V11" si="19">SUM(V4:V10)</f>
        <v>71744222.800643176</v>
      </c>
      <c r="W11" s="95">
        <f t="shared" ref="W11" si="20">SUM(W4:W10)</f>
        <v>103199828.26595165</v>
      </c>
      <c r="X11" s="95">
        <f t="shared" ref="X11" si="21">SUM(X4:X10)</f>
        <v>85011760.592378065</v>
      </c>
      <c r="Y11" s="95">
        <f t="shared" ref="Y11" si="22">SUM(Y4:Y10)</f>
        <v>86297455.442769811</v>
      </c>
      <c r="Z11" s="95">
        <f t="shared" ref="Z11" si="23">SUM(Z4:Z10)</f>
        <v>68803523.503870025</v>
      </c>
      <c r="AA11" s="95">
        <f t="shared" ref="AA11" si="24">SUM(AA4:AA10)</f>
        <v>713238507.84074998</v>
      </c>
      <c r="AB11" s="95">
        <f t="shared" ref="AB11" si="25">SUM(AB4:AB10)</f>
        <v>103112622.94361416</v>
      </c>
      <c r="AC11" s="95">
        <f t="shared" ref="AC11" si="26">SUM(AC4:AC10)</f>
        <v>94201130.891210943</v>
      </c>
      <c r="AD11" s="95">
        <f t="shared" ref="AD11" si="27">SUM(AD4:AD10)</f>
        <v>126361130.89121094</v>
      </c>
      <c r="AE11" s="95">
        <f t="shared" ref="AE11" si="28">SUM(AE4:AE10)</f>
        <v>84553746.448989108</v>
      </c>
      <c r="AF11" s="95">
        <f t="shared" ref="AF11" si="29">SUM(AF4:AF10)</f>
        <v>93830049.308629438</v>
      </c>
      <c r="AG11" s="95">
        <f t="shared" ref="AG11" si="30">SUM(AG4:AG10)</f>
        <v>92318703.233426675</v>
      </c>
      <c r="AH11" s="95">
        <f t="shared" ref="AH11" si="31">SUM(AH4:AH10)</f>
        <v>95840027.881122559</v>
      </c>
      <c r="AI11" s="95">
        <f t="shared" ref="AI11" si="32">SUM(AI4:AI10)</f>
        <v>95667231.87215808</v>
      </c>
      <c r="AJ11" s="95">
        <f t="shared" ref="AJ11" si="33">SUM(AJ4:AJ10)</f>
        <v>137580782.49852771</v>
      </c>
      <c r="AK11" s="95">
        <f t="shared" ref="AK11" si="34">SUM(AK4:AK10)</f>
        <v>99446685.05657576</v>
      </c>
      <c r="AL11" s="95">
        <f t="shared" ref="AL11" si="35">SUM(AL4:AL10)</f>
        <v>115203132.3871932</v>
      </c>
      <c r="AM11" s="95">
        <f t="shared" ref="AM11" si="36">SUM(AM4:AM10)</f>
        <v>82058335.255757019</v>
      </c>
      <c r="AN11" s="95">
        <f t="shared" ref="AN11" si="37">SUM(AN4:AN10)</f>
        <v>1029198507.84075</v>
      </c>
    </row>
    <row r="12" spans="1:40" ht="26.25" customHeight="1">
      <c r="A12" s="90" t="s">
        <v>244</v>
      </c>
      <c r="B12" s="19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2"/>
    </row>
    <row r="13" spans="1:40" ht="26.25" customHeight="1">
      <c r="A13" s="97" t="s">
        <v>245</v>
      </c>
      <c r="B13" s="98">
        <f>'6.5 Sueldos y cargas sociales'!C10</f>
        <v>12500000</v>
      </c>
      <c r="C13" s="88">
        <f>B13*1.02</f>
        <v>12750000</v>
      </c>
      <c r="D13" s="88">
        <f>C13*1.02</f>
        <v>13005000</v>
      </c>
      <c r="E13" s="88">
        <f>D13*1.02</f>
        <v>13265100</v>
      </c>
      <c r="F13" s="88">
        <f>E13*1.02</f>
        <v>13530402</v>
      </c>
      <c r="G13" s="88">
        <f>F13*1.02</f>
        <v>13801010.040000001</v>
      </c>
      <c r="H13" s="88">
        <f>G13*1.02</f>
        <v>14077030.240800001</v>
      </c>
      <c r="I13" s="88">
        <f>H13*1.02</f>
        <v>14358570.845616002</v>
      </c>
      <c r="J13" s="88">
        <f>I13*1.02</f>
        <v>14645742.262528323</v>
      </c>
      <c r="K13" s="88">
        <f>J13*1.02</f>
        <v>14938657.10777889</v>
      </c>
      <c r="L13" s="88">
        <f>K13*1.02</f>
        <v>15237430.249934468</v>
      </c>
      <c r="M13" s="88">
        <f>L13*1.02</f>
        <v>15542178.854933158</v>
      </c>
      <c r="N13" s="89">
        <f t="shared" ref="N13:N33" si="38">SUM(B13:M13)</f>
        <v>167651121.60159081</v>
      </c>
      <c r="O13" s="88">
        <f>M13*1.02</f>
        <v>15853022.432031821</v>
      </c>
      <c r="P13" s="88">
        <f>O13*1.02</f>
        <v>16170082.880672459</v>
      </c>
      <c r="Q13" s="88">
        <f>P13*1.02</f>
        <v>16493484.538285907</v>
      </c>
      <c r="R13" s="88">
        <f>Q13*1.02</f>
        <v>16823354.229051627</v>
      </c>
      <c r="S13" s="88">
        <f>R13*1.02</f>
        <v>17159821.31363266</v>
      </c>
      <c r="T13" s="88">
        <f>S13*1.02</f>
        <v>17503017.739905313</v>
      </c>
      <c r="U13" s="88">
        <f>T13*1.02</f>
        <v>17853078.094703421</v>
      </c>
      <c r="V13" s="88">
        <f>U13*1.02</f>
        <v>18210139.656597491</v>
      </c>
      <c r="W13" s="88">
        <f>V13*1.02</f>
        <v>18574342.449729443</v>
      </c>
      <c r="X13" s="88">
        <f>W13*1.02</f>
        <v>18945829.298724033</v>
      </c>
      <c r="Y13" s="88">
        <f>X13*1.02</f>
        <v>19324745.884698514</v>
      </c>
      <c r="Z13" s="88">
        <f>Y13*1.02</f>
        <v>19711240.802392483</v>
      </c>
      <c r="AA13" s="89">
        <f t="shared" ref="AA13:AA21" si="39">SUM(O13:Z13)</f>
        <v>212622159.32042515</v>
      </c>
      <c r="AB13" s="88">
        <f>Z13*1.02</f>
        <v>20105465.618440334</v>
      </c>
      <c r="AC13" s="88">
        <f>AB13*1.02</f>
        <v>20507574.93080914</v>
      </c>
      <c r="AD13" s="88">
        <f>AC13*1.02</f>
        <v>20917726.429425322</v>
      </c>
      <c r="AE13" s="88">
        <f>AD13*1.02</f>
        <v>21336080.958013829</v>
      </c>
      <c r="AF13" s="88">
        <f>AE13*1.02</f>
        <v>21762802.577174105</v>
      </c>
      <c r="AG13" s="88">
        <f>AF13*1.02</f>
        <v>22198058.628717586</v>
      </c>
      <c r="AH13" s="88">
        <f>AG13*1.02</f>
        <v>22642019.801291939</v>
      </c>
      <c r="AI13" s="88">
        <f>AH13*1.02</f>
        <v>23094860.197317779</v>
      </c>
      <c r="AJ13" s="88">
        <f>AI13*1.02</f>
        <v>23556757.401264135</v>
      </c>
      <c r="AK13" s="88">
        <f>AJ13*1.02</f>
        <v>24027892.549289417</v>
      </c>
      <c r="AL13" s="88">
        <f>AK13*1.02</f>
        <v>24508450.400275204</v>
      </c>
      <c r="AM13" s="88">
        <f>AL13*1.02</f>
        <v>24998619.408280708</v>
      </c>
      <c r="AN13" s="89">
        <f t="shared" ref="AN13:AN21" si="40">SUM(AB13:AM13)</f>
        <v>269656308.90029949</v>
      </c>
    </row>
    <row r="14" spans="1:40" ht="26.25" customHeight="1">
      <c r="A14" s="97" t="s">
        <v>246</v>
      </c>
      <c r="B14" s="98">
        <f>'6.5 Sueldos y cargas sociales'!C11</f>
        <v>1041666.6666666666</v>
      </c>
      <c r="C14" s="88">
        <f>B14*1.02</f>
        <v>1062500</v>
      </c>
      <c r="D14" s="88">
        <f>C14*1.02</f>
        <v>1083750</v>
      </c>
      <c r="E14" s="88">
        <f>D14*1.02</f>
        <v>1105425</v>
      </c>
      <c r="F14" s="88">
        <f>E14*1.02</f>
        <v>1127533.5</v>
      </c>
      <c r="G14" s="88">
        <f>F14*1.02</f>
        <v>1150084.17</v>
      </c>
      <c r="H14" s="88">
        <f>G14*1.02</f>
        <v>1173085.8533999999</v>
      </c>
      <c r="I14" s="88">
        <f>H14*1.02</f>
        <v>1196547.5704679999</v>
      </c>
      <c r="J14" s="88">
        <f>I14*1.02</f>
        <v>1220478.5218773598</v>
      </c>
      <c r="K14" s="88">
        <f>J14*1.02</f>
        <v>1244888.0923149071</v>
      </c>
      <c r="L14" s="88">
        <f>K14*1.02</f>
        <v>1269785.8541612052</v>
      </c>
      <c r="M14" s="88">
        <f>L14*1.02</f>
        <v>1295181.5712444293</v>
      </c>
      <c r="N14" s="89">
        <f t="shared" si="38"/>
        <v>13970926.800132565</v>
      </c>
      <c r="O14" s="88">
        <f>M14*1.02</f>
        <v>1321085.2026693178</v>
      </c>
      <c r="P14" s="88">
        <f>O14*1.02</f>
        <v>1347506.9067227042</v>
      </c>
      <c r="Q14" s="88">
        <f>P14*1.02</f>
        <v>1374457.0448571583</v>
      </c>
      <c r="R14" s="88">
        <f>Q14*1.02</f>
        <v>1401946.1857543015</v>
      </c>
      <c r="S14" s="88">
        <f>R14*1.02</f>
        <v>1429985.1094693874</v>
      </c>
      <c r="T14" s="88">
        <f>S14*1.02</f>
        <v>1458584.8116587752</v>
      </c>
      <c r="U14" s="88">
        <f>T14*1.02</f>
        <v>1487756.5078919507</v>
      </c>
      <c r="V14" s="88">
        <f>U14*1.02</f>
        <v>1517511.6380497897</v>
      </c>
      <c r="W14" s="88">
        <f>V14*1.02</f>
        <v>1547861.8708107856</v>
      </c>
      <c r="X14" s="88">
        <f>W14*1.02</f>
        <v>1578819.1082270013</v>
      </c>
      <c r="Y14" s="88">
        <f>X14*1.02</f>
        <v>1610395.4903915413</v>
      </c>
      <c r="Z14" s="88">
        <f>Y14*1.02</f>
        <v>1642603.4001993721</v>
      </c>
      <c r="AA14" s="89">
        <f t="shared" si="39"/>
        <v>17718513.276702087</v>
      </c>
      <c r="AB14" s="88">
        <f>Z14*1.02</f>
        <v>1675455.4682033595</v>
      </c>
      <c r="AC14" s="88">
        <f>AB14*1.02</f>
        <v>1708964.5775674267</v>
      </c>
      <c r="AD14" s="88">
        <f>AC14*1.02</f>
        <v>1743143.8691187752</v>
      </c>
      <c r="AE14" s="88">
        <f>AD14*1.02</f>
        <v>1778006.7465011508</v>
      </c>
      <c r="AF14" s="88">
        <f>AE14*1.02</f>
        <v>1813566.8814311738</v>
      </c>
      <c r="AG14" s="88">
        <f>AF14*1.02</f>
        <v>1849838.2190597972</v>
      </c>
      <c r="AH14" s="88">
        <f>AG14*1.02</f>
        <v>1886834.9834409931</v>
      </c>
      <c r="AI14" s="88">
        <f>AH14*1.02</f>
        <v>1924571.6831098129</v>
      </c>
      <c r="AJ14" s="88">
        <f>AI14*1.02</f>
        <v>1963063.1167720093</v>
      </c>
      <c r="AK14" s="88">
        <f>AJ14*1.02</f>
        <v>2002324.3791074494</v>
      </c>
      <c r="AL14" s="88">
        <f>AK14*1.02</f>
        <v>2042370.8666895984</v>
      </c>
      <c r="AM14" s="88">
        <f>AL14*1.02</f>
        <v>2083218.2840233904</v>
      </c>
      <c r="AN14" s="89">
        <f t="shared" si="40"/>
        <v>22471359.075024936</v>
      </c>
    </row>
    <row r="15" spans="1:40" ht="34.9">
      <c r="A15" s="97" t="s">
        <v>247</v>
      </c>
      <c r="B15" s="98">
        <f>'6.5 Sueldos y cargas sociales'!C23</f>
        <v>3900000</v>
      </c>
      <c r="C15" s="88">
        <f>B15*1.02</f>
        <v>3978000</v>
      </c>
      <c r="D15" s="88">
        <f>C15*1.02</f>
        <v>4057560</v>
      </c>
      <c r="E15" s="88">
        <f>D15*1.02</f>
        <v>4138711.2</v>
      </c>
      <c r="F15" s="88">
        <f>E15*1.02</f>
        <v>4221485.4240000006</v>
      </c>
      <c r="G15" s="88">
        <f>F15*1.02</f>
        <v>4305915.1324800011</v>
      </c>
      <c r="H15" s="88">
        <f>G15*1.02</f>
        <v>4392033.4351296015</v>
      </c>
      <c r="I15" s="88">
        <f>H15*1.02</f>
        <v>4479874.1038321937</v>
      </c>
      <c r="J15" s="88">
        <f>I15*1.02</f>
        <v>4569471.5859088376</v>
      </c>
      <c r="K15" s="88">
        <f>J15*1.02</f>
        <v>4660861.0176270148</v>
      </c>
      <c r="L15" s="88">
        <f>K15*1.02</f>
        <v>4754078.2379795555</v>
      </c>
      <c r="M15" s="88">
        <f>L15*1.02</f>
        <v>4849159.8027391471</v>
      </c>
      <c r="N15" s="89">
        <f t="shared" si="38"/>
        <v>52307149.939696357</v>
      </c>
      <c r="O15" s="88">
        <f>M15*1.02</f>
        <v>4946142.9987939298</v>
      </c>
      <c r="P15" s="88">
        <f>O15*1.02</f>
        <v>5045065.8587698089</v>
      </c>
      <c r="Q15" s="88">
        <f>P15*1.02</f>
        <v>5145967.1759452056</v>
      </c>
      <c r="R15" s="88">
        <f>Q15*1.02</f>
        <v>5248886.51946411</v>
      </c>
      <c r="S15" s="88">
        <f>R15*1.02</f>
        <v>5353864.2498533921</v>
      </c>
      <c r="T15" s="88">
        <f>S15*1.02</f>
        <v>5460941.5348504605</v>
      </c>
      <c r="U15" s="88">
        <f>T15*1.02</f>
        <v>5570160.3655474698</v>
      </c>
      <c r="V15" s="88">
        <f>U15*1.02</f>
        <v>5681563.5728584193</v>
      </c>
      <c r="W15" s="88">
        <f>V15*1.02</f>
        <v>5795194.8443155875</v>
      </c>
      <c r="X15" s="88">
        <f>W15*1.02</f>
        <v>5911098.741201899</v>
      </c>
      <c r="Y15" s="88">
        <f>X15*1.02</f>
        <v>6029320.7160259373</v>
      </c>
      <c r="Z15" s="88">
        <f>Y15*1.02</f>
        <v>6149907.1303464565</v>
      </c>
      <c r="AA15" s="89">
        <f t="shared" si="39"/>
        <v>66338113.707972683</v>
      </c>
      <c r="AB15" s="88">
        <f>Z15*1.02</f>
        <v>6272905.2729533855</v>
      </c>
      <c r="AC15" s="88">
        <f>AB15*1.02</f>
        <v>6398363.3784124535</v>
      </c>
      <c r="AD15" s="88">
        <f>AC15*1.02</f>
        <v>6526330.6459807027</v>
      </c>
      <c r="AE15" s="88">
        <f>AD15*1.02</f>
        <v>6656857.2589003164</v>
      </c>
      <c r="AF15" s="88">
        <f>AE15*1.02</f>
        <v>6789994.4040783225</v>
      </c>
      <c r="AG15" s="88">
        <f>AF15*1.02</f>
        <v>6925794.2921598889</v>
      </c>
      <c r="AH15" s="88">
        <f>AG15*1.02</f>
        <v>7064310.1780030867</v>
      </c>
      <c r="AI15" s="88">
        <f>AH15*1.02</f>
        <v>7205596.3815631485</v>
      </c>
      <c r="AJ15" s="88">
        <f>AI15*1.02</f>
        <v>7349708.3091944112</v>
      </c>
      <c r="AK15" s="88">
        <f>AJ15*1.02</f>
        <v>7496702.4753782991</v>
      </c>
      <c r="AL15" s="88">
        <f>AK15*1.02</f>
        <v>7646636.5248858649</v>
      </c>
      <c r="AM15" s="88">
        <f>AL15*1.02</f>
        <v>7799569.2553835828</v>
      </c>
      <c r="AN15" s="89">
        <f t="shared" si="40"/>
        <v>84132768.376893461</v>
      </c>
    </row>
    <row r="16" spans="1:40" ht="26.25" customHeight="1">
      <c r="A16" s="6" t="s">
        <v>248</v>
      </c>
      <c r="B16" s="88">
        <f>394265.17</f>
        <v>394265.17</v>
      </c>
      <c r="C16" s="88">
        <f t="shared" ref="C16:M16" si="41">B16*1.02</f>
        <v>402150.47340000002</v>
      </c>
      <c r="D16" s="88">
        <f t="shared" si="41"/>
        <v>410193.48286800005</v>
      </c>
      <c r="E16" s="88">
        <f t="shared" si="41"/>
        <v>418397.35252536007</v>
      </c>
      <c r="F16" s="88">
        <f t="shared" si="41"/>
        <v>426765.29957586725</v>
      </c>
      <c r="G16" s="88">
        <f t="shared" si="41"/>
        <v>435300.60556738463</v>
      </c>
      <c r="H16" s="88">
        <f t="shared" si="41"/>
        <v>444006.61767873232</v>
      </c>
      <c r="I16" s="88">
        <f t="shared" si="41"/>
        <v>452886.750032307</v>
      </c>
      <c r="J16" s="88">
        <f t="shared" si="41"/>
        <v>461944.48503295315</v>
      </c>
      <c r="K16" s="88">
        <f t="shared" si="41"/>
        <v>471183.37473361223</v>
      </c>
      <c r="L16" s="88">
        <f t="shared" si="41"/>
        <v>480607.04222828447</v>
      </c>
      <c r="M16" s="88">
        <f t="shared" si="41"/>
        <v>490219.18307285017</v>
      </c>
      <c r="N16" s="89">
        <f t="shared" si="38"/>
        <v>5287919.8367153509</v>
      </c>
      <c r="O16" s="88">
        <v>500023.57</v>
      </c>
      <c r="P16" s="88">
        <f>O16*1.02</f>
        <v>510024.04139999999</v>
      </c>
      <c r="Q16" s="88">
        <f>P16*1.02</f>
        <v>520224.52222799999</v>
      </c>
      <c r="R16" s="88">
        <f>Q16*1.02</f>
        <v>530629.01267255994</v>
      </c>
      <c r="S16" s="88">
        <f>R16*1.02</f>
        <v>541241.59292601119</v>
      </c>
      <c r="T16" s="88">
        <f>S16*1.02</f>
        <v>552066.42478453147</v>
      </c>
      <c r="U16" s="88">
        <f>T16*1.02</f>
        <v>563107.75328022207</v>
      </c>
      <c r="V16" s="88">
        <f>U16*1.02</f>
        <v>574369.90834582655</v>
      </c>
      <c r="W16" s="88">
        <f>V16*1.02</f>
        <v>585857.30651274312</v>
      </c>
      <c r="X16" s="88">
        <f>W16*1.02</f>
        <v>597574.45264299796</v>
      </c>
      <c r="Y16" s="88">
        <f>X16*1.02</f>
        <v>609525.94169585791</v>
      </c>
      <c r="Z16" s="88">
        <f>Y16*1.02</f>
        <v>621716.46052977513</v>
      </c>
      <c r="AA16" s="89">
        <f t="shared" si="39"/>
        <v>6706360.9870185256</v>
      </c>
      <c r="AB16" s="88">
        <f>AA16*1.02</f>
        <v>6840488.2067588959</v>
      </c>
      <c r="AC16" s="88">
        <f>AB16*1.02</f>
        <v>6977297.9708940741</v>
      </c>
      <c r="AD16" s="88">
        <f>AC16*1.02</f>
        <v>7116843.9303119555</v>
      </c>
      <c r="AE16" s="88">
        <f>AD16*1.02</f>
        <v>7259180.8089181948</v>
      </c>
      <c r="AF16" s="88">
        <f>AE16*1.02</f>
        <v>7404364.4250965584</v>
      </c>
      <c r="AG16" s="88">
        <f>AF16*1.02</f>
        <v>7552451.7135984898</v>
      </c>
      <c r="AH16" s="88">
        <f>AG16*1.02</f>
        <v>7703500.7478704602</v>
      </c>
      <c r="AI16" s="88">
        <f>AH16*1.02</f>
        <v>7857570.7628278695</v>
      </c>
      <c r="AJ16" s="88">
        <f>AI16*1.02</f>
        <v>8014722.1780844275</v>
      </c>
      <c r="AK16" s="88">
        <f>AJ16*1.02</f>
        <v>8175016.6216461165</v>
      </c>
      <c r="AL16" s="88">
        <f>AK16*1.02</f>
        <v>8338516.9540790394</v>
      </c>
      <c r="AM16" s="88">
        <f>AL16*1.02</f>
        <v>8505287.2931606211</v>
      </c>
      <c r="AN16" s="89">
        <f t="shared" si="40"/>
        <v>91745241.613246679</v>
      </c>
    </row>
    <row r="17" spans="1:40" ht="26.25" customHeight="1">
      <c r="A17" s="6" t="s">
        <v>249</v>
      </c>
      <c r="B17" s="88">
        <v>0</v>
      </c>
      <c r="C17" s="88">
        <v>2213400</v>
      </c>
      <c r="D17" s="88">
        <f t="shared" ref="C17:M17" si="42">C17*1.02</f>
        <v>2257668</v>
      </c>
      <c r="E17" s="88">
        <f t="shared" si="42"/>
        <v>2302821.36</v>
      </c>
      <c r="F17" s="88">
        <f t="shared" si="42"/>
        <v>2348877.7872000001</v>
      </c>
      <c r="G17" s="88">
        <f t="shared" si="42"/>
        <v>2395855.3429440004</v>
      </c>
      <c r="H17" s="88">
        <f t="shared" si="42"/>
        <v>2443772.4498028806</v>
      </c>
      <c r="I17" s="88">
        <f t="shared" si="42"/>
        <v>2492647.8987989384</v>
      </c>
      <c r="J17" s="88">
        <f t="shared" si="42"/>
        <v>2542500.8567749173</v>
      </c>
      <c r="K17" s="88">
        <f t="shared" si="42"/>
        <v>2593350.8739104159</v>
      </c>
      <c r="L17" s="88">
        <f t="shared" si="42"/>
        <v>2645217.8913886244</v>
      </c>
      <c r="M17" s="88">
        <f t="shared" si="42"/>
        <v>2698122.2492163968</v>
      </c>
      <c r="N17" s="89">
        <f t="shared" si="38"/>
        <v>26934234.710036173</v>
      </c>
      <c r="O17" s="88">
        <f>M17*1.02</f>
        <v>2752084.6942007248</v>
      </c>
      <c r="P17" s="88">
        <f>O17*1.02</f>
        <v>2807126.3880847394</v>
      </c>
      <c r="Q17" s="88">
        <f>P17*1.02</f>
        <v>2863268.9158464344</v>
      </c>
      <c r="R17" s="88">
        <f t="shared" ref="R17:Z17" si="43">Q17*1.02</f>
        <v>2920534.2941633631</v>
      </c>
      <c r="S17" s="88">
        <f t="shared" si="43"/>
        <v>2978944.9800466304</v>
      </c>
      <c r="T17" s="88">
        <f t="shared" si="43"/>
        <v>3038523.8796475632</v>
      </c>
      <c r="U17" s="88">
        <f t="shared" si="43"/>
        <v>3099294.3572405144</v>
      </c>
      <c r="V17" s="88">
        <f t="shared" si="43"/>
        <v>3161280.2443853249</v>
      </c>
      <c r="W17" s="88">
        <f t="shared" si="43"/>
        <v>3224505.8492730316</v>
      </c>
      <c r="X17" s="88">
        <f t="shared" si="43"/>
        <v>3288995.9662584923</v>
      </c>
      <c r="Y17" s="88">
        <f t="shared" si="43"/>
        <v>3354775.8855836624</v>
      </c>
      <c r="Z17" s="88">
        <f t="shared" si="43"/>
        <v>3421871.4032953358</v>
      </c>
      <c r="AA17" s="89">
        <f t="shared" si="39"/>
        <v>36911206.858025812</v>
      </c>
      <c r="AB17" s="88">
        <f>Z17*1.02</f>
        <v>3490308.8313612426</v>
      </c>
      <c r="AC17" s="88">
        <f>AB17*1.02</f>
        <v>3560115.0079884673</v>
      </c>
      <c r="AD17" s="88">
        <f t="shared" ref="AD17:AM17" si="44">AC17*1.02</f>
        <v>3631317.3081482369</v>
      </c>
      <c r="AE17" s="88">
        <f t="shared" si="44"/>
        <v>3703943.6543112015</v>
      </c>
      <c r="AF17" s="88">
        <f t="shared" si="44"/>
        <v>3778022.5273974258</v>
      </c>
      <c r="AG17" s="88">
        <f t="shared" si="44"/>
        <v>3853582.9779453743</v>
      </c>
      <c r="AH17" s="88">
        <f t="shared" si="44"/>
        <v>3930654.6375042819</v>
      </c>
      <c r="AI17" s="88">
        <f t="shared" si="44"/>
        <v>4009267.7302543675</v>
      </c>
      <c r="AJ17" s="88">
        <f t="shared" si="44"/>
        <v>4089453.084859455</v>
      </c>
      <c r="AK17" s="88">
        <f t="shared" si="44"/>
        <v>4171242.1465566442</v>
      </c>
      <c r="AL17" s="88">
        <f t="shared" si="44"/>
        <v>4254666.9894877775</v>
      </c>
      <c r="AM17" s="88">
        <f t="shared" si="44"/>
        <v>4339760.3292775331</v>
      </c>
      <c r="AN17" s="89">
        <f t="shared" si="40"/>
        <v>46812335.225092001</v>
      </c>
    </row>
    <row r="18" spans="1:40" ht="34.9">
      <c r="A18" s="6" t="s">
        <v>250</v>
      </c>
      <c r="B18" s="88">
        <f>(338300*3+398000*0.8*12)*1</f>
        <v>4835700</v>
      </c>
      <c r="C18" s="120">
        <f>(398000*0.7*12+338300*3)*1.02</f>
        <v>4445262</v>
      </c>
      <c r="D18" s="88">
        <f>(398000*0.6*12+338300*3)*1.04</f>
        <v>4035720</v>
      </c>
      <c r="E18" s="88">
        <f>(398000*0.5*12+338300*3)*1.06</f>
        <v>3607074</v>
      </c>
      <c r="F18" s="88">
        <f>(398000*0.5*12+338300*3)*1.08</f>
        <v>3675132.0000000005</v>
      </c>
      <c r="G18" s="88">
        <v>0</v>
      </c>
      <c r="H18" s="88">
        <v>0</v>
      </c>
      <c r="I18" s="88">
        <v>0</v>
      </c>
      <c r="J18" s="88">
        <f>(398000*0.6*12+338300*3)*1.16</f>
        <v>4501380</v>
      </c>
      <c r="K18" s="88">
        <f>(398000*0.6*12+338300*3)*1.18</f>
        <v>4578990</v>
      </c>
      <c r="L18" s="88">
        <f>(398000*0.6*12+338300*3)*1.2</f>
        <v>4656600</v>
      </c>
      <c r="M18" s="88">
        <f>(398000*0.7*12+338300*3)*1.22</f>
        <v>5316882</v>
      </c>
      <c r="N18" s="89">
        <f>SUM(B18:M18)</f>
        <v>39652740</v>
      </c>
      <c r="O18" s="88">
        <f>(338300*3+398000*0.9*12)*1.24</f>
        <v>6588492</v>
      </c>
      <c r="P18" s="88">
        <f>(398000*0.8*12+338300*3)*1.26</f>
        <v>6092982</v>
      </c>
      <c r="Q18" s="88">
        <f>(398000*0.7*12+338300*3)*1.28</f>
        <v>5578368</v>
      </c>
      <c r="R18" s="88">
        <f>(398000*0.6*12+338300*3)*1.3</f>
        <v>5044650</v>
      </c>
      <c r="S18" s="88">
        <f>(398000*0.6*12+338300*3)*1.32</f>
        <v>5122260</v>
      </c>
      <c r="T18" s="88">
        <v>0</v>
      </c>
      <c r="U18" s="88">
        <v>0</v>
      </c>
      <c r="V18" s="88">
        <v>0</v>
      </c>
      <c r="W18" s="88">
        <f>(398000*0.7*12+338300*3)*1.4</f>
        <v>6101340</v>
      </c>
      <c r="X18" s="88">
        <f>(398000*0.7*12+338300*3)*1.42</f>
        <v>6188502</v>
      </c>
      <c r="Y18" s="88">
        <f>(398000*0.7*12+338300*3)*1.44</f>
        <v>6275664</v>
      </c>
      <c r="Z18" s="88">
        <f>(398000*0.8*12+338300*3)*1.46</f>
        <v>7060122</v>
      </c>
      <c r="AA18" s="89">
        <f>SUM(O18:Z18)</f>
        <v>54052380</v>
      </c>
      <c r="AB18" s="88">
        <f>(338300*3+398000*12)*1.48</f>
        <v>8570532</v>
      </c>
      <c r="AC18" s="88">
        <f>(398000*0.9*12+338300*3)*1.5</f>
        <v>7969950</v>
      </c>
      <c r="AD18" s="88">
        <f>(398000*0.8*12+338300*3)*1.52</f>
        <v>7350264</v>
      </c>
      <c r="AE18" s="88">
        <f>(398000*0.7*12+338300*3)*1.54</f>
        <v>6711474</v>
      </c>
      <c r="AF18" s="88">
        <f>(398000*0.7*12+338300*3)*1.56</f>
        <v>6798636</v>
      </c>
      <c r="AG18" s="88">
        <v>0</v>
      </c>
      <c r="AH18" s="88">
        <v>0</v>
      </c>
      <c r="AI18" s="88">
        <v>0</v>
      </c>
      <c r="AJ18" s="88">
        <f>(398000*0.8*12+338300*3)*1.64</f>
        <v>7930547.9999999991</v>
      </c>
      <c r="AK18" s="88">
        <f>(398000*0.8*12+338300*3)*1.66</f>
        <v>8027262</v>
      </c>
      <c r="AL18" s="88">
        <f>(398000*0.8*12+338300*3)*1.68</f>
        <v>8123976</v>
      </c>
      <c r="AM18" s="88">
        <f>(398000*0.9*12+338300*3)*1.7</f>
        <v>9032610</v>
      </c>
      <c r="AN18" s="89">
        <f>SUM(AB18:AM18)</f>
        <v>70515252</v>
      </c>
    </row>
    <row r="19" spans="1:40" ht="34.9">
      <c r="A19" s="6" t="s">
        <v>251</v>
      </c>
      <c r="B19" s="88">
        <v>0</v>
      </c>
      <c r="C19" s="88">
        <f>((265600*12*0.5)+(225760*3))*1.02</f>
        <v>2316297.6</v>
      </c>
      <c r="D19" s="88">
        <f>(265600*12*0.5+225760*3)*1.04</f>
        <v>2361715.2000000002</v>
      </c>
      <c r="E19" s="88">
        <v>0</v>
      </c>
      <c r="F19" s="88">
        <f>(265600*12*0.5+225760*3)*1.08</f>
        <v>2452550.4000000004</v>
      </c>
      <c r="G19" s="88">
        <f>(265600*12*0.5+225760*3)*1.1</f>
        <v>2497968</v>
      </c>
      <c r="H19" s="88">
        <f>(265600*24*0.55+225760*6)*1.12</f>
        <v>5443737.6000000006</v>
      </c>
      <c r="I19" s="88">
        <f>(265600*24*0.55+225760*6)*1.14</f>
        <v>5540947.1999999993</v>
      </c>
      <c r="J19" s="88">
        <f>(265600*12*0.5+225760*3)*1.16</f>
        <v>2634220.7999999998</v>
      </c>
      <c r="K19" s="88">
        <f>(265600*12*0.5+225760*3)*1.18</f>
        <v>2679638.4</v>
      </c>
      <c r="L19" s="88">
        <v>0</v>
      </c>
      <c r="M19" s="88">
        <v>0</v>
      </c>
      <c r="N19" s="89">
        <f>SUM(B19:M19)</f>
        <v>25927075.199999999</v>
      </c>
      <c r="O19" s="88">
        <v>0</v>
      </c>
      <c r="P19" s="88">
        <f>((265600*12*0.6)+(225760*3))*1.26</f>
        <v>3262896</v>
      </c>
      <c r="Q19" s="88">
        <f>(265600*12*0.6+225760*3)*1.28</f>
        <v>3314688</v>
      </c>
      <c r="R19" s="88">
        <v>0</v>
      </c>
      <c r="S19" s="88">
        <f>(265600*12*0.6+225760*3)*1.32</f>
        <v>3418272</v>
      </c>
      <c r="T19" s="88">
        <f>(265600*12*0.6+225760*3)*1.34</f>
        <v>3470064</v>
      </c>
      <c r="U19" s="88">
        <f>(265600*24*0.65+225760*6)*1.36</f>
        <v>7477171.2000000002</v>
      </c>
      <c r="V19" s="88">
        <f>(265600*24*0.65+225760*6)*1.38</f>
        <v>7587129.5999999996</v>
      </c>
      <c r="W19" s="88">
        <f>(265600*12*0.6+225760*3)*1.4</f>
        <v>3625440</v>
      </c>
      <c r="X19" s="88">
        <f>(265600*12*0.6+225760*3)*1.42</f>
        <v>3677232</v>
      </c>
      <c r="Y19" s="88">
        <v>0</v>
      </c>
      <c r="Z19" s="88">
        <v>0</v>
      </c>
      <c r="AA19" s="89">
        <f>SUM(O19:Z19)</f>
        <v>35832892.799999997</v>
      </c>
      <c r="AB19" s="88">
        <v>0</v>
      </c>
      <c r="AC19" s="88">
        <f>((265600*12*0.7)+(225760*3))*1.5</f>
        <v>4362480</v>
      </c>
      <c r="AD19" s="88">
        <f>(265600*12*0.7+225760*3)*1.52</f>
        <v>4420646.4000000004</v>
      </c>
      <c r="AE19" s="88">
        <v>0</v>
      </c>
      <c r="AF19" s="88">
        <f>(265600*12*0.7+225760*3)*1.56</f>
        <v>4536979.2</v>
      </c>
      <c r="AG19" s="88">
        <f>(265600*12*0.7+225760*3)*1.58</f>
        <v>4595145.6000000006</v>
      </c>
      <c r="AH19" s="88">
        <f>(265600*24*0.75+225760*6)*1.6</f>
        <v>9816576</v>
      </c>
      <c r="AI19" s="88">
        <f>(265600*24*0.75+225760*6)*1.62</f>
        <v>9939283.2000000011</v>
      </c>
      <c r="AJ19" s="88">
        <f>(265600*12*0.7+225760*3)*1.64</f>
        <v>4769644.8</v>
      </c>
      <c r="AK19" s="88">
        <f>(265600*12*0.7+225760*3)*1.66</f>
        <v>4827811.2</v>
      </c>
      <c r="AL19" s="88">
        <v>0</v>
      </c>
      <c r="AM19" s="88">
        <v>0</v>
      </c>
      <c r="AN19" s="89">
        <f>SUM(AB19:AM19)</f>
        <v>47268566.400000006</v>
      </c>
    </row>
    <row r="20" spans="1:40" ht="34.9">
      <c r="A20" s="6" t="s">
        <v>252</v>
      </c>
      <c r="B20" s="88">
        <f>(332000*12*0.6+282200*3)</f>
        <v>3237000</v>
      </c>
      <c r="C20" s="88">
        <v>0</v>
      </c>
      <c r="D20" s="88">
        <f>(332000*12*0.5+282200*3)*1.04</f>
        <v>2952144</v>
      </c>
      <c r="E20" s="88">
        <f>(332000*12*0.5+282200*3)*1.06</f>
        <v>3008916</v>
      </c>
      <c r="F20" s="88">
        <v>0</v>
      </c>
      <c r="G20" s="88">
        <f>(332000*12*0.5+282200*3)*1.1</f>
        <v>3122460.0000000005</v>
      </c>
      <c r="H20" s="88">
        <v>0</v>
      </c>
      <c r="I20" s="88">
        <v>0</v>
      </c>
      <c r="J20" s="88">
        <f>(332000*12*0.5+282200*3)*1.16</f>
        <v>3292776</v>
      </c>
      <c r="K20" s="88">
        <v>0</v>
      </c>
      <c r="L20" s="88">
        <f>(332000*12*0.5+282200*3)*1.2</f>
        <v>3406320</v>
      </c>
      <c r="M20" s="88">
        <v>0</v>
      </c>
      <c r="N20" s="89">
        <f t="shared" si="38"/>
        <v>19019616</v>
      </c>
      <c r="O20" s="88">
        <f>(332000*12*0.6+282200*3)*1.24</f>
        <v>4013880</v>
      </c>
      <c r="P20" s="88">
        <v>0</v>
      </c>
      <c r="Q20" s="88">
        <f>(332000*12*0.6+282200*3)*1.28</f>
        <v>4143360</v>
      </c>
      <c r="R20" s="88">
        <f>(332000*12*0.6+282200*3)*1.3</f>
        <v>4208100</v>
      </c>
      <c r="S20" s="88">
        <v>0</v>
      </c>
      <c r="T20" s="88">
        <f>(332000*12*0.6+282200*3)*1.36</f>
        <v>4402320</v>
      </c>
      <c r="U20" s="88">
        <v>0</v>
      </c>
      <c r="V20" s="88">
        <v>0</v>
      </c>
      <c r="W20" s="88">
        <f>(332000*12*0.6+282200*3)*1.4</f>
        <v>4531800</v>
      </c>
      <c r="X20" s="88">
        <v>0</v>
      </c>
      <c r="Y20" s="88">
        <f>(332000*12*0.6+282200*3)*1.44</f>
        <v>4661280</v>
      </c>
      <c r="Z20" s="88">
        <v>0</v>
      </c>
      <c r="AA20" s="89">
        <f t="shared" si="39"/>
        <v>25960740</v>
      </c>
      <c r="AB20" s="88">
        <f>(332000*12*0.8+282200*3)*1.48</f>
        <v>5970024</v>
      </c>
      <c r="AC20" s="88">
        <v>0</v>
      </c>
      <c r="AD20" s="88">
        <f>(332000*12*0.7+282200*3)*1.52</f>
        <v>5525808</v>
      </c>
      <c r="AE20" s="88">
        <f>(332000*12*0.7+282200*3)*1.54</f>
        <v>5598516</v>
      </c>
      <c r="AF20" s="88">
        <v>0</v>
      </c>
      <c r="AG20" s="88">
        <f>(332000*12*0.7+282200*3)*1.58</f>
        <v>5743932</v>
      </c>
      <c r="AH20" s="88">
        <v>0</v>
      </c>
      <c r="AI20" s="88">
        <v>0</v>
      </c>
      <c r="AJ20" s="88">
        <f>(332000*12*0.7+282200*3)*1.64</f>
        <v>5962056</v>
      </c>
      <c r="AK20" s="88">
        <v>0</v>
      </c>
      <c r="AL20" s="88">
        <f>(332000*12*0.7+282200*3)*1.68</f>
        <v>6107472</v>
      </c>
      <c r="AM20" s="88">
        <v>0</v>
      </c>
      <c r="AN20" s="89">
        <f t="shared" si="40"/>
        <v>34907808</v>
      </c>
    </row>
    <row r="21" spans="1:40" ht="26.25" customHeight="1">
      <c r="A21" s="6" t="s">
        <v>253</v>
      </c>
      <c r="B21" s="88">
        <f>100000*3</f>
        <v>300000</v>
      </c>
      <c r="C21" s="88">
        <f>100000*2*1.02</f>
        <v>204000</v>
      </c>
      <c r="D21" s="88">
        <f>100000*3*1.04</f>
        <v>312000</v>
      </c>
      <c r="E21" s="88">
        <f>100000*2*1.06</f>
        <v>212000</v>
      </c>
      <c r="F21" s="88">
        <f>100000*2*1.08</f>
        <v>216000</v>
      </c>
      <c r="G21" s="88">
        <f>100000*2*1.1</f>
        <v>220000.00000000003</v>
      </c>
      <c r="H21" s="88">
        <f>100000*2*1.12</f>
        <v>224000.00000000003</v>
      </c>
      <c r="I21" s="88">
        <f>100000*2*1.14</f>
        <v>227999.99999999997</v>
      </c>
      <c r="J21" s="88">
        <f>100000*3*1.16</f>
        <v>348000</v>
      </c>
      <c r="K21" s="88">
        <f>100000*2*1.18</f>
        <v>236000</v>
      </c>
      <c r="L21" s="88">
        <f>100000*2*1.2</f>
        <v>240000</v>
      </c>
      <c r="M21" s="88">
        <f>100000*1.22</f>
        <v>122000</v>
      </c>
      <c r="N21" s="89">
        <f t="shared" si="38"/>
        <v>2862000</v>
      </c>
      <c r="O21" s="88">
        <f>B21*1.24</f>
        <v>372000</v>
      </c>
      <c r="P21" s="88">
        <f>C21*1.24</f>
        <v>252960</v>
      </c>
      <c r="Q21" s="88">
        <f t="shared" ref="Q21:Z21" si="45">D21*1.24</f>
        <v>386880</v>
      </c>
      <c r="R21" s="88">
        <f t="shared" si="45"/>
        <v>262880</v>
      </c>
      <c r="S21" s="88">
        <f t="shared" si="45"/>
        <v>267840</v>
      </c>
      <c r="T21" s="88">
        <f t="shared" si="45"/>
        <v>272800.00000000006</v>
      </c>
      <c r="U21" s="88">
        <f t="shared" si="45"/>
        <v>277760.00000000006</v>
      </c>
      <c r="V21" s="88">
        <f t="shared" si="45"/>
        <v>282719.99999999994</v>
      </c>
      <c r="W21" s="88">
        <f t="shared" si="45"/>
        <v>431520</v>
      </c>
      <c r="X21" s="88">
        <f t="shared" si="45"/>
        <v>292640</v>
      </c>
      <c r="Y21" s="88">
        <f t="shared" si="45"/>
        <v>297600</v>
      </c>
      <c r="Z21" s="88">
        <f t="shared" si="45"/>
        <v>151280</v>
      </c>
      <c r="AA21" s="89">
        <f t="shared" si="39"/>
        <v>3548880</v>
      </c>
      <c r="AB21" s="88">
        <f>O21*1.24</f>
        <v>461280</v>
      </c>
      <c r="AC21" s="88">
        <f t="shared" ref="AC21:AM21" si="46">P21*1.24</f>
        <v>313670.40000000002</v>
      </c>
      <c r="AD21" s="88">
        <f t="shared" si="46"/>
        <v>479731.20000000001</v>
      </c>
      <c r="AE21" s="88">
        <f t="shared" si="46"/>
        <v>325971.20000000001</v>
      </c>
      <c r="AF21" s="88">
        <f t="shared" si="46"/>
        <v>332121.59999999998</v>
      </c>
      <c r="AG21" s="88">
        <f t="shared" si="46"/>
        <v>338272.00000000006</v>
      </c>
      <c r="AH21" s="88">
        <f t="shared" si="46"/>
        <v>344422.40000000008</v>
      </c>
      <c r="AI21" s="88">
        <f t="shared" si="46"/>
        <v>350572.79999999993</v>
      </c>
      <c r="AJ21" s="88">
        <f t="shared" si="46"/>
        <v>535084.80000000005</v>
      </c>
      <c r="AK21" s="88">
        <f t="shared" si="46"/>
        <v>362873.59999999998</v>
      </c>
      <c r="AL21" s="88">
        <f t="shared" si="46"/>
        <v>369024</v>
      </c>
      <c r="AM21" s="88">
        <f t="shared" si="46"/>
        <v>187587.20000000001</v>
      </c>
      <c r="AN21" s="89">
        <f t="shared" si="40"/>
        <v>4400611.2</v>
      </c>
    </row>
    <row r="22" spans="1:40" ht="26.25" customHeight="1">
      <c r="A22" s="6" t="s">
        <v>254</v>
      </c>
      <c r="B22" s="88">
        <v>150000</v>
      </c>
      <c r="C22" s="88">
        <f>B22*1.02</f>
        <v>153000</v>
      </c>
      <c r="D22" s="88">
        <f t="shared" ref="D22:M22" si="47">C22*1.02</f>
        <v>156060</v>
      </c>
      <c r="E22" s="88">
        <f t="shared" si="47"/>
        <v>159181.20000000001</v>
      </c>
      <c r="F22" s="88">
        <f t="shared" si="47"/>
        <v>162364.82400000002</v>
      </c>
      <c r="G22" s="88">
        <f t="shared" si="47"/>
        <v>165612.12048000001</v>
      </c>
      <c r="H22" s="88">
        <f t="shared" si="47"/>
        <v>168924.36288960002</v>
      </c>
      <c r="I22" s="88">
        <f t="shared" si="47"/>
        <v>172302.85014739202</v>
      </c>
      <c r="J22" s="88">
        <f t="shared" si="47"/>
        <v>175748.90715033986</v>
      </c>
      <c r="K22" s="88">
        <f t="shared" si="47"/>
        <v>179263.88529334666</v>
      </c>
      <c r="L22" s="88">
        <f t="shared" si="47"/>
        <v>182849.16299921359</v>
      </c>
      <c r="M22" s="88">
        <f t="shared" si="47"/>
        <v>186506.14625919785</v>
      </c>
      <c r="N22" s="89">
        <f t="shared" si="38"/>
        <v>2011813.4592190897</v>
      </c>
      <c r="O22" s="88">
        <f>M22*1.02</f>
        <v>190236.26918438182</v>
      </c>
      <c r="P22" s="88">
        <f>O22*1.02</f>
        <v>194040.99456806947</v>
      </c>
      <c r="Q22" s="88">
        <f t="shared" ref="Q22:Z22" si="48">P22*1.02</f>
        <v>197921.81445943087</v>
      </c>
      <c r="R22" s="88">
        <f t="shared" si="48"/>
        <v>201880.2507486195</v>
      </c>
      <c r="S22" s="88">
        <f t="shared" si="48"/>
        <v>205917.85576359188</v>
      </c>
      <c r="T22" s="88">
        <f t="shared" si="48"/>
        <v>210036.21287886373</v>
      </c>
      <c r="U22" s="88">
        <f t="shared" si="48"/>
        <v>214236.937136441</v>
      </c>
      <c r="V22" s="88">
        <f t="shared" si="48"/>
        <v>218521.67587916984</v>
      </c>
      <c r="W22" s="88">
        <f t="shared" si="48"/>
        <v>222892.10939675325</v>
      </c>
      <c r="X22" s="88">
        <f t="shared" si="48"/>
        <v>227349.95158468833</v>
      </c>
      <c r="Y22" s="88">
        <f t="shared" si="48"/>
        <v>231896.95061638209</v>
      </c>
      <c r="Z22" s="88">
        <f t="shared" si="48"/>
        <v>236534.88962870973</v>
      </c>
      <c r="AA22" s="89">
        <f t="shared" ref="AA22:AA33" si="49">SUM(O22:Z22)</f>
        <v>2551465.9118451015</v>
      </c>
      <c r="AB22" s="88">
        <f>Z22*1.02</f>
        <v>241265.58742128394</v>
      </c>
      <c r="AC22" s="88">
        <f>AB22*1.02</f>
        <v>246090.89916970962</v>
      </c>
      <c r="AD22" s="88">
        <f t="shared" ref="AD22:AM22" si="50">AC22*1.02</f>
        <v>251012.71715310382</v>
      </c>
      <c r="AE22" s="88">
        <f t="shared" si="50"/>
        <v>256032.9714961659</v>
      </c>
      <c r="AF22" s="88">
        <f t="shared" si="50"/>
        <v>261153.63092608922</v>
      </c>
      <c r="AG22" s="88">
        <f t="shared" si="50"/>
        <v>266376.70354461099</v>
      </c>
      <c r="AH22" s="88">
        <f t="shared" si="50"/>
        <v>271704.2376155032</v>
      </c>
      <c r="AI22" s="88">
        <f t="shared" si="50"/>
        <v>277138.32236781326</v>
      </c>
      <c r="AJ22" s="88">
        <f t="shared" si="50"/>
        <v>282681.08881516953</v>
      </c>
      <c r="AK22" s="88">
        <f t="shared" si="50"/>
        <v>288334.71059147292</v>
      </c>
      <c r="AL22" s="88">
        <f t="shared" si="50"/>
        <v>294101.40480330237</v>
      </c>
      <c r="AM22" s="88">
        <f t="shared" si="50"/>
        <v>299983.4328993684</v>
      </c>
      <c r="AN22" s="89">
        <f t="shared" ref="AN22:AN33" si="51">SUM(AB22:AM22)</f>
        <v>3235875.7068035924</v>
      </c>
    </row>
    <row r="23" spans="1:40" ht="26.25" customHeight="1">
      <c r="A23" s="6" t="s">
        <v>255</v>
      </c>
      <c r="B23" s="88">
        <v>650000</v>
      </c>
      <c r="C23" s="88">
        <f>B23*1.02</f>
        <v>663000</v>
      </c>
      <c r="D23" s="88">
        <f t="shared" ref="D23:M23" si="52">C23*1.02</f>
        <v>676260</v>
      </c>
      <c r="E23" s="88">
        <f t="shared" si="52"/>
        <v>689785.20000000007</v>
      </c>
      <c r="F23" s="88">
        <f t="shared" si="52"/>
        <v>703580.9040000001</v>
      </c>
      <c r="G23" s="88">
        <f t="shared" si="52"/>
        <v>717652.52208000014</v>
      </c>
      <c r="H23" s="88">
        <f t="shared" si="52"/>
        <v>732005.57252160017</v>
      </c>
      <c r="I23" s="88">
        <f t="shared" si="52"/>
        <v>746645.68397203216</v>
      </c>
      <c r="J23" s="88">
        <f t="shared" si="52"/>
        <v>761578.59765147278</v>
      </c>
      <c r="K23" s="88">
        <f t="shared" si="52"/>
        <v>776810.16960450227</v>
      </c>
      <c r="L23" s="88">
        <f t="shared" si="52"/>
        <v>792346.37299659231</v>
      </c>
      <c r="M23" s="88">
        <f t="shared" si="52"/>
        <v>808193.30045652413</v>
      </c>
      <c r="N23" s="89">
        <f t="shared" si="38"/>
        <v>8717858.3232827242</v>
      </c>
      <c r="O23" s="88">
        <f>M23*1.02</f>
        <v>824357.16646565462</v>
      </c>
      <c r="P23" s="88">
        <f>O23*1.02</f>
        <v>840844.30979496776</v>
      </c>
      <c r="Q23" s="88">
        <f t="shared" ref="Q23:Z23" si="53">P23*1.02</f>
        <v>857661.1959908671</v>
      </c>
      <c r="R23" s="88">
        <f t="shared" si="53"/>
        <v>874814.41991068446</v>
      </c>
      <c r="S23" s="88">
        <f t="shared" si="53"/>
        <v>892310.70830889815</v>
      </c>
      <c r="T23" s="88">
        <f t="shared" si="53"/>
        <v>910156.92247507616</v>
      </c>
      <c r="U23" s="88">
        <f t="shared" si="53"/>
        <v>928360.06092457776</v>
      </c>
      <c r="V23" s="88">
        <f t="shared" si="53"/>
        <v>946927.2621430693</v>
      </c>
      <c r="W23" s="88">
        <f t="shared" si="53"/>
        <v>965865.80738593068</v>
      </c>
      <c r="X23" s="88">
        <f t="shared" si="53"/>
        <v>985183.12353364925</v>
      </c>
      <c r="Y23" s="88">
        <f t="shared" si="53"/>
        <v>1004886.7860043222</v>
      </c>
      <c r="Z23" s="88">
        <f t="shared" si="53"/>
        <v>1024984.5217244087</v>
      </c>
      <c r="AA23" s="89">
        <f t="shared" si="49"/>
        <v>11056352.284662105</v>
      </c>
      <c r="AB23" s="88">
        <f>Z23*1.02</f>
        <v>1045484.212158897</v>
      </c>
      <c r="AC23" s="88">
        <f>AB23*1.02</f>
        <v>1066393.896402075</v>
      </c>
      <c r="AD23" s="88">
        <f t="shared" ref="AD23:AM23" si="54">AC23*1.02</f>
        <v>1087721.7743301166</v>
      </c>
      <c r="AE23" s="88">
        <f t="shared" si="54"/>
        <v>1109476.2098167189</v>
      </c>
      <c r="AF23" s="88">
        <f t="shared" si="54"/>
        <v>1131665.7340130534</v>
      </c>
      <c r="AG23" s="88">
        <f t="shared" si="54"/>
        <v>1154299.0486933144</v>
      </c>
      <c r="AH23" s="88">
        <f t="shared" si="54"/>
        <v>1177385.0296671807</v>
      </c>
      <c r="AI23" s="88">
        <f t="shared" si="54"/>
        <v>1200932.7302605244</v>
      </c>
      <c r="AJ23" s="88">
        <f t="shared" si="54"/>
        <v>1224951.384865735</v>
      </c>
      <c r="AK23" s="88">
        <f t="shared" si="54"/>
        <v>1249450.4125630497</v>
      </c>
      <c r="AL23" s="88">
        <f t="shared" si="54"/>
        <v>1274439.4208143107</v>
      </c>
      <c r="AM23" s="88">
        <f t="shared" si="54"/>
        <v>1299928.2092305969</v>
      </c>
      <c r="AN23" s="89">
        <f t="shared" si="51"/>
        <v>14022128.062815573</v>
      </c>
    </row>
    <row r="24" spans="1:40" ht="26.25" customHeight="1">
      <c r="A24" s="6" t="s">
        <v>256</v>
      </c>
      <c r="B24" s="88">
        <v>240000</v>
      </c>
      <c r="C24" s="88">
        <f t="shared" ref="C24" si="55">B24*1.02</f>
        <v>244800</v>
      </c>
      <c r="D24" s="88">
        <f t="shared" ref="D24" si="56">C24*1.02</f>
        <v>249696</v>
      </c>
      <c r="E24" s="88">
        <f t="shared" ref="E24" si="57">D24*1.02</f>
        <v>254689.92000000001</v>
      </c>
      <c r="F24" s="88">
        <f t="shared" ref="F24" si="58">E24*1.02</f>
        <v>259783.71840000001</v>
      </c>
      <c r="G24" s="88">
        <f t="shared" ref="G24" si="59">F24*1.02</f>
        <v>264979.39276800002</v>
      </c>
      <c r="H24" s="88">
        <f t="shared" ref="H24" si="60">G24*1.02</f>
        <v>270278.98062336002</v>
      </c>
      <c r="I24" s="88">
        <f t="shared" ref="I24" si="61">H24*1.02</f>
        <v>275684.56023582723</v>
      </c>
      <c r="J24" s="88">
        <f t="shared" ref="J24" si="62">I24*1.02</f>
        <v>281198.2514405438</v>
      </c>
      <c r="K24" s="88">
        <f t="shared" ref="K24" si="63">J24*1.02</f>
        <v>286822.21646935469</v>
      </c>
      <c r="L24" s="88">
        <f t="shared" ref="L24" si="64">K24*1.02</f>
        <v>292558.6607987418</v>
      </c>
      <c r="M24" s="88">
        <f t="shared" ref="M24" si="65">L24*1.02</f>
        <v>298409.83401471662</v>
      </c>
      <c r="N24" s="89">
        <f t="shared" si="38"/>
        <v>3218901.534750544</v>
      </c>
      <c r="O24" s="88">
        <f>M24*1.02</f>
        <v>304378.03069501097</v>
      </c>
      <c r="P24" s="88">
        <f>O24*1.02</f>
        <v>310465.59130891121</v>
      </c>
      <c r="Q24" s="88">
        <f t="shared" ref="Q24:Z24" si="66">P24*1.02</f>
        <v>316674.90313508944</v>
      </c>
      <c r="R24" s="88">
        <f t="shared" si="66"/>
        <v>323008.40119779122</v>
      </c>
      <c r="S24" s="88">
        <f t="shared" si="66"/>
        <v>329468.56922174705</v>
      </c>
      <c r="T24" s="88">
        <f t="shared" si="66"/>
        <v>336057.94060618198</v>
      </c>
      <c r="U24" s="88">
        <f t="shared" si="66"/>
        <v>342779.09941830562</v>
      </c>
      <c r="V24" s="88">
        <f t="shared" si="66"/>
        <v>349634.68140667176</v>
      </c>
      <c r="W24" s="88">
        <f t="shared" si="66"/>
        <v>356627.37503480521</v>
      </c>
      <c r="X24" s="88">
        <f t="shared" si="66"/>
        <v>363759.9225355013</v>
      </c>
      <c r="Y24" s="88">
        <f t="shared" si="66"/>
        <v>371035.12098621135</v>
      </c>
      <c r="Z24" s="88">
        <f t="shared" si="66"/>
        <v>378455.8234059356</v>
      </c>
      <c r="AA24" s="89">
        <f t="shared" si="49"/>
        <v>4082345.4589521633</v>
      </c>
      <c r="AB24" s="88">
        <f>Z24*1.02</f>
        <v>386024.93987405434</v>
      </c>
      <c r="AC24" s="88">
        <f>AB24*1.02</f>
        <v>393745.4386715354</v>
      </c>
      <c r="AD24" s="88">
        <f t="shared" ref="AD24:AM24" si="67">AC24*1.02</f>
        <v>401620.34744496614</v>
      </c>
      <c r="AE24" s="88">
        <f t="shared" si="67"/>
        <v>409652.75439386547</v>
      </c>
      <c r="AF24" s="88">
        <f t="shared" si="67"/>
        <v>417845.80948174279</v>
      </c>
      <c r="AG24" s="88">
        <f t="shared" si="67"/>
        <v>426202.72567137767</v>
      </c>
      <c r="AH24" s="88">
        <f t="shared" si="67"/>
        <v>434726.78018480522</v>
      </c>
      <c r="AI24" s="88">
        <f t="shared" si="67"/>
        <v>443421.31578850135</v>
      </c>
      <c r="AJ24" s="88">
        <f t="shared" si="67"/>
        <v>452289.74210427137</v>
      </c>
      <c r="AK24" s="88">
        <f t="shared" si="67"/>
        <v>461335.53694635682</v>
      </c>
      <c r="AL24" s="88">
        <f t="shared" si="67"/>
        <v>470562.24768528395</v>
      </c>
      <c r="AM24" s="88">
        <f t="shared" si="67"/>
        <v>479973.49263898964</v>
      </c>
      <c r="AN24" s="89">
        <f t="shared" si="51"/>
        <v>5177401.130885751</v>
      </c>
    </row>
    <row r="25" spans="1:40" s="122" customFormat="1" ht="26.25" customHeight="1">
      <c r="A25" s="6" t="s">
        <v>257</v>
      </c>
      <c r="B25" s="88">
        <v>99000</v>
      </c>
      <c r="C25" s="88">
        <v>92000</v>
      </c>
      <c r="D25" s="88">
        <v>134000</v>
      </c>
      <c r="E25" s="88">
        <v>99000</v>
      </c>
      <c r="F25" s="88">
        <v>92000</v>
      </c>
      <c r="G25" s="88">
        <v>77000</v>
      </c>
      <c r="H25" s="88">
        <v>70000</v>
      </c>
      <c r="I25" s="88">
        <v>70000</v>
      </c>
      <c r="J25" s="88">
        <v>134000</v>
      </c>
      <c r="K25" s="88">
        <v>92000</v>
      </c>
      <c r="L25" s="88">
        <v>99000</v>
      </c>
      <c r="M25" s="88">
        <v>57000</v>
      </c>
      <c r="N25" s="89">
        <f t="shared" si="38"/>
        <v>1115000</v>
      </c>
      <c r="O25" s="88">
        <f>B25*1.02</f>
        <v>100980</v>
      </c>
      <c r="P25" s="88">
        <f t="shared" ref="P25:Z25" si="68">C25*1.02</f>
        <v>93840</v>
      </c>
      <c r="Q25" s="88">
        <f t="shared" si="68"/>
        <v>136680</v>
      </c>
      <c r="R25" s="88">
        <f t="shared" si="68"/>
        <v>100980</v>
      </c>
      <c r="S25" s="88">
        <f t="shared" si="68"/>
        <v>93840</v>
      </c>
      <c r="T25" s="88">
        <f t="shared" si="68"/>
        <v>78540</v>
      </c>
      <c r="U25" s="88">
        <f t="shared" si="68"/>
        <v>71400</v>
      </c>
      <c r="V25" s="88">
        <f t="shared" si="68"/>
        <v>71400</v>
      </c>
      <c r="W25" s="88">
        <f t="shared" si="68"/>
        <v>136680</v>
      </c>
      <c r="X25" s="88">
        <f t="shared" si="68"/>
        <v>93840</v>
      </c>
      <c r="Y25" s="88">
        <f t="shared" si="68"/>
        <v>100980</v>
      </c>
      <c r="Z25" s="88">
        <f t="shared" si="68"/>
        <v>58140</v>
      </c>
      <c r="AA25" s="89">
        <f t="shared" si="49"/>
        <v>1137300</v>
      </c>
      <c r="AB25" s="88">
        <f>O25*1.02</f>
        <v>102999.6</v>
      </c>
      <c r="AC25" s="88">
        <f t="shared" ref="AC25:AM25" si="69">P25*1.02</f>
        <v>95716.800000000003</v>
      </c>
      <c r="AD25" s="88">
        <f t="shared" si="69"/>
        <v>139413.6</v>
      </c>
      <c r="AE25" s="88">
        <f t="shared" si="69"/>
        <v>102999.6</v>
      </c>
      <c r="AF25" s="88">
        <f t="shared" si="69"/>
        <v>95716.800000000003</v>
      </c>
      <c r="AG25" s="88">
        <f t="shared" si="69"/>
        <v>80110.8</v>
      </c>
      <c r="AH25" s="88">
        <f t="shared" si="69"/>
        <v>72828</v>
      </c>
      <c r="AI25" s="88">
        <f t="shared" si="69"/>
        <v>72828</v>
      </c>
      <c r="AJ25" s="88">
        <f t="shared" si="69"/>
        <v>139413.6</v>
      </c>
      <c r="AK25" s="88">
        <f t="shared" si="69"/>
        <v>95716.800000000003</v>
      </c>
      <c r="AL25" s="88">
        <f t="shared" si="69"/>
        <v>102999.6</v>
      </c>
      <c r="AM25" s="88">
        <f t="shared" si="69"/>
        <v>59302.8</v>
      </c>
      <c r="AN25" s="89">
        <f t="shared" si="51"/>
        <v>1160046.0000000002</v>
      </c>
    </row>
    <row r="26" spans="1:40" ht="26.25" customHeight="1">
      <c r="A26" s="6" t="s">
        <v>258</v>
      </c>
      <c r="B26" s="88">
        <v>140000</v>
      </c>
      <c r="C26" s="88">
        <f t="shared" ref="C26:M26" si="70">B26*1.02</f>
        <v>142800</v>
      </c>
      <c r="D26" s="88">
        <f t="shared" si="70"/>
        <v>145656</v>
      </c>
      <c r="E26" s="88">
        <f t="shared" si="70"/>
        <v>148569.12</v>
      </c>
      <c r="F26" s="88">
        <f t="shared" si="70"/>
        <v>151540.5024</v>
      </c>
      <c r="G26" s="88">
        <f t="shared" si="70"/>
        <v>154571.31244800001</v>
      </c>
      <c r="H26" s="88">
        <f t="shared" si="70"/>
        <v>157662.73869696</v>
      </c>
      <c r="I26" s="88">
        <f t="shared" si="70"/>
        <v>160815.99347089921</v>
      </c>
      <c r="J26" s="88">
        <f t="shared" si="70"/>
        <v>164032.3133403172</v>
      </c>
      <c r="K26" s="88">
        <f t="shared" si="70"/>
        <v>167312.95960712354</v>
      </c>
      <c r="L26" s="88">
        <f t="shared" si="70"/>
        <v>170659.218799266</v>
      </c>
      <c r="M26" s="88">
        <f t="shared" si="70"/>
        <v>174072.40317525133</v>
      </c>
      <c r="N26" s="89">
        <f t="shared" si="38"/>
        <v>1877692.5619378176</v>
      </c>
      <c r="O26" s="88">
        <f>140000*1.24</f>
        <v>173600</v>
      </c>
      <c r="P26" s="88">
        <f>140000*1.24</f>
        <v>173600</v>
      </c>
      <c r="Q26" s="88">
        <f>140000*1.24</f>
        <v>173600</v>
      </c>
      <c r="R26" s="88">
        <f>140000*1.24</f>
        <v>173600</v>
      </c>
      <c r="S26" s="88">
        <f>140000*1.24</f>
        <v>173600</v>
      </c>
      <c r="T26" s="88">
        <f>140000*1.24</f>
        <v>173600</v>
      </c>
      <c r="U26" s="88">
        <f>140000*1.24</f>
        <v>173600</v>
      </c>
      <c r="V26" s="88">
        <f>140000*1.24</f>
        <v>173600</v>
      </c>
      <c r="W26" s="88">
        <f>140000*1.24</f>
        <v>173600</v>
      </c>
      <c r="X26" s="88">
        <f>140000*1.24</f>
        <v>173600</v>
      </c>
      <c r="Y26" s="88">
        <f>140000*1.24</f>
        <v>173600</v>
      </c>
      <c r="Z26" s="88">
        <f>140000*1.24</f>
        <v>173600</v>
      </c>
      <c r="AA26" s="89">
        <f t="shared" si="49"/>
        <v>2083200</v>
      </c>
      <c r="AB26" s="88">
        <f>173600*1.48</f>
        <v>256928</v>
      </c>
      <c r="AC26" s="88">
        <f>173600*1.48</f>
        <v>256928</v>
      </c>
      <c r="AD26" s="88">
        <f>173600*1.48</f>
        <v>256928</v>
      </c>
      <c r="AE26" s="88">
        <f>173600*1.48</f>
        <v>256928</v>
      </c>
      <c r="AF26" s="88">
        <f>173600*1.48</f>
        <v>256928</v>
      </c>
      <c r="AG26" s="88">
        <f>173600*1.48</f>
        <v>256928</v>
      </c>
      <c r="AH26" s="88">
        <f>173600*1.48</f>
        <v>256928</v>
      </c>
      <c r="AI26" s="88">
        <f>173600*1.48</f>
        <v>256928</v>
      </c>
      <c r="AJ26" s="88">
        <f>173600*1.48</f>
        <v>256928</v>
      </c>
      <c r="AK26" s="88">
        <f>173600*1.48</f>
        <v>256928</v>
      </c>
      <c r="AL26" s="88">
        <f>173600*1.48</f>
        <v>256928</v>
      </c>
      <c r="AM26" s="88">
        <f>173600*1.48</f>
        <v>256928</v>
      </c>
      <c r="AN26" s="89">
        <f t="shared" si="51"/>
        <v>3083136</v>
      </c>
    </row>
    <row r="27" spans="1:40" ht="26.25" customHeight="1">
      <c r="A27" s="6" t="s">
        <v>259</v>
      </c>
      <c r="B27" s="88">
        <v>1250000</v>
      </c>
      <c r="C27" s="88">
        <f>B27*1.02</f>
        <v>1275000</v>
      </c>
      <c r="D27" s="88">
        <f t="shared" ref="D27:M28" si="71">C27*1.02</f>
        <v>1300500</v>
      </c>
      <c r="E27" s="88">
        <f t="shared" si="71"/>
        <v>1326510</v>
      </c>
      <c r="F27" s="88">
        <f t="shared" si="71"/>
        <v>1353040.2</v>
      </c>
      <c r="G27" s="88">
        <f t="shared" si="71"/>
        <v>1380101.004</v>
      </c>
      <c r="H27" s="88">
        <f t="shared" si="71"/>
        <v>1407703.0240799999</v>
      </c>
      <c r="I27" s="88">
        <f t="shared" si="71"/>
        <v>1435857.0845615999</v>
      </c>
      <c r="J27" s="88">
        <f t="shared" si="71"/>
        <v>1464574.226252832</v>
      </c>
      <c r="K27" s="88">
        <f t="shared" si="71"/>
        <v>1493865.7107778885</v>
      </c>
      <c r="L27" s="88">
        <f t="shared" si="71"/>
        <v>1523743.0249934464</v>
      </c>
      <c r="M27" s="88">
        <f t="shared" si="71"/>
        <v>1554217.8854933153</v>
      </c>
      <c r="N27" s="89">
        <f t="shared" si="38"/>
        <v>16765112.160159081</v>
      </c>
      <c r="O27" s="88">
        <f>M27*1.02</f>
        <v>1585302.2432031815</v>
      </c>
      <c r="P27" s="88">
        <f>O27*1.02</f>
        <v>1617008.2880672452</v>
      </c>
      <c r="Q27" s="88">
        <f t="shared" ref="Q27:Z27" si="72">P27*1.02</f>
        <v>1649348.45382859</v>
      </c>
      <c r="R27" s="88">
        <f t="shared" si="72"/>
        <v>1682335.4229051617</v>
      </c>
      <c r="S27" s="88">
        <f t="shared" si="72"/>
        <v>1715982.131363265</v>
      </c>
      <c r="T27" s="88">
        <f t="shared" si="72"/>
        <v>1750301.7739905303</v>
      </c>
      <c r="U27" s="88">
        <f t="shared" si="72"/>
        <v>1785307.8094703408</v>
      </c>
      <c r="V27" s="88">
        <f t="shared" si="72"/>
        <v>1821013.9656597476</v>
      </c>
      <c r="W27" s="88">
        <f t="shared" si="72"/>
        <v>1857434.2449729426</v>
      </c>
      <c r="X27" s="88">
        <f t="shared" si="72"/>
        <v>1894582.9298724015</v>
      </c>
      <c r="Y27" s="88">
        <f t="shared" si="72"/>
        <v>1932474.5884698497</v>
      </c>
      <c r="Z27" s="88">
        <f t="shared" si="72"/>
        <v>1971124.0802392466</v>
      </c>
      <c r="AA27" s="89">
        <f t="shared" si="49"/>
        <v>21262215.932042502</v>
      </c>
      <c r="AB27" s="88">
        <f>Z27*1.02</f>
        <v>2010546.5618440316</v>
      </c>
      <c r="AC27" s="88">
        <f>AB27*1.02</f>
        <v>2050757.4930809122</v>
      </c>
      <c r="AD27" s="88">
        <f t="shared" ref="AD27:AM27" si="73">AC27*1.02</f>
        <v>2091772.6429425303</v>
      </c>
      <c r="AE27" s="88">
        <f t="shared" si="73"/>
        <v>2133608.0958013809</v>
      </c>
      <c r="AF27" s="88">
        <f t="shared" si="73"/>
        <v>2176280.2577174087</v>
      </c>
      <c r="AG27" s="88">
        <f t="shared" si="73"/>
        <v>2219805.8628717568</v>
      </c>
      <c r="AH27" s="88">
        <f t="shared" si="73"/>
        <v>2264201.9801291921</v>
      </c>
      <c r="AI27" s="88">
        <f t="shared" si="73"/>
        <v>2309486.0197317759</v>
      </c>
      <c r="AJ27" s="88">
        <f t="shared" si="73"/>
        <v>2355675.7401264114</v>
      </c>
      <c r="AK27" s="88">
        <f t="shared" si="73"/>
        <v>2402789.2549289395</v>
      </c>
      <c r="AL27" s="88">
        <f t="shared" si="73"/>
        <v>2450845.0400275183</v>
      </c>
      <c r="AM27" s="88">
        <f t="shared" si="73"/>
        <v>2499861.9408280686</v>
      </c>
      <c r="AN27" s="89">
        <f t="shared" si="51"/>
        <v>26965630.890029926</v>
      </c>
    </row>
    <row r="28" spans="1:40" ht="26.25" customHeight="1">
      <c r="A28" s="6" t="s">
        <v>260</v>
      </c>
      <c r="B28" s="88">
        <f>(10000+25000+200000)</f>
        <v>235000</v>
      </c>
      <c r="C28" s="88">
        <f>B28*1.02</f>
        <v>239700</v>
      </c>
      <c r="D28" s="88">
        <f t="shared" si="71"/>
        <v>244494</v>
      </c>
      <c r="E28" s="88">
        <f t="shared" si="71"/>
        <v>249383.88</v>
      </c>
      <c r="F28" s="88">
        <f t="shared" si="71"/>
        <v>254371.5576</v>
      </c>
      <c r="G28" s="88">
        <f t="shared" si="71"/>
        <v>259458.988752</v>
      </c>
      <c r="H28" s="88">
        <f t="shared" si="71"/>
        <v>264648.16852703999</v>
      </c>
      <c r="I28" s="88">
        <f t="shared" si="71"/>
        <v>269941.13189758081</v>
      </c>
      <c r="J28" s="88">
        <f t="shared" si="71"/>
        <v>275339.95453553245</v>
      </c>
      <c r="K28" s="88">
        <f t="shared" si="71"/>
        <v>280846.75362624309</v>
      </c>
      <c r="L28" s="88">
        <f t="shared" si="71"/>
        <v>286463.68869876798</v>
      </c>
      <c r="M28" s="88">
        <f t="shared" si="71"/>
        <v>292192.96247274335</v>
      </c>
      <c r="N28" s="89">
        <f t="shared" si="38"/>
        <v>3151841.0861099078</v>
      </c>
      <c r="O28" s="88">
        <f>M28*1.02</f>
        <v>298036.82172219822</v>
      </c>
      <c r="P28" s="88">
        <f>O28*1.02</f>
        <v>303997.55815664219</v>
      </c>
      <c r="Q28" s="88">
        <f t="shared" ref="Q28:Z28" si="74">P28*1.02</f>
        <v>310077.50931977504</v>
      </c>
      <c r="R28" s="88">
        <f t="shared" si="74"/>
        <v>316279.05950617057</v>
      </c>
      <c r="S28" s="88">
        <f t="shared" si="74"/>
        <v>322604.64069629397</v>
      </c>
      <c r="T28" s="88">
        <f t="shared" si="74"/>
        <v>329056.73351021984</v>
      </c>
      <c r="U28" s="88">
        <f t="shared" si="74"/>
        <v>335637.86818042427</v>
      </c>
      <c r="V28" s="88">
        <f t="shared" si="74"/>
        <v>342350.62554403278</v>
      </c>
      <c r="W28" s="88">
        <f t="shared" si="74"/>
        <v>349197.63805491343</v>
      </c>
      <c r="X28" s="88">
        <f t="shared" si="74"/>
        <v>356181.59081601171</v>
      </c>
      <c r="Y28" s="88">
        <f t="shared" si="74"/>
        <v>363305.22263233195</v>
      </c>
      <c r="Z28" s="88">
        <f t="shared" si="74"/>
        <v>370571.32708497858</v>
      </c>
      <c r="AA28" s="89">
        <f t="shared" si="49"/>
        <v>3997296.5952239921</v>
      </c>
      <c r="AB28" s="88">
        <f>Z28*1.02</f>
        <v>377982.75362667814</v>
      </c>
      <c r="AC28" s="88">
        <f>AB28*1.02</f>
        <v>385542.40869921172</v>
      </c>
      <c r="AD28" s="88">
        <f>AC28*1.02</f>
        <v>393253.25687319599</v>
      </c>
      <c r="AE28" s="88">
        <f t="shared" ref="AE28:AM28" si="75">AD28*1.02</f>
        <v>401118.3220106599</v>
      </c>
      <c r="AF28" s="88">
        <f t="shared" si="75"/>
        <v>409140.68845087313</v>
      </c>
      <c r="AG28" s="88">
        <f t="shared" si="75"/>
        <v>417323.50221989059</v>
      </c>
      <c r="AH28" s="88">
        <f t="shared" si="75"/>
        <v>425669.9722642884</v>
      </c>
      <c r="AI28" s="88">
        <f t="shared" si="75"/>
        <v>434183.37170957419</v>
      </c>
      <c r="AJ28" s="88">
        <f t="shared" si="75"/>
        <v>442867.03914376569</v>
      </c>
      <c r="AK28" s="88">
        <f t="shared" si="75"/>
        <v>451724.37992664101</v>
      </c>
      <c r="AL28" s="88">
        <f t="shared" si="75"/>
        <v>460758.86752517382</v>
      </c>
      <c r="AM28" s="88">
        <f t="shared" si="75"/>
        <v>469974.04487567733</v>
      </c>
      <c r="AN28" s="89">
        <f t="shared" si="51"/>
        <v>5069538.6073256303</v>
      </c>
    </row>
    <row r="29" spans="1:40" ht="26.25" customHeight="1">
      <c r="A29" s="6" t="s">
        <v>261</v>
      </c>
      <c r="B29" s="88">
        <v>0</v>
      </c>
      <c r="C29" s="88">
        <v>0</v>
      </c>
      <c r="D29" s="88">
        <v>0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K29" s="88">
        <v>0</v>
      </c>
      <c r="L29" s="88">
        <v>0</v>
      </c>
      <c r="M29" s="88">
        <v>0</v>
      </c>
      <c r="N29" s="89">
        <f t="shared" si="38"/>
        <v>0</v>
      </c>
      <c r="O29" s="88">
        <f>8500*1.24</f>
        <v>10540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8">
        <v>0</v>
      </c>
      <c r="W29" s="88">
        <v>0</v>
      </c>
      <c r="X29" s="88">
        <v>0</v>
      </c>
      <c r="Y29" s="88">
        <v>0</v>
      </c>
      <c r="Z29" s="88">
        <v>0</v>
      </c>
      <c r="AA29" s="89">
        <f t="shared" si="49"/>
        <v>10540</v>
      </c>
      <c r="AB29" s="88">
        <f>O29*1.24</f>
        <v>13069.6</v>
      </c>
      <c r="AC29" s="88">
        <v>0</v>
      </c>
      <c r="AD29" s="88">
        <v>0</v>
      </c>
      <c r="AE29" s="88">
        <v>0</v>
      </c>
      <c r="AF29" s="88">
        <v>0</v>
      </c>
      <c r="AG29" s="88">
        <v>0</v>
      </c>
      <c r="AH29" s="88">
        <v>0</v>
      </c>
      <c r="AI29" s="88">
        <v>0</v>
      </c>
      <c r="AJ29" s="88">
        <v>0</v>
      </c>
      <c r="AK29" s="88">
        <v>0</v>
      </c>
      <c r="AL29" s="88">
        <v>0</v>
      </c>
      <c r="AM29" s="88">
        <v>0</v>
      </c>
      <c r="AN29" s="89">
        <f t="shared" si="51"/>
        <v>13069.6</v>
      </c>
    </row>
    <row r="30" spans="1:40" ht="26.25" customHeight="1">
      <c r="A30" s="6" t="s">
        <v>95</v>
      </c>
      <c r="B30" s="88">
        <v>0</v>
      </c>
      <c r="C30" s="88">
        <v>0</v>
      </c>
      <c r="D30" s="88">
        <v>0</v>
      </c>
      <c r="E30" s="88">
        <v>0</v>
      </c>
      <c r="F30" s="88">
        <v>0</v>
      </c>
      <c r="G30" s="88">
        <v>0</v>
      </c>
      <c r="H30" s="88">
        <v>193000</v>
      </c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9">
        <f t="shared" si="38"/>
        <v>193000</v>
      </c>
      <c r="O30" s="88">
        <f>H30*1.12</f>
        <v>216160.00000000003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f>O30*1.12</f>
        <v>242099.20000000007</v>
      </c>
      <c r="V30" s="88">
        <v>0</v>
      </c>
      <c r="W30" s="88">
        <v>0</v>
      </c>
      <c r="X30" s="88">
        <v>0</v>
      </c>
      <c r="Y30" s="88">
        <v>0</v>
      </c>
      <c r="Z30" s="88">
        <v>0</v>
      </c>
      <c r="AA30" s="89">
        <f t="shared" si="49"/>
        <v>458259.20000000007</v>
      </c>
      <c r="AB30" s="88">
        <f>U30*1.12</f>
        <v>271151.10400000011</v>
      </c>
      <c r="AC30" s="88">
        <v>0</v>
      </c>
      <c r="AD30" s="88">
        <v>0</v>
      </c>
      <c r="AE30" s="88">
        <v>0</v>
      </c>
      <c r="AF30" s="88">
        <v>0</v>
      </c>
      <c r="AG30" s="88">
        <v>0</v>
      </c>
      <c r="AH30" s="88">
        <f>AB30*1.12</f>
        <v>303689.23648000014</v>
      </c>
      <c r="AI30" s="88">
        <v>0</v>
      </c>
      <c r="AJ30" s="88">
        <v>0</v>
      </c>
      <c r="AK30" s="88">
        <v>0</v>
      </c>
      <c r="AL30" s="88">
        <v>0</v>
      </c>
      <c r="AM30" s="88">
        <v>0</v>
      </c>
      <c r="AN30" s="89">
        <f t="shared" si="51"/>
        <v>574840.34048000025</v>
      </c>
    </row>
    <row r="31" spans="1:40" ht="26.25" customHeight="1">
      <c r="A31" s="6" t="s">
        <v>262</v>
      </c>
      <c r="B31" s="88">
        <v>1250000</v>
      </c>
      <c r="C31" s="88">
        <f>B31*1.02</f>
        <v>1275000</v>
      </c>
      <c r="D31" s="88">
        <f t="shared" ref="D31:M31" si="76">C31*1.02</f>
        <v>1300500</v>
      </c>
      <c r="E31" s="88">
        <f t="shared" si="76"/>
        <v>1326510</v>
      </c>
      <c r="F31" s="88">
        <f t="shared" si="76"/>
        <v>1353040.2</v>
      </c>
      <c r="G31" s="88">
        <f t="shared" si="76"/>
        <v>1380101.004</v>
      </c>
      <c r="H31" s="88">
        <f t="shared" si="76"/>
        <v>1407703.0240799999</v>
      </c>
      <c r="I31" s="88">
        <f t="shared" si="76"/>
        <v>1435857.0845615999</v>
      </c>
      <c r="J31" s="88">
        <f t="shared" si="76"/>
        <v>1464574.226252832</v>
      </c>
      <c r="K31" s="88">
        <f t="shared" si="76"/>
        <v>1493865.7107778885</v>
      </c>
      <c r="L31" s="88">
        <f t="shared" si="76"/>
        <v>1523743.0249934464</v>
      </c>
      <c r="M31" s="88">
        <f t="shared" si="76"/>
        <v>1554217.8854933153</v>
      </c>
      <c r="N31" s="89">
        <f t="shared" si="38"/>
        <v>16765112.160159081</v>
      </c>
      <c r="O31" s="88">
        <f>M31*1.02</f>
        <v>1585302.2432031815</v>
      </c>
      <c r="P31" s="88">
        <f>O31*1.02</f>
        <v>1617008.2880672452</v>
      </c>
      <c r="Q31" s="88">
        <f t="shared" ref="Q31:Z31" si="77">P31*1.02</f>
        <v>1649348.45382859</v>
      </c>
      <c r="R31" s="88">
        <f t="shared" si="77"/>
        <v>1682335.4229051617</v>
      </c>
      <c r="S31" s="88">
        <f t="shared" si="77"/>
        <v>1715982.131363265</v>
      </c>
      <c r="T31" s="88">
        <f t="shared" si="77"/>
        <v>1750301.7739905303</v>
      </c>
      <c r="U31" s="88">
        <f t="shared" si="77"/>
        <v>1785307.8094703408</v>
      </c>
      <c r="V31" s="88">
        <f t="shared" si="77"/>
        <v>1821013.9656597476</v>
      </c>
      <c r="W31" s="88">
        <f t="shared" si="77"/>
        <v>1857434.2449729426</v>
      </c>
      <c r="X31" s="88">
        <f t="shared" si="77"/>
        <v>1894582.9298724015</v>
      </c>
      <c r="Y31" s="88">
        <f t="shared" si="77"/>
        <v>1932474.5884698497</v>
      </c>
      <c r="Z31" s="88">
        <f t="shared" si="77"/>
        <v>1971124.0802392466</v>
      </c>
      <c r="AA31" s="89">
        <f t="shared" si="49"/>
        <v>21262215.932042502</v>
      </c>
      <c r="AB31" s="88">
        <f>Z31*1.02</f>
        <v>2010546.5618440316</v>
      </c>
      <c r="AC31" s="88">
        <f>AB31*1.02</f>
        <v>2050757.4930809122</v>
      </c>
      <c r="AD31" s="88">
        <f t="shared" ref="AD31:AM31" si="78">AC31*1.02</f>
        <v>2091772.6429425303</v>
      </c>
      <c r="AE31" s="88">
        <f t="shared" si="78"/>
        <v>2133608.0958013809</v>
      </c>
      <c r="AF31" s="88">
        <f t="shared" si="78"/>
        <v>2176280.2577174087</v>
      </c>
      <c r="AG31" s="88">
        <f t="shared" si="78"/>
        <v>2219805.8628717568</v>
      </c>
      <c r="AH31" s="88">
        <f t="shared" si="78"/>
        <v>2264201.9801291921</v>
      </c>
      <c r="AI31" s="88">
        <f t="shared" si="78"/>
        <v>2309486.0197317759</v>
      </c>
      <c r="AJ31" s="88">
        <f t="shared" si="78"/>
        <v>2355675.7401264114</v>
      </c>
      <c r="AK31" s="88">
        <f t="shared" si="78"/>
        <v>2402789.2549289395</v>
      </c>
      <c r="AL31" s="88">
        <f t="shared" si="78"/>
        <v>2450845.0400275183</v>
      </c>
      <c r="AM31" s="88">
        <f t="shared" si="78"/>
        <v>2499861.9408280686</v>
      </c>
      <c r="AN31" s="89">
        <f t="shared" si="51"/>
        <v>26965630.890029926</v>
      </c>
    </row>
    <row r="32" spans="1:40" ht="26.25" customHeight="1">
      <c r="A32" s="6" t="s">
        <v>263</v>
      </c>
      <c r="B32" s="88">
        <f>1566600*3</f>
        <v>4699800</v>
      </c>
      <c r="C32" s="88">
        <f>(1566600*4)*1.02</f>
        <v>6391728</v>
      </c>
      <c r="D32" s="88">
        <f>(1566600*5)*1.04</f>
        <v>8146320</v>
      </c>
      <c r="E32" s="88">
        <f>(1566600*3)*1.06</f>
        <v>4981788</v>
      </c>
      <c r="F32" s="88">
        <f>(1566600*4)*1.08</f>
        <v>6767712</v>
      </c>
      <c r="G32" s="88">
        <f>(1566600*3)*1.1</f>
        <v>5169780</v>
      </c>
      <c r="H32" s="88">
        <f>(1566600*3)*1.12</f>
        <v>5263776.0000000009</v>
      </c>
      <c r="I32" s="88">
        <f>(1566600*3)*1.14</f>
        <v>5357772</v>
      </c>
      <c r="J32" s="88">
        <f>(1566600*4.5)*1.16</f>
        <v>8177651.9999999991</v>
      </c>
      <c r="K32" s="88">
        <f>(1566600*4)*1.18</f>
        <v>7394352</v>
      </c>
      <c r="L32" s="88">
        <f>(1566600*3)*1.2</f>
        <v>5639760</v>
      </c>
      <c r="M32" s="88">
        <f>(1566600*2)*1.22</f>
        <v>3822504</v>
      </c>
      <c r="N32" s="89">
        <f t="shared" si="38"/>
        <v>71812944</v>
      </c>
      <c r="O32" s="88">
        <f>B32*1.24</f>
        <v>5827752</v>
      </c>
      <c r="P32" s="88">
        <f t="shared" ref="P32:Z32" si="79">C32*1.24</f>
        <v>7925742.7199999997</v>
      </c>
      <c r="Q32" s="88">
        <f t="shared" si="79"/>
        <v>10101436.800000001</v>
      </c>
      <c r="R32" s="88">
        <f t="shared" si="79"/>
        <v>6177417.1200000001</v>
      </c>
      <c r="S32" s="88">
        <f t="shared" si="79"/>
        <v>8391962.8800000008</v>
      </c>
      <c r="T32" s="88">
        <f t="shared" si="79"/>
        <v>6410527.2000000002</v>
      </c>
      <c r="U32" s="88">
        <f t="shared" si="79"/>
        <v>6527082.2400000012</v>
      </c>
      <c r="V32" s="88">
        <f t="shared" si="79"/>
        <v>6643637.2800000003</v>
      </c>
      <c r="W32" s="88">
        <f t="shared" si="79"/>
        <v>10140288.479999999</v>
      </c>
      <c r="X32" s="88">
        <f t="shared" si="79"/>
        <v>9168996.4800000004</v>
      </c>
      <c r="Y32" s="88">
        <f t="shared" si="79"/>
        <v>6993302.4000000004</v>
      </c>
      <c r="Z32" s="88">
        <f t="shared" si="79"/>
        <v>4739904.96</v>
      </c>
      <c r="AA32" s="89">
        <f t="shared" si="49"/>
        <v>89048050.560000017</v>
      </c>
      <c r="AB32" s="88">
        <f>B32*1.48</f>
        <v>6955704</v>
      </c>
      <c r="AC32" s="88">
        <f t="shared" ref="AC32:AM32" si="80">C32*1.48</f>
        <v>9459757.4399999995</v>
      </c>
      <c r="AD32" s="88">
        <f t="shared" si="80"/>
        <v>12056553.6</v>
      </c>
      <c r="AE32" s="88">
        <f t="shared" si="80"/>
        <v>7373046.2400000002</v>
      </c>
      <c r="AF32" s="88">
        <f t="shared" si="80"/>
        <v>10016213.76</v>
      </c>
      <c r="AG32" s="88">
        <f t="shared" si="80"/>
        <v>7651274.4000000004</v>
      </c>
      <c r="AH32" s="88">
        <f t="shared" si="80"/>
        <v>7790388.4800000014</v>
      </c>
      <c r="AI32" s="88">
        <f t="shared" si="80"/>
        <v>7929502.5599999996</v>
      </c>
      <c r="AJ32" s="88">
        <f t="shared" si="80"/>
        <v>12102924.959999999</v>
      </c>
      <c r="AK32" s="88">
        <f t="shared" si="80"/>
        <v>10943640.959999999</v>
      </c>
      <c r="AL32" s="88">
        <f t="shared" si="80"/>
        <v>8346844.7999999998</v>
      </c>
      <c r="AM32" s="88">
        <f t="shared" si="80"/>
        <v>5657305.9199999999</v>
      </c>
      <c r="AN32" s="89">
        <f t="shared" si="51"/>
        <v>106283157.11999999</v>
      </c>
    </row>
    <row r="33" spans="1:40" ht="26.25" customHeight="1">
      <c r="A33" s="6" t="s">
        <v>264</v>
      </c>
      <c r="B33" s="88">
        <v>2000000</v>
      </c>
      <c r="C33" s="88">
        <v>2000000</v>
      </c>
      <c r="D33" s="88">
        <v>2000000</v>
      </c>
      <c r="E33" s="88">
        <v>2000000</v>
      </c>
      <c r="F33" s="88">
        <v>2000000</v>
      </c>
      <c r="G33" s="88">
        <v>2000000</v>
      </c>
      <c r="H33" s="88">
        <v>2000000</v>
      </c>
      <c r="I33" s="88">
        <v>2000000</v>
      </c>
      <c r="J33" s="88">
        <v>2000000</v>
      </c>
      <c r="K33" s="88">
        <v>2000000</v>
      </c>
      <c r="L33" s="88">
        <v>2000000</v>
      </c>
      <c r="M33" s="88">
        <v>2000000</v>
      </c>
      <c r="N33" s="89">
        <f t="shared" si="38"/>
        <v>24000000</v>
      </c>
      <c r="O33" s="88">
        <v>5000000</v>
      </c>
      <c r="P33" s="88">
        <v>5000000</v>
      </c>
      <c r="Q33" s="88">
        <v>6000000</v>
      </c>
      <c r="R33" s="88">
        <v>6000000</v>
      </c>
      <c r="S33" s="88">
        <v>8000000</v>
      </c>
      <c r="T33" s="88">
        <v>8000000</v>
      </c>
      <c r="U33" s="88">
        <v>10000000</v>
      </c>
      <c r="V33" s="88">
        <v>10000000</v>
      </c>
      <c r="W33" s="88">
        <v>12000000</v>
      </c>
      <c r="X33" s="88">
        <v>12000000</v>
      </c>
      <c r="Y33" s="88">
        <v>14000000</v>
      </c>
      <c r="Z33" s="88">
        <v>14000000</v>
      </c>
      <c r="AA33" s="89">
        <f t="shared" si="49"/>
        <v>110000000</v>
      </c>
      <c r="AB33" s="88">
        <v>10000000</v>
      </c>
      <c r="AC33" s="88">
        <v>10000000</v>
      </c>
      <c r="AD33" s="88">
        <v>10000000</v>
      </c>
      <c r="AE33" s="88">
        <v>10000000</v>
      </c>
      <c r="AF33" s="88">
        <v>10000000</v>
      </c>
      <c r="AG33" s="88">
        <v>10000000</v>
      </c>
      <c r="AH33" s="88">
        <v>10000000</v>
      </c>
      <c r="AI33" s="88">
        <v>10000000</v>
      </c>
      <c r="AJ33" s="88">
        <v>10000000</v>
      </c>
      <c r="AK33" s="88">
        <v>10000000</v>
      </c>
      <c r="AL33" s="88">
        <v>10000000</v>
      </c>
      <c r="AM33" s="88">
        <v>10000000</v>
      </c>
      <c r="AN33" s="89">
        <f t="shared" si="51"/>
        <v>120000000</v>
      </c>
    </row>
    <row r="34" spans="1:40" ht="26.25" customHeight="1">
      <c r="A34" s="6" t="s">
        <v>265</v>
      </c>
      <c r="B34" s="88">
        <v>72600</v>
      </c>
      <c r="C34" s="88">
        <f t="shared" ref="C34:M34" si="81">B34*1.02</f>
        <v>74052</v>
      </c>
      <c r="D34" s="88">
        <f t="shared" si="81"/>
        <v>75533.040000000008</v>
      </c>
      <c r="E34" s="88">
        <f t="shared" si="81"/>
        <v>77043.700800000006</v>
      </c>
      <c r="F34" s="88">
        <f t="shared" si="81"/>
        <v>78584.574816000008</v>
      </c>
      <c r="G34" s="88">
        <f t="shared" si="81"/>
        <v>80156.266312320004</v>
      </c>
      <c r="H34" s="88">
        <f t="shared" si="81"/>
        <v>81759.391638566405</v>
      </c>
      <c r="I34" s="88">
        <f t="shared" si="81"/>
        <v>83394.57947133774</v>
      </c>
      <c r="J34" s="88">
        <f t="shared" si="81"/>
        <v>85062.471060764496</v>
      </c>
      <c r="K34" s="88">
        <f t="shared" si="81"/>
        <v>86763.720481979792</v>
      </c>
      <c r="L34" s="88">
        <f t="shared" si="81"/>
        <v>88498.994891619383</v>
      </c>
      <c r="M34" s="88">
        <f t="shared" si="81"/>
        <v>90268.974789451779</v>
      </c>
      <c r="N34" s="89">
        <f t="shared" ref="N34:N45" si="82">SUM(B34:M34)</f>
        <v>973717.71426203975</v>
      </c>
      <c r="O34" s="88">
        <f>90268.97*1.02</f>
        <v>92074.349400000006</v>
      </c>
      <c r="P34" s="88">
        <f>O34*1.02</f>
        <v>93915.836388000011</v>
      </c>
      <c r="Q34" s="88">
        <f>P34*1.02</f>
        <v>95794.153115760011</v>
      </c>
      <c r="R34" s="88">
        <f>Q34*1.02</f>
        <v>97710.036178075214</v>
      </c>
      <c r="S34" s="88">
        <f>R34*1.02</f>
        <v>99664.236901636716</v>
      </c>
      <c r="T34" s="88">
        <f>S34*1.02</f>
        <v>101657.52163966944</v>
      </c>
      <c r="U34" s="88">
        <f>T34*1.02</f>
        <v>103690.67207246284</v>
      </c>
      <c r="V34" s="88">
        <f>U34*1.02</f>
        <v>105764.48551391209</v>
      </c>
      <c r="W34" s="88">
        <f>V34*1.02</f>
        <v>107879.77522419034</v>
      </c>
      <c r="X34" s="88">
        <f>W34*1.02</f>
        <v>110037.37072867414</v>
      </c>
      <c r="Y34" s="88">
        <f>X34*1.02</f>
        <v>112238.11814324763</v>
      </c>
      <c r="Z34" s="88">
        <f>Y34*1.02</f>
        <v>114482.88050611259</v>
      </c>
      <c r="AA34" s="89">
        <f t="shared" ref="AA34:AA44" si="83">SUM(O34:Z34)</f>
        <v>1234909.4358117408</v>
      </c>
      <c r="AB34" s="88">
        <f>114482.88*1.02</f>
        <v>116772.53760000001</v>
      </c>
      <c r="AC34" s="88">
        <f>AB34*1.02</f>
        <v>119107.98835200001</v>
      </c>
      <c r="AD34" s="88">
        <f>AC34*1.02</f>
        <v>121490.14811904002</v>
      </c>
      <c r="AE34" s="88">
        <f>AD34*1.02</f>
        <v>123919.95108142082</v>
      </c>
      <c r="AF34" s="88">
        <f>AE34*1.02</f>
        <v>126398.35010304923</v>
      </c>
      <c r="AG34" s="88">
        <f>AF34*1.02</f>
        <v>128926.31710511023</v>
      </c>
      <c r="AH34" s="88">
        <f>AG34*1.02</f>
        <v>131504.84344721242</v>
      </c>
      <c r="AI34" s="88">
        <f>AH34*1.02</f>
        <v>134134.94031615666</v>
      </c>
      <c r="AJ34" s="88">
        <f>AI34*1.02</f>
        <v>136817.6391224798</v>
      </c>
      <c r="AK34" s="88">
        <f>AJ34*1.02</f>
        <v>139553.9919049294</v>
      </c>
      <c r="AL34" s="88">
        <f>AK34*1.02</f>
        <v>142345.07174302798</v>
      </c>
      <c r="AM34" s="88">
        <f>AL34*1.02</f>
        <v>145191.97317788855</v>
      </c>
      <c r="AN34" s="89">
        <f t="shared" ref="AN34:AN44" si="84">SUM(AB34:AM34)</f>
        <v>1566163.7520723152</v>
      </c>
    </row>
    <row r="35" spans="1:40" ht="26.25" customHeight="1">
      <c r="A35" s="6" t="s">
        <v>266</v>
      </c>
      <c r="B35" s="88">
        <v>132614.44</v>
      </c>
      <c r="C35" s="88">
        <v>0</v>
      </c>
      <c r="D35" s="88">
        <v>132614.44</v>
      </c>
      <c r="E35" s="88">
        <v>0</v>
      </c>
      <c r="F35" s="88">
        <v>132614.44</v>
      </c>
      <c r="G35" s="88">
        <v>0</v>
      </c>
      <c r="H35" s="88">
        <v>132614.44</v>
      </c>
      <c r="I35" s="88">
        <v>0</v>
      </c>
      <c r="J35" s="88">
        <v>132614.44</v>
      </c>
      <c r="K35" s="88">
        <v>0</v>
      </c>
      <c r="L35" s="88">
        <v>0</v>
      </c>
      <c r="M35" s="88">
        <v>0</v>
      </c>
      <c r="N35" s="89">
        <f t="shared" si="82"/>
        <v>663072.19999999995</v>
      </c>
      <c r="O35" s="88">
        <f>B35*1.24</f>
        <v>164441.9056</v>
      </c>
      <c r="P35" s="88">
        <f t="shared" ref="P35:Z35" si="85">C35*1.24</f>
        <v>0</v>
      </c>
      <c r="Q35" s="88">
        <f t="shared" si="85"/>
        <v>164441.9056</v>
      </c>
      <c r="R35" s="88">
        <f t="shared" si="85"/>
        <v>0</v>
      </c>
      <c r="S35" s="88">
        <f t="shared" si="85"/>
        <v>164441.9056</v>
      </c>
      <c r="T35" s="88">
        <f t="shared" si="85"/>
        <v>0</v>
      </c>
      <c r="U35" s="88">
        <f t="shared" si="85"/>
        <v>164441.9056</v>
      </c>
      <c r="V35" s="88">
        <f t="shared" si="85"/>
        <v>0</v>
      </c>
      <c r="W35" s="88">
        <f t="shared" si="85"/>
        <v>164441.9056</v>
      </c>
      <c r="X35" s="88">
        <f t="shared" si="85"/>
        <v>0</v>
      </c>
      <c r="Y35" s="88">
        <f t="shared" si="85"/>
        <v>0</v>
      </c>
      <c r="Z35" s="88">
        <f t="shared" si="85"/>
        <v>0</v>
      </c>
      <c r="AA35" s="89">
        <f t="shared" si="83"/>
        <v>822209.52799999993</v>
      </c>
      <c r="AB35" s="88">
        <f>O35*1.24</f>
        <v>203907.962944</v>
      </c>
      <c r="AC35" s="88">
        <f t="shared" ref="AC35:AM35" si="86">P35*1.24</f>
        <v>0</v>
      </c>
      <c r="AD35" s="88">
        <f t="shared" si="86"/>
        <v>203907.962944</v>
      </c>
      <c r="AE35" s="88">
        <f t="shared" si="86"/>
        <v>0</v>
      </c>
      <c r="AF35" s="88">
        <f t="shared" si="86"/>
        <v>203907.962944</v>
      </c>
      <c r="AG35" s="88">
        <f t="shared" si="86"/>
        <v>0</v>
      </c>
      <c r="AH35" s="88">
        <f t="shared" si="86"/>
        <v>203907.962944</v>
      </c>
      <c r="AI35" s="88">
        <f t="shared" si="86"/>
        <v>0</v>
      </c>
      <c r="AJ35" s="88">
        <f t="shared" si="86"/>
        <v>203907.962944</v>
      </c>
      <c r="AK35" s="88">
        <f t="shared" si="86"/>
        <v>0</v>
      </c>
      <c r="AL35" s="88">
        <f t="shared" si="86"/>
        <v>0</v>
      </c>
      <c r="AM35" s="88">
        <f t="shared" si="86"/>
        <v>0</v>
      </c>
      <c r="AN35" s="89">
        <f t="shared" si="84"/>
        <v>1019539.81472</v>
      </c>
    </row>
    <row r="36" spans="1:40" ht="36" customHeight="1">
      <c r="A36" s="97" t="s">
        <v>267</v>
      </c>
      <c r="B36" s="88">
        <f>B11*0.02</f>
        <v>985567.45713</v>
      </c>
      <c r="C36" s="88">
        <f>C11*0.02</f>
        <v>921364.10516458098</v>
      </c>
      <c r="D36" s="88">
        <f>D11*0.02</f>
        <v>1208424.5133131356</v>
      </c>
      <c r="E36" s="88">
        <f>E11*0.02</f>
        <v>936679.24181999161</v>
      </c>
      <c r="F36" s="88">
        <f>F11*0.02</f>
        <v>932350.26435255446</v>
      </c>
      <c r="G36" s="88">
        <f>G11*0.02</f>
        <v>900040.67135394341</v>
      </c>
      <c r="H36" s="88">
        <f>H11*0.02</f>
        <v>932928.95818165399</v>
      </c>
      <c r="I36" s="88">
        <f>I11*0.02</f>
        <v>875124.47720859305</v>
      </c>
      <c r="J36" s="88">
        <f>J11*0.02</f>
        <v>1294900.4136325847</v>
      </c>
      <c r="K36" s="88">
        <f>K11*0.02</f>
        <v>1028023.2677472037</v>
      </c>
      <c r="L36" s="88">
        <f>L11*0.02</f>
        <v>1005535.6175751819</v>
      </c>
      <c r="M36" s="88">
        <f>M11*0.02</f>
        <v>771998.6722145247</v>
      </c>
      <c r="N36" s="89">
        <f t="shared" si="82"/>
        <v>11792937.659693947</v>
      </c>
      <c r="O36" s="88">
        <f>O11*0.02</f>
        <v>1432208.4476147587</v>
      </c>
      <c r="P36" s="88">
        <f>P11*0.02</f>
        <v>1334861.5238003684</v>
      </c>
      <c r="Q36" s="88">
        <f>Q11*0.02</f>
        <v>1799118.4468034874</v>
      </c>
      <c r="R36" s="88">
        <f>R11*0.02</f>
        <v>1417953.8663371077</v>
      </c>
      <c r="S36" s="88">
        <f>S11*0.02</f>
        <v>1451788.8683004647</v>
      </c>
      <c r="T36" s="88">
        <f>T11*0.02</f>
        <v>1430055.8787576016</v>
      </c>
      <c r="U36" s="88">
        <f>U11*0.02</f>
        <v>1504963.8297090628</v>
      </c>
      <c r="V36" s="88">
        <f>V11*0.02</f>
        <v>1434884.4560128634</v>
      </c>
      <c r="W36" s="88">
        <f>W11*0.02</f>
        <v>2063996.5653190331</v>
      </c>
      <c r="X36" s="88">
        <f>X11*0.02</f>
        <v>1700235.2118475614</v>
      </c>
      <c r="Y36" s="88">
        <f>Y11*0.02</f>
        <v>1725949.1088553963</v>
      </c>
      <c r="Z36" s="88">
        <f>Z11*0.02</f>
        <v>1376070.4700774006</v>
      </c>
      <c r="AA36" s="89">
        <f t="shared" si="83"/>
        <v>18672086.673435107</v>
      </c>
      <c r="AB36" s="88">
        <f>AB11*0.02</f>
        <v>2062252.4588722831</v>
      </c>
      <c r="AC36" s="88">
        <f>AC11*0.02</f>
        <v>1884022.6178242189</v>
      </c>
      <c r="AD36" s="88">
        <f>AD11*0.02</f>
        <v>2527222.6178242187</v>
      </c>
      <c r="AE36" s="88">
        <f>AE11*0.02</f>
        <v>1691074.9289797822</v>
      </c>
      <c r="AF36" s="88">
        <f>AF11*0.02</f>
        <v>1876600.9861725888</v>
      </c>
      <c r="AG36" s="88">
        <f>AG11*0.02</f>
        <v>1846374.0646685336</v>
      </c>
      <c r="AH36" s="88">
        <f>AH11*0.02</f>
        <v>1916800.5576224513</v>
      </c>
      <c r="AI36" s="88">
        <f>AI11*0.02</f>
        <v>1913344.6374431616</v>
      </c>
      <c r="AJ36" s="88">
        <f>AJ11*0.02</f>
        <v>2751615.6499705543</v>
      </c>
      <c r="AK36" s="88">
        <f>AK11*0.02</f>
        <v>1988933.7011315152</v>
      </c>
      <c r="AL36" s="88">
        <f>AL11*0.02</f>
        <v>2304062.647743864</v>
      </c>
      <c r="AM36" s="88">
        <f>AM11*0.02</f>
        <v>1641166.7051151404</v>
      </c>
      <c r="AN36" s="89">
        <f t="shared" si="84"/>
        <v>24403471.573368311</v>
      </c>
    </row>
    <row r="37" spans="1:40" ht="36" customHeight="1">
      <c r="A37" s="97" t="s">
        <v>268</v>
      </c>
      <c r="B37" s="88">
        <f>B11*0.03</f>
        <v>1478351.185695</v>
      </c>
      <c r="C37" s="88">
        <f>C11*0.03</f>
        <v>1382046.1577468715</v>
      </c>
      <c r="D37" s="88">
        <f>D11*0.03</f>
        <v>1812636.7699697032</v>
      </c>
      <c r="E37" s="88">
        <f>E11*0.03</f>
        <v>1405018.8627299874</v>
      </c>
      <c r="F37" s="88">
        <f>F11*0.03</f>
        <v>1398525.3965288315</v>
      </c>
      <c r="G37" s="88">
        <f>G11*0.03</f>
        <v>1350061.007030915</v>
      </c>
      <c r="H37" s="88">
        <f>H11*0.03</f>
        <v>1399393.4372724809</v>
      </c>
      <c r="I37" s="88">
        <f>I11*0.03</f>
        <v>1312686.7158128896</v>
      </c>
      <c r="J37" s="88">
        <f>J11*0.03</f>
        <v>1942350.6204488769</v>
      </c>
      <c r="K37" s="88">
        <f>K11*0.03</f>
        <v>1542034.9016208055</v>
      </c>
      <c r="L37" s="88">
        <f>L11*0.03</f>
        <v>1508303.4263627727</v>
      </c>
      <c r="M37" s="88">
        <f>M11*0.03</f>
        <v>1157998.008321787</v>
      </c>
      <c r="N37" s="89">
        <f t="shared" si="82"/>
        <v>17689406.489540923</v>
      </c>
      <c r="O37" s="88">
        <f>O11*0.03</f>
        <v>2148312.6714221379</v>
      </c>
      <c r="P37" s="88">
        <f>P11*0.03</f>
        <v>2002292.2857005526</v>
      </c>
      <c r="Q37" s="88">
        <f>Q11*0.03</f>
        <v>2698677.6702052308</v>
      </c>
      <c r="R37" s="88">
        <f>R11*0.03</f>
        <v>2126930.7995056617</v>
      </c>
      <c r="S37" s="88">
        <f>S11*0.03</f>
        <v>2177683.3024506969</v>
      </c>
      <c r="T37" s="88">
        <f>T11*0.03</f>
        <v>2145083.8181364024</v>
      </c>
      <c r="U37" s="88">
        <f>U11*0.03</f>
        <v>2257445.7445635945</v>
      </c>
      <c r="V37" s="88">
        <f>V11*0.03</f>
        <v>2152326.684019295</v>
      </c>
      <c r="W37" s="88">
        <f>W11*0.03</f>
        <v>3095994.8479785495</v>
      </c>
      <c r="X37" s="88">
        <f>X11*0.03</f>
        <v>2550352.8177713417</v>
      </c>
      <c r="Y37" s="88">
        <f>Y11*0.03</f>
        <v>2588923.6632830943</v>
      </c>
      <c r="Z37" s="88">
        <f>Z11*0.03</f>
        <v>2064105.7051161006</v>
      </c>
      <c r="AA37" s="89">
        <f t="shared" si="83"/>
        <v>28008130.010152657</v>
      </c>
      <c r="AB37" s="88">
        <f>AB11*0.03</f>
        <v>3093378.6883084243</v>
      </c>
      <c r="AC37" s="88">
        <f>AC11*0.03</f>
        <v>2826033.9267363283</v>
      </c>
      <c r="AD37" s="88">
        <f>AD11*0.03</f>
        <v>3790833.9267363283</v>
      </c>
      <c r="AE37" s="88">
        <f>AE11*0.03</f>
        <v>2536612.3934696731</v>
      </c>
      <c r="AF37" s="88">
        <f>AF11*0.03</f>
        <v>2814901.4792588828</v>
      </c>
      <c r="AG37" s="88">
        <f>AG11*0.03</f>
        <v>2769561.0970028001</v>
      </c>
      <c r="AH37" s="88">
        <f>AH11*0.03</f>
        <v>2875200.8364336765</v>
      </c>
      <c r="AI37" s="88">
        <f>AI11*0.03</f>
        <v>2870016.9561647424</v>
      </c>
      <c r="AJ37" s="88">
        <f>AJ11*0.03</f>
        <v>4127423.4749558312</v>
      </c>
      <c r="AK37" s="88">
        <f>AK11*0.03</f>
        <v>2983400.5516972728</v>
      </c>
      <c r="AL37" s="88">
        <f>AL11*0.03</f>
        <v>3456093.971615796</v>
      </c>
      <c r="AM37" s="88">
        <f>AM11*0.03</f>
        <v>2461750.0576727106</v>
      </c>
      <c r="AN37" s="89">
        <f t="shared" si="84"/>
        <v>36605207.360052466</v>
      </c>
    </row>
    <row r="38" spans="1:40" ht="36" customHeight="1">
      <c r="A38" s="97" t="s">
        <v>269</v>
      </c>
      <c r="B38" s="88">
        <f>SUM(B13:B37)*0.006</f>
        <v>237549.38951694997</v>
      </c>
      <c r="C38" s="88">
        <f>SUM(C13:C37)*0.006</f>
        <v>253356.60201786878</v>
      </c>
      <c r="D38" s="88">
        <f>SUM(D13:D37)*0.006</f>
        <v>288350.67267690506</v>
      </c>
      <c r="E38" s="88">
        <f>SUM(E13:E37)*0.006</f>
        <v>250275.62422725209</v>
      </c>
      <c r="F38" s="88">
        <f>SUM(F13:F37)*0.006</f>
        <v>261829.52995723952</v>
      </c>
      <c r="G38" s="88">
        <f>SUM(G13:G37)*0.006</f>
        <v>250968.64548129938</v>
      </c>
      <c r="H38" s="88">
        <f>SUM(H13:H37)*0.006</f>
        <v>256080.3857719349</v>
      </c>
      <c r="I38" s="88">
        <f>SUM(I13:I37)*0.006</f>
        <v>257673.33918052318</v>
      </c>
      <c r="J38" s="88">
        <f>SUM(J13:J37)*0.006</f>
        <v>315420.84560333099</v>
      </c>
      <c r="K38" s="88">
        <f>SUM(K13:K37)*0.006</f>
        <v>289353.18097422703</v>
      </c>
      <c r="L38" s="88">
        <f>SUM(L13:L37)*0.006</f>
        <v>286821.00281280722</v>
      </c>
      <c r="M38" s="88">
        <f>SUM(M13:M37)*0.006</f>
        <v>258487.94240338079</v>
      </c>
      <c r="N38" s="89">
        <f t="shared" si="82"/>
        <v>3206167.160623719</v>
      </c>
      <c r="O38" s="88">
        <f>SUM(O13:O37)*0.006</f>
        <v>337802.47827723774</v>
      </c>
      <c r="P38" s="88">
        <f>SUM(P13:P37)*0.006</f>
        <v>341977.56882901024</v>
      </c>
      <c r="Q38" s="88">
        <f>SUM(Q13:Q37)*0.006</f>
        <v>395828.87702069705</v>
      </c>
      <c r="R38" s="88">
        <f>SUM(R13:R37)*0.006</f>
        <v>345697.35024180228</v>
      </c>
      <c r="S38" s="88">
        <f>SUM(S13:S37)*0.006</f>
        <v>372044.85885538766</v>
      </c>
      <c r="T38" s="88">
        <f>SUM(T13:T37)*0.006</f>
        <v>358702.16500099027</v>
      </c>
      <c r="U38" s="88">
        <f>SUM(U13:U37)*0.006</f>
        <v>376588.08873125474</v>
      </c>
      <c r="V38" s="88">
        <f>SUM(V13:V37)*0.006</f>
        <v>378574.73821245215</v>
      </c>
      <c r="W38" s="88">
        <f>SUM(W13:W37)*0.006</f>
        <v>467461.17188748991</v>
      </c>
      <c r="X38" s="88">
        <f>SUM(X13:X37)*0.006</f>
        <v>431996.36337369989</v>
      </c>
      <c r="Y38" s="88">
        <f>SUM(Y13:Y37)*0.006</f>
        <v>442166.24679513718</v>
      </c>
      <c r="Z38" s="88">
        <f>SUM(Z13:Z37)*0.006</f>
        <v>403427.03960871347</v>
      </c>
      <c r="AA38" s="89">
        <f t="shared" si="83"/>
        <v>4652266.9468338732</v>
      </c>
      <c r="AB38" s="88">
        <f>SUM(AB13:AB37)*0.006</f>
        <v>495206.84379726532</v>
      </c>
      <c r="AC38" s="88">
        <f>SUM(AC13:AC37)*0.006</f>
        <v>495799.62400613085</v>
      </c>
      <c r="AD38" s="88">
        <f>SUM(AD13:AD37)*0.006</f>
        <v>558751.89012177021</v>
      </c>
      <c r="AE38" s="88">
        <f>SUM(AE13:AE37)*0.006</f>
        <v>491388.64913697453</v>
      </c>
      <c r="AF38" s="88">
        <f>SUM(AF13:AF37)*0.006</f>
        <v>511077.12799177604</v>
      </c>
      <c r="AG38" s="88">
        <f>SUM(AG13:AG37)*0.006</f>
        <v>494964.3828967819</v>
      </c>
      <c r="AH38" s="88">
        <f>SUM(AH13:AH37)*0.006</f>
        <v>502664.73987016949</v>
      </c>
      <c r="AI38" s="88">
        <f>SUM(AI13:AI37)*0.006</f>
        <v>507198.75377152197</v>
      </c>
      <c r="AJ38" s="88">
        <f>SUM(AJ13:AJ37)*0.006</f>
        <v>606025.25827409443</v>
      </c>
      <c r="AK38" s="88">
        <f>SUM(AK13:AK37)*0.006</f>
        <v>556534.3351595822</v>
      </c>
      <c r="AL38" s="88">
        <f>SUM(AL13:AL37)*0.006</f>
        <v>560411.6390844197</v>
      </c>
      <c r="AM38" s="88">
        <f>SUM(AM13:AM37)*0.006</f>
        <v>508307.28172435408</v>
      </c>
      <c r="AN38" s="89">
        <f t="shared" si="84"/>
        <v>6288330.5258348417</v>
      </c>
    </row>
    <row r="39" spans="1:40" ht="36" customHeight="1">
      <c r="A39" s="97" t="s">
        <v>270</v>
      </c>
      <c r="B39" s="88">
        <f>B11*0.006</f>
        <v>295670.23713900003</v>
      </c>
      <c r="C39" s="88">
        <f>C11*0.006</f>
        <v>276409.23154937429</v>
      </c>
      <c r="D39" s="88">
        <f>D11*0.006</f>
        <v>362527.35399394063</v>
      </c>
      <c r="E39" s="88">
        <f>E11*0.006</f>
        <v>281003.77254599752</v>
      </c>
      <c r="F39" s="88">
        <f>F11*0.006</f>
        <v>279705.07930576632</v>
      </c>
      <c r="G39" s="88">
        <f>G11*0.006</f>
        <v>270012.20140618301</v>
      </c>
      <c r="H39" s="88">
        <f>H11*0.006</f>
        <v>279878.68745449616</v>
      </c>
      <c r="I39" s="88">
        <f>I11*0.006</f>
        <v>262537.34316257789</v>
      </c>
      <c r="J39" s="88">
        <f>J11*0.006</f>
        <v>388470.12408977543</v>
      </c>
      <c r="K39" s="88">
        <f>K11*0.006</f>
        <v>308406.98032416112</v>
      </c>
      <c r="L39" s="88">
        <f>L11*0.006</f>
        <v>301660.68527255458</v>
      </c>
      <c r="M39" s="88">
        <f>M11*0.006</f>
        <v>231599.60166435744</v>
      </c>
      <c r="N39" s="89">
        <f t="shared" si="82"/>
        <v>3537881.2979081846</v>
      </c>
      <c r="O39" s="88">
        <f>O11*0.006</f>
        <v>429662.53428442759</v>
      </c>
      <c r="P39" s="88">
        <f>P11*0.006</f>
        <v>400458.45714011055</v>
      </c>
      <c r="Q39" s="88">
        <f>Q11*0.006</f>
        <v>539735.53404104616</v>
      </c>
      <c r="R39" s="88">
        <f>R11*0.006</f>
        <v>425386.15990113234</v>
      </c>
      <c r="S39" s="88">
        <f>S11*0.006</f>
        <v>435536.66049013945</v>
      </c>
      <c r="T39" s="88">
        <f>T11*0.006</f>
        <v>429016.76362728054</v>
      </c>
      <c r="U39" s="88">
        <f>U11*0.006</f>
        <v>451489.14891271887</v>
      </c>
      <c r="V39" s="88">
        <f>V11*0.006</f>
        <v>430465.33680385904</v>
      </c>
      <c r="W39" s="88">
        <f>W11*0.006</f>
        <v>619198.96959570993</v>
      </c>
      <c r="X39" s="88">
        <f>X11*0.006</f>
        <v>510070.56355426839</v>
      </c>
      <c r="Y39" s="88">
        <f>Y11*0.006</f>
        <v>517784.73265661887</v>
      </c>
      <c r="Z39" s="88">
        <f>Z11*0.006</f>
        <v>412821.14102322015</v>
      </c>
      <c r="AA39" s="89">
        <f t="shared" si="83"/>
        <v>5601626.0020305319</v>
      </c>
      <c r="AB39" s="88">
        <f>SUM(AB14:AB38)*0.006</f>
        <v>377545.29114940698</v>
      </c>
      <c r="AC39" s="88">
        <f>SUM(AC14:AC38)*0.006</f>
        <v>375728.97216531273</v>
      </c>
      <c r="AD39" s="88">
        <f>SUM(AD14:AD38)*0.006</f>
        <v>436598.0428859489</v>
      </c>
      <c r="AE39" s="88">
        <f>SUM(AE14:AE38)*0.006</f>
        <v>366320.49528371339</v>
      </c>
      <c r="AF39" s="88">
        <f>SUM(AF14:AF38)*0.006</f>
        <v>383566.77529668208</v>
      </c>
      <c r="AG39" s="88">
        <f>SUM(AG14:AG38)*0.006</f>
        <v>364745.81742185692</v>
      </c>
      <c r="AH39" s="88">
        <f>SUM(AH14:AH38)*0.006</f>
        <v>369828.60950163903</v>
      </c>
      <c r="AI39" s="88">
        <f>SUM(AI14:AI38)*0.006</f>
        <v>371672.78511024453</v>
      </c>
      <c r="AJ39" s="88">
        <f>SUM(AJ14:AJ38)*0.006</f>
        <v>468320.86541615415</v>
      </c>
      <c r="AK39" s="88">
        <f>SUM(AK14:AK38)*0.006</f>
        <v>415706.18587480334</v>
      </c>
      <c r="AL39" s="88">
        <f>SUM(AL14:AL38)*0.006</f>
        <v>416723.40651727503</v>
      </c>
      <c r="AM39" s="88">
        <f>SUM(AM14:AM38)*0.006</f>
        <v>361365.40896501596</v>
      </c>
      <c r="AN39" s="89">
        <f t="shared" si="84"/>
        <v>4708122.6555880532</v>
      </c>
    </row>
    <row r="40" spans="1:40" ht="26.25" customHeight="1">
      <c r="A40" s="94" t="s">
        <v>271</v>
      </c>
      <c r="B40" s="95">
        <f>SUM(B13:B39)</f>
        <v>40124784.546147615</v>
      </c>
      <c r="C40" s="95">
        <f>SUM(C13:C39)</f>
        <v>42755866.169878706</v>
      </c>
      <c r="D40" s="95">
        <f>SUM(D13:D39)</f>
        <v>48709323.472821683</v>
      </c>
      <c r="E40" s="95">
        <f>SUM(E13:E39)</f>
        <v>42243883.434648603</v>
      </c>
      <c r="F40" s="95">
        <f>SUM(F13:F39)</f>
        <v>44179789.602136262</v>
      </c>
      <c r="G40" s="95">
        <f>SUM(G13:G39)</f>
        <v>42349088.427104041</v>
      </c>
      <c r="H40" s="95">
        <f>SUM(H13:H39)</f>
        <v>43216023.368548922</v>
      </c>
      <c r="I40" s="95">
        <f>SUM(I13:I39)</f>
        <v>43465767.212430298</v>
      </c>
      <c r="J40" s="95">
        <f>SUM(J13:J39)</f>
        <v>53274031.903581604</v>
      </c>
      <c r="K40" s="95">
        <f>SUM(K13:K39)</f>
        <v>48823290.32366956</v>
      </c>
      <c r="L40" s="95">
        <f>SUM(L13:L39)</f>
        <v>48391982.156886563</v>
      </c>
      <c r="M40" s="95">
        <f>SUM(M13:M39)</f>
        <v>43571411.27796454</v>
      </c>
      <c r="N40" s="96">
        <f>SUM(B40:M40)</f>
        <v>541105241.89581847</v>
      </c>
      <c r="O40" s="95">
        <f>SUM(O13:O39)</f>
        <v>57067878.058767952</v>
      </c>
      <c r="P40" s="95">
        <f>SUM(P13:P39)</f>
        <v>57738697.497470826</v>
      </c>
      <c r="Q40" s="95">
        <f>SUM(Q13:Q39)</f>
        <v>66907043.914511248</v>
      </c>
      <c r="R40" s="95">
        <f>SUM(R13:R39)</f>
        <v>58387308.550443321</v>
      </c>
      <c r="S40" s="95">
        <f>SUM(S13:S39)</f>
        <v>62815057.995243467</v>
      </c>
      <c r="T40" s="95">
        <f>SUM(T13:T39)</f>
        <v>60571413.095459983</v>
      </c>
      <c r="U40" s="95">
        <f>SUM(U13:U39)</f>
        <v>63592758.692853093</v>
      </c>
      <c r="V40" s="95">
        <f>SUM(V13:V39)</f>
        <v>63904829.777091667</v>
      </c>
      <c r="W40" s="95">
        <f>SUM(W13:W39)</f>
        <v>78996855.45606485</v>
      </c>
      <c r="X40" s="95">
        <f>SUM(X13:X39)</f>
        <v>72941460.822544619</v>
      </c>
      <c r="Y40" s="95">
        <f>SUM(Y13:Y39)</f>
        <v>74654325.44530794</v>
      </c>
      <c r="Z40" s="95">
        <f>SUM(Z13:Z39)</f>
        <v>68054088.11541751</v>
      </c>
      <c r="AA40" s="96">
        <f t="shared" si="83"/>
        <v>785631717.42117643</v>
      </c>
      <c r="AB40" s="95">
        <f>SUM(AB13:AB39)</f>
        <v>83407226.101157561</v>
      </c>
      <c r="AC40" s="95">
        <f>SUM(AC13:AC39)</f>
        <v>83504799.263859928</v>
      </c>
      <c r="AD40" s="95">
        <f>SUM(AD13:AD39)</f>
        <v>94120664.953302741</v>
      </c>
      <c r="AE40" s="95">
        <f>SUM(AE13:AE39)</f>
        <v>82755817.333916441</v>
      </c>
      <c r="AF40" s="95">
        <f>SUM(AF13:AF39)</f>
        <v>86074165.235251144</v>
      </c>
      <c r="AG40" s="95">
        <f>SUM(AG13:AG39)</f>
        <v>83353774.016448945</v>
      </c>
      <c r="AH40" s="95">
        <f>SUM(AH13:AH39)</f>
        <v>84649949.994400069</v>
      </c>
      <c r="AI40" s="95">
        <f>SUM(AI13:AI39)</f>
        <v>85411997.167468771</v>
      </c>
      <c r="AJ40" s="95">
        <f>SUM(AJ13:AJ39)</f>
        <v>102078555.83603932</v>
      </c>
      <c r="AK40" s="95">
        <f>SUM(AK13:AK39)</f>
        <v>93727963.047631428</v>
      </c>
      <c r="AL40" s="95">
        <f>SUM(AL13:AL39)</f>
        <v>94379074.893004984</v>
      </c>
      <c r="AM40" s="95">
        <f>SUM(AM13:AM39)</f>
        <v>85587552.978081718</v>
      </c>
      <c r="AN40" s="89">
        <f t="shared" si="84"/>
        <v>1059051540.820563</v>
      </c>
    </row>
    <row r="41" spans="1:40" ht="26.25" customHeight="1">
      <c r="A41" s="6" t="s">
        <v>272</v>
      </c>
      <c r="B41" s="88">
        <f>B11-B40</f>
        <v>9153588.310352385</v>
      </c>
      <c r="C41" s="88">
        <f>C11-C40</f>
        <v>3312339.0883503407</v>
      </c>
      <c r="D41" s="88">
        <f>D11-D40</f>
        <v>11711902.192835093</v>
      </c>
      <c r="E41" s="88">
        <f>E11-E40</f>
        <v>4590078.6563509777</v>
      </c>
      <c r="F41" s="88">
        <f>F11-F40</f>
        <v>2437723.6154914573</v>
      </c>
      <c r="G41" s="88">
        <f>G11-G40</f>
        <v>2652945.1405931264</v>
      </c>
      <c r="H41" s="88">
        <f>H11-H40</f>
        <v>3430424.5405337736</v>
      </c>
      <c r="I41" s="88">
        <f>I11-I40</f>
        <v>290456.64799935371</v>
      </c>
      <c r="J41" s="88">
        <f>J11-J40</f>
        <v>11470988.778047629</v>
      </c>
      <c r="K41" s="88">
        <f>K11-K40</f>
        <v>2577873.0636906251</v>
      </c>
      <c r="L41" s="88">
        <f>L11-L40</f>
        <v>1884798.7218725309</v>
      </c>
      <c r="M41" s="88">
        <f>M11-M40</f>
        <v>-4971477.6672383025</v>
      </c>
      <c r="N41" s="88">
        <f t="shared" si="82"/>
        <v>48541641.088878989</v>
      </c>
      <c r="O41" s="88">
        <f>O11-O40</f>
        <v>14542544.321969979</v>
      </c>
      <c r="P41" s="88">
        <f>P11-P40</f>
        <v>9004378.692547597</v>
      </c>
      <c r="Q41" s="88">
        <f>Q11-Q40</f>
        <v>23048878.425663114</v>
      </c>
      <c r="R41" s="88">
        <f>R11-R40</f>
        <v>12510384.766412064</v>
      </c>
      <c r="S41" s="88">
        <f>S11-S40</f>
        <v>9774385.4197797701</v>
      </c>
      <c r="T41" s="88">
        <f>T11-T40</f>
        <v>10931380.842420101</v>
      </c>
      <c r="U41" s="88">
        <f>U11-U40</f>
        <v>11655432.792600051</v>
      </c>
      <c r="V41" s="88">
        <f>V11-V40</f>
        <v>7839393.0235515088</v>
      </c>
      <c r="W41" s="88">
        <f>W11-W40</f>
        <v>24202972.809886798</v>
      </c>
      <c r="X41" s="88">
        <f>X11-X40</f>
        <v>12070299.769833446</v>
      </c>
      <c r="Y41" s="88">
        <f>Y11-Y40</f>
        <v>11643129.99746187</v>
      </c>
      <c r="Z41" s="88">
        <f>Z11-Z40</f>
        <v>749435.38845251501</v>
      </c>
      <c r="AA41" s="88">
        <f t="shared" si="83"/>
        <v>147972616.25057882</v>
      </c>
      <c r="AB41" s="88">
        <f>AB11-AB40</f>
        <v>19705396.842456594</v>
      </c>
      <c r="AC41" s="88">
        <f>AC11-AC40</f>
        <v>10696331.627351016</v>
      </c>
      <c r="AD41" s="88">
        <f>AD11-AD40</f>
        <v>32240465.937908202</v>
      </c>
      <c r="AE41" s="88">
        <f>AE11-AE40</f>
        <v>1797929.1150726676</v>
      </c>
      <c r="AF41" s="88">
        <f>AF11-AF40</f>
        <v>7755884.0733782947</v>
      </c>
      <c r="AG41" s="88">
        <f>AG11-AG40</f>
        <v>8964929.2169777304</v>
      </c>
      <c r="AH41" s="88">
        <f>AH11-AH40</f>
        <v>11190077.88672249</v>
      </c>
      <c r="AI41" s="88">
        <f>AI11-AI40</f>
        <v>10255234.704689309</v>
      </c>
      <c r="AJ41" s="88">
        <f>AJ11-AJ40</f>
        <v>35502226.662488386</v>
      </c>
      <c r="AK41" s="88">
        <f>AK11-AK40</f>
        <v>5718722.0089443326</v>
      </c>
      <c r="AL41" s="88">
        <f>AL11-AL40</f>
        <v>20824057.494188219</v>
      </c>
      <c r="AM41" s="88">
        <f>AM11-AM40</f>
        <v>-3529217.7223246992</v>
      </c>
      <c r="AN41" s="88">
        <f t="shared" si="84"/>
        <v>161122037.84785253</v>
      </c>
    </row>
    <row r="42" spans="1:40" ht="26.25" customHeight="1">
      <c r="A42" s="97" t="s">
        <v>273</v>
      </c>
      <c r="B42" s="87">
        <f t="shared" ref="B42:M42" si="87">IF(B41&gt;0,B41*0.35,0)</f>
        <v>3203755.9086233345</v>
      </c>
      <c r="C42" s="87">
        <f t="shared" si="87"/>
        <v>1159318.6809226191</v>
      </c>
      <c r="D42" s="87">
        <f t="shared" si="87"/>
        <v>4099165.7674922822</v>
      </c>
      <c r="E42" s="87">
        <f t="shared" si="87"/>
        <v>1606527.5297228422</v>
      </c>
      <c r="F42" s="87">
        <f t="shared" si="87"/>
        <v>853203.26542200998</v>
      </c>
      <c r="G42" s="87">
        <f t="shared" si="87"/>
        <v>928530.79920759413</v>
      </c>
      <c r="H42" s="87">
        <f t="shared" si="87"/>
        <v>1200648.5891868207</v>
      </c>
      <c r="I42" s="87">
        <f t="shared" si="87"/>
        <v>101659.82679977379</v>
      </c>
      <c r="J42" s="87">
        <f t="shared" si="87"/>
        <v>4014846.0723166699</v>
      </c>
      <c r="K42" s="87">
        <f t="shared" si="87"/>
        <v>902255.5722917188</v>
      </c>
      <c r="L42" s="87">
        <f t="shared" si="87"/>
        <v>659679.55265538581</v>
      </c>
      <c r="M42" s="87">
        <f t="shared" si="87"/>
        <v>0</v>
      </c>
      <c r="N42" s="95">
        <f t="shared" si="82"/>
        <v>18729591.564641051</v>
      </c>
      <c r="O42" s="87">
        <f t="shared" ref="O42:Z42" si="88">IF(O41&gt;0,O41*0.35,0)</f>
        <v>5089890.5126894917</v>
      </c>
      <c r="P42" s="87">
        <f t="shared" si="88"/>
        <v>3151532.5423916588</v>
      </c>
      <c r="Q42" s="87">
        <f t="shared" si="88"/>
        <v>8067107.4489820888</v>
      </c>
      <c r="R42" s="87">
        <f t="shared" si="88"/>
        <v>4378634.6682442222</v>
      </c>
      <c r="S42" s="87">
        <f t="shared" si="88"/>
        <v>3421034.8969229194</v>
      </c>
      <c r="T42" s="87">
        <f t="shared" si="88"/>
        <v>3825983.2948470353</v>
      </c>
      <c r="U42" s="87">
        <f t="shared" si="88"/>
        <v>4079401.4774100175</v>
      </c>
      <c r="V42" s="87">
        <f t="shared" si="88"/>
        <v>2743787.5582430279</v>
      </c>
      <c r="W42" s="87">
        <f t="shared" si="88"/>
        <v>8471040.4834603798</v>
      </c>
      <c r="X42" s="87">
        <f t="shared" si="88"/>
        <v>4224604.9194417056</v>
      </c>
      <c r="Y42" s="87">
        <f t="shared" si="88"/>
        <v>4075095.4991116542</v>
      </c>
      <c r="Z42" s="87">
        <f t="shared" si="88"/>
        <v>262302.38595838024</v>
      </c>
      <c r="AA42" s="95">
        <f t="shared" si="83"/>
        <v>51790415.687702581</v>
      </c>
      <c r="AB42" s="87">
        <f t="shared" ref="AB42:AM42" si="89">IF(AB41&gt;0,AB41*0.35,0)</f>
        <v>6896888.8948598076</v>
      </c>
      <c r="AC42" s="87">
        <f t="shared" si="89"/>
        <v>3743716.0695728553</v>
      </c>
      <c r="AD42" s="87">
        <f t="shared" si="89"/>
        <v>11284163.07826787</v>
      </c>
      <c r="AE42" s="87">
        <f t="shared" si="89"/>
        <v>629275.19027543359</v>
      </c>
      <c r="AF42" s="87">
        <f t="shared" si="89"/>
        <v>2714559.4256824031</v>
      </c>
      <c r="AG42" s="87">
        <f t="shared" si="89"/>
        <v>3137725.2259422056</v>
      </c>
      <c r="AH42" s="87">
        <f t="shared" si="89"/>
        <v>3916527.2603528714</v>
      </c>
      <c r="AI42" s="87">
        <f t="shared" si="89"/>
        <v>3589332.1466412582</v>
      </c>
      <c r="AJ42" s="87">
        <f t="shared" si="89"/>
        <v>12425779.331870934</v>
      </c>
      <c r="AK42" s="87">
        <f t="shared" si="89"/>
        <v>2001552.7031305162</v>
      </c>
      <c r="AL42" s="87">
        <f t="shared" si="89"/>
        <v>7288420.122965876</v>
      </c>
      <c r="AM42" s="87">
        <f t="shared" si="89"/>
        <v>0</v>
      </c>
      <c r="AN42" s="95">
        <f t="shared" si="84"/>
        <v>57627939.449562028</v>
      </c>
    </row>
    <row r="43" spans="1:40" ht="26.25" customHeight="1">
      <c r="A43" s="94" t="s">
        <v>274</v>
      </c>
      <c r="B43" s="95">
        <f t="shared" ref="B43:M43" si="90">B41-B42</f>
        <v>5949832.401729051</v>
      </c>
      <c r="C43" s="95">
        <f t="shared" si="90"/>
        <v>2153020.4074277217</v>
      </c>
      <c r="D43" s="95">
        <f t="shared" si="90"/>
        <v>7612736.4253428103</v>
      </c>
      <c r="E43" s="95">
        <f t="shared" si="90"/>
        <v>2983551.1266281353</v>
      </c>
      <c r="F43" s="95">
        <f t="shared" si="90"/>
        <v>1584520.3500694474</v>
      </c>
      <c r="G43" s="95">
        <f t="shared" si="90"/>
        <v>1724414.3413855322</v>
      </c>
      <c r="H43" s="95">
        <f t="shared" si="90"/>
        <v>2229775.9513469529</v>
      </c>
      <c r="I43" s="95">
        <f t="shared" si="90"/>
        <v>188796.82119957992</v>
      </c>
      <c r="J43" s="95">
        <f t="shared" si="90"/>
        <v>7456142.7057309588</v>
      </c>
      <c r="K43" s="95">
        <f t="shared" si="90"/>
        <v>1675617.4913989063</v>
      </c>
      <c r="L43" s="95">
        <f t="shared" si="90"/>
        <v>1225119.1692171451</v>
      </c>
      <c r="M43" s="95">
        <f t="shared" si="90"/>
        <v>-4971477.6672383025</v>
      </c>
      <c r="N43" s="95">
        <f t="shared" si="82"/>
        <v>29812049.524237946</v>
      </c>
      <c r="O43" s="95">
        <f t="shared" ref="O43:Z43" si="91">O41-O42</f>
        <v>9452653.8092804868</v>
      </c>
      <c r="P43" s="95">
        <f t="shared" si="91"/>
        <v>5852846.1501559382</v>
      </c>
      <c r="Q43" s="95">
        <f t="shared" si="91"/>
        <v>14981770.976681024</v>
      </c>
      <c r="R43" s="95">
        <f t="shared" si="91"/>
        <v>8131750.0981678423</v>
      </c>
      <c r="S43" s="95">
        <f t="shared" si="91"/>
        <v>6353350.5228568502</v>
      </c>
      <c r="T43" s="95">
        <f t="shared" si="91"/>
        <v>7105397.5475730654</v>
      </c>
      <c r="U43" s="95">
        <f t="shared" si="91"/>
        <v>7576031.3151900331</v>
      </c>
      <c r="V43" s="95">
        <f t="shared" si="91"/>
        <v>5095605.4653084809</v>
      </c>
      <c r="W43" s="95">
        <f t="shared" si="91"/>
        <v>15731932.326426418</v>
      </c>
      <c r="X43" s="95">
        <f t="shared" si="91"/>
        <v>7845694.85039174</v>
      </c>
      <c r="Y43" s="95">
        <f t="shared" si="91"/>
        <v>7568034.4983502161</v>
      </c>
      <c r="Z43" s="95">
        <f t="shared" si="91"/>
        <v>487133.00249413477</v>
      </c>
      <c r="AA43" s="95">
        <f t="shared" si="83"/>
        <v>96182200.562876239</v>
      </c>
      <c r="AB43" s="95">
        <f t="shared" ref="AB43:AM43" si="92">AB41-AB42</f>
        <v>12808507.947596787</v>
      </c>
      <c r="AC43" s="95">
        <f t="shared" si="92"/>
        <v>6952615.557778161</v>
      </c>
      <c r="AD43" s="95">
        <f t="shared" si="92"/>
        <v>20956302.85964033</v>
      </c>
      <c r="AE43" s="95">
        <f t="shared" si="92"/>
        <v>1168653.9247972341</v>
      </c>
      <c r="AF43" s="95">
        <f t="shared" si="92"/>
        <v>5041324.6476958916</v>
      </c>
      <c r="AG43" s="95">
        <f t="shared" si="92"/>
        <v>5827203.9910355248</v>
      </c>
      <c r="AH43" s="95">
        <f t="shared" si="92"/>
        <v>7273550.6263696188</v>
      </c>
      <c r="AI43" s="95">
        <f t="shared" si="92"/>
        <v>6665902.5580480509</v>
      </c>
      <c r="AJ43" s="95">
        <f t="shared" si="92"/>
        <v>23076447.33061745</v>
      </c>
      <c r="AK43" s="95">
        <f t="shared" si="92"/>
        <v>3717169.3058138164</v>
      </c>
      <c r="AL43" s="95">
        <f t="shared" si="92"/>
        <v>13535637.371222343</v>
      </c>
      <c r="AM43" s="95">
        <f t="shared" si="92"/>
        <v>-3529217.7223246992</v>
      </c>
      <c r="AN43" s="95">
        <f t="shared" si="84"/>
        <v>103494098.39829051</v>
      </c>
    </row>
    <row r="44" spans="1:40" ht="26.25" customHeight="1">
      <c r="A44" s="97" t="s">
        <v>275</v>
      </c>
      <c r="B44" s="88">
        <v>1000000</v>
      </c>
      <c r="C44" s="88">
        <v>1000000</v>
      </c>
      <c r="D44" s="88">
        <v>2000000</v>
      </c>
      <c r="E44" s="88">
        <v>2000000</v>
      </c>
      <c r="F44" s="88">
        <v>2000000</v>
      </c>
      <c r="G44" s="88">
        <v>2000000</v>
      </c>
      <c r="H44" s="88">
        <v>2000000</v>
      </c>
      <c r="I44" s="88">
        <v>2000000</v>
      </c>
      <c r="J44" s="88">
        <v>4000000</v>
      </c>
      <c r="K44" s="88">
        <v>4000000</v>
      </c>
      <c r="L44" s="88">
        <v>4000000</v>
      </c>
      <c r="M44" s="86">
        <v>3800000</v>
      </c>
      <c r="N44" s="88">
        <f t="shared" si="82"/>
        <v>29800000</v>
      </c>
      <c r="O44" s="114">
        <v>4000000</v>
      </c>
      <c r="P44" s="114">
        <v>4000000</v>
      </c>
      <c r="Q44" s="114">
        <v>5000000</v>
      </c>
      <c r="R44" s="114">
        <v>5000000</v>
      </c>
      <c r="S44" s="114">
        <v>6000000</v>
      </c>
      <c r="T44" s="114">
        <v>6000000</v>
      </c>
      <c r="U44" s="114">
        <v>7000000</v>
      </c>
      <c r="V44" s="114">
        <v>7000000</v>
      </c>
      <c r="W44" s="114">
        <v>8000000</v>
      </c>
      <c r="X44" s="114">
        <v>8000000</v>
      </c>
      <c r="Y44" s="114">
        <v>8000000</v>
      </c>
      <c r="Z44" s="86">
        <v>25000000</v>
      </c>
      <c r="AA44" s="88">
        <f t="shared" si="83"/>
        <v>93000000</v>
      </c>
      <c r="AB44" s="114">
        <v>9000000</v>
      </c>
      <c r="AC44" s="114">
        <v>7000000</v>
      </c>
      <c r="AD44" s="114">
        <v>10000000</v>
      </c>
      <c r="AE44" s="114">
        <v>1000000</v>
      </c>
      <c r="AF44" s="114">
        <v>5000000</v>
      </c>
      <c r="AG44" s="114">
        <v>6000000</v>
      </c>
      <c r="AH44" s="114">
        <v>7000000</v>
      </c>
      <c r="AI44" s="114">
        <v>7000000</v>
      </c>
      <c r="AJ44" s="114">
        <v>9000000</v>
      </c>
      <c r="AK44" s="114">
        <v>9000000</v>
      </c>
      <c r="AL44" s="114">
        <v>10000000</v>
      </c>
      <c r="AM44" s="86">
        <v>25000000</v>
      </c>
      <c r="AN44" s="88">
        <f t="shared" si="84"/>
        <v>105000000</v>
      </c>
    </row>
    <row r="45" spans="1:40" ht="26.25" customHeight="1">
      <c r="A45" s="94" t="s">
        <v>276</v>
      </c>
      <c r="B45" s="95">
        <f t="shared" ref="B45:M45" si="93">B43-B44</f>
        <v>4949832.401729051</v>
      </c>
      <c r="C45" s="95">
        <f>C43-C44</f>
        <v>1153020.4074277217</v>
      </c>
      <c r="D45" s="95">
        <f t="shared" si="93"/>
        <v>5612736.4253428103</v>
      </c>
      <c r="E45" s="95">
        <f t="shared" si="93"/>
        <v>983551.12662813533</v>
      </c>
      <c r="F45" s="95">
        <f t="shared" si="93"/>
        <v>-415479.64993055258</v>
      </c>
      <c r="G45" s="95">
        <f t="shared" si="93"/>
        <v>-275585.65861446783</v>
      </c>
      <c r="H45" s="95">
        <f t="shared" si="93"/>
        <v>229775.95134695293</v>
      </c>
      <c r="I45" s="95">
        <f t="shared" si="93"/>
        <v>-1811203.1788004201</v>
      </c>
      <c r="J45" s="95">
        <f>J43-J44</f>
        <v>3456142.7057309588</v>
      </c>
      <c r="K45" s="95">
        <f t="shared" si="93"/>
        <v>-2324382.5086010937</v>
      </c>
      <c r="L45" s="95">
        <f t="shared" si="93"/>
        <v>-2774880.8307828549</v>
      </c>
      <c r="M45" s="95">
        <f t="shared" si="93"/>
        <v>-8771477.6672383025</v>
      </c>
      <c r="N45" s="95">
        <f t="shared" si="82"/>
        <v>12049.524237938225</v>
      </c>
      <c r="O45" s="95">
        <f t="shared" ref="O45:Y45" si="94">O43-O44</f>
        <v>5452653.8092804868</v>
      </c>
      <c r="P45" s="95">
        <f>P43-P44</f>
        <v>1852846.1501559382</v>
      </c>
      <c r="Q45" s="95">
        <f t="shared" si="94"/>
        <v>9981770.9766810238</v>
      </c>
      <c r="R45" s="95">
        <f t="shared" si="94"/>
        <v>3131750.0981678423</v>
      </c>
      <c r="S45" s="95">
        <f t="shared" si="94"/>
        <v>353350.52285685018</v>
      </c>
      <c r="T45" s="95">
        <f t="shared" si="94"/>
        <v>1105397.5475730654</v>
      </c>
      <c r="U45" s="95">
        <f t="shared" si="94"/>
        <v>576031.31519003306</v>
      </c>
      <c r="V45" s="95">
        <f t="shared" si="94"/>
        <v>-1904394.5346915191</v>
      </c>
      <c r="W45" s="95">
        <f t="shared" si="94"/>
        <v>7731932.3264264185</v>
      </c>
      <c r="X45" s="95">
        <f t="shared" si="94"/>
        <v>-154305.14960826002</v>
      </c>
      <c r="Y45" s="95">
        <f t="shared" si="94"/>
        <v>-431965.50164978392</v>
      </c>
      <c r="Z45" s="95">
        <f>Z43-Z44</f>
        <v>-24512866.997505866</v>
      </c>
      <c r="AA45" s="95">
        <f>SUM(O45:Z45)</f>
        <v>3182200.5628762245</v>
      </c>
      <c r="AB45" s="95">
        <f t="shared" ref="AB45:AM45" si="95">AB43-AB44</f>
        <v>3808507.9475967865</v>
      </c>
      <c r="AC45" s="95">
        <f t="shared" si="95"/>
        <v>-47384.442221838981</v>
      </c>
      <c r="AD45" s="95">
        <f t="shared" si="95"/>
        <v>10956302.85964033</v>
      </c>
      <c r="AE45" s="95">
        <f t="shared" si="95"/>
        <v>168653.92479723413</v>
      </c>
      <c r="AF45" s="95">
        <f t="shared" si="95"/>
        <v>41324.647695891559</v>
      </c>
      <c r="AG45" s="95">
        <f t="shared" si="95"/>
        <v>-172796.00896447524</v>
      </c>
      <c r="AH45" s="95">
        <f t="shared" si="95"/>
        <v>273550.62636961881</v>
      </c>
      <c r="AI45" s="95">
        <f t="shared" si="95"/>
        <v>-334097.44195194915</v>
      </c>
      <c r="AJ45" s="95">
        <f t="shared" si="95"/>
        <v>14076447.33061745</v>
      </c>
      <c r="AK45" s="95">
        <f t="shared" si="95"/>
        <v>-5282830.6941861836</v>
      </c>
      <c r="AL45" s="95">
        <f t="shared" si="95"/>
        <v>3535637.3712223433</v>
      </c>
      <c r="AM45" s="95">
        <f t="shared" si="95"/>
        <v>-28529217.722324699</v>
      </c>
      <c r="AN45" s="95">
        <f>SUM(AB45:AM45)</f>
        <v>-1505901.6017094925</v>
      </c>
    </row>
    <row r="46" spans="1:40" ht="26.25" customHeight="1">
      <c r="A46" s="94" t="s">
        <v>277</v>
      </c>
      <c r="B46" s="95">
        <f>B45</f>
        <v>4949832.401729051</v>
      </c>
      <c r="C46" s="95">
        <f>C45+B46</f>
        <v>6102852.8091567727</v>
      </c>
      <c r="D46" s="95">
        <f>D45+C46</f>
        <v>11715589.234499583</v>
      </c>
      <c r="E46" s="95">
        <f>E45+D46</f>
        <v>12699140.361127719</v>
      </c>
      <c r="F46" s="95">
        <f>F45+E46</f>
        <v>12283660.711197168</v>
      </c>
      <c r="G46" s="95">
        <f>G45+F46</f>
        <v>12008075.0525827</v>
      </c>
      <c r="H46" s="95">
        <f t="shared" ref="H46:M46" si="96">H45+G46</f>
        <v>12237851.003929652</v>
      </c>
      <c r="I46" s="95">
        <f t="shared" si="96"/>
        <v>10426647.825129231</v>
      </c>
      <c r="J46" s="95">
        <f>J45+I46</f>
        <v>13882790.530860189</v>
      </c>
      <c r="K46" s="95">
        <f t="shared" si="96"/>
        <v>11558408.022259096</v>
      </c>
      <c r="L46" s="95">
        <f t="shared" si="96"/>
        <v>8783527.1914762408</v>
      </c>
      <c r="M46" s="95">
        <f t="shared" si="96"/>
        <v>12049.524237938225</v>
      </c>
      <c r="N46" s="95"/>
      <c r="O46" s="95">
        <f>O45+M46</f>
        <v>5464703.333518425</v>
      </c>
      <c r="P46" s="95">
        <f>O46+P45</f>
        <v>7317549.4836743632</v>
      </c>
      <c r="Q46" s="95">
        <f>P46+Q45</f>
        <v>17299320.460355386</v>
      </c>
      <c r="R46" s="95">
        <f>Q46+R45</f>
        <v>20431070.55852323</v>
      </c>
      <c r="S46" s="95">
        <f>R46+S45</f>
        <v>20784421.08138008</v>
      </c>
      <c r="T46" s="95">
        <f t="shared" ref="T46:Z46" si="97">S46+T45</f>
        <v>21889818.628953144</v>
      </c>
      <c r="U46" s="95">
        <f t="shared" si="97"/>
        <v>22465849.944143176</v>
      </c>
      <c r="V46" s="95">
        <f t="shared" si="97"/>
        <v>20561455.409451656</v>
      </c>
      <c r="W46" s="95">
        <f t="shared" si="97"/>
        <v>28293387.735878073</v>
      </c>
      <c r="X46" s="95">
        <f t="shared" si="97"/>
        <v>28139082.586269811</v>
      </c>
      <c r="Y46" s="95">
        <f t="shared" si="97"/>
        <v>27707117.084620029</v>
      </c>
      <c r="Z46" s="95">
        <f t="shared" si="97"/>
        <v>3194250.0871141627</v>
      </c>
      <c r="AA46" s="95"/>
      <c r="AB46" s="95">
        <f>Z46+AB45</f>
        <v>7002758.0347109493</v>
      </c>
      <c r="AC46" s="95">
        <f t="shared" ref="AC46:AM46" si="98">AB46+AC45</f>
        <v>6955373.5924891103</v>
      </c>
      <c r="AD46" s="95">
        <f t="shared" si="98"/>
        <v>17911676.452129439</v>
      </c>
      <c r="AE46" s="95">
        <f t="shared" si="98"/>
        <v>18080330.376926672</v>
      </c>
      <c r="AF46" s="95">
        <f t="shared" si="98"/>
        <v>18121655.024622563</v>
      </c>
      <c r="AG46" s="95">
        <f t="shared" si="98"/>
        <v>17948859.015658088</v>
      </c>
      <c r="AH46" s="95">
        <f t="shared" si="98"/>
        <v>18222409.642027706</v>
      </c>
      <c r="AI46" s="95">
        <f t="shared" si="98"/>
        <v>17888312.200075757</v>
      </c>
      <c r="AJ46" s="95">
        <f t="shared" si="98"/>
        <v>31964759.530693207</v>
      </c>
      <c r="AK46" s="95">
        <f t="shared" si="98"/>
        <v>26681928.836507022</v>
      </c>
      <c r="AL46" s="95">
        <f t="shared" si="98"/>
        <v>30217566.207729366</v>
      </c>
      <c r="AM46" s="95">
        <f t="shared" si="98"/>
        <v>1688348.4854046665</v>
      </c>
      <c r="AN46" s="95"/>
    </row>
    <row r="47" spans="1:40" ht="26.25" customHeight="1">
      <c r="A47" s="2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</row>
    <row r="48" spans="1:40" ht="101.25" customHeight="1">
      <c r="A48" s="100" t="s">
        <v>278</v>
      </c>
      <c r="B48" s="101">
        <f>IF(MIN(B46:AN46)&lt;0,MIN(B46:AN46)*-1,0)</f>
        <v>0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</row>
    <row r="49" spans="1:40" ht="26.25" customHeight="1">
      <c r="A49" s="2"/>
      <c r="B49" s="122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</row>
    <row r="50" spans="1:40" ht="26.25" customHeight="1">
      <c r="A50" s="2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</row>
    <row r="51" spans="1:40" ht="26.25" customHeight="1">
      <c r="A51" s="2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</row>
    <row r="52" spans="1:40" ht="26.25" customHeight="1">
      <c r="A52" s="2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</row>
    <row r="53" spans="1:40" ht="26.25" customHeight="1">
      <c r="A53" s="2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</row>
    <row r="54" spans="1:40" ht="26.25" customHeight="1">
      <c r="A54" s="2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</row>
    <row r="55" spans="1:40" ht="26.25" customHeight="1">
      <c r="A55" s="2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</row>
    <row r="56" spans="1:40" ht="26.25" customHeight="1">
      <c r="A56" s="2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</row>
    <row r="57" spans="1:40" ht="26.25" customHeight="1">
      <c r="A57" s="2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</row>
    <row r="58" spans="1:40" ht="26.25" customHeight="1">
      <c r="A58" s="2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</row>
    <row r="59" spans="1:40" ht="26.25" customHeight="1">
      <c r="A59" s="2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</row>
    <row r="60" spans="1:40" ht="26.25" customHeight="1">
      <c r="A60" s="2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</row>
    <row r="61" spans="1:40" ht="26.25" customHeight="1">
      <c r="A61" s="2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</row>
    <row r="62" spans="1:40" ht="26.25" customHeight="1">
      <c r="A62" s="2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</row>
    <row r="63" spans="1:40" ht="26.25" customHeight="1">
      <c r="A63" s="2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</row>
    <row r="64" spans="1:40" ht="26.25" customHeight="1">
      <c r="A64" s="2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</row>
    <row r="65" spans="1:40" ht="26.25" customHeight="1">
      <c r="A65" s="2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</row>
    <row r="66" spans="1:40" ht="26.25" customHeight="1">
      <c r="A66" s="2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</row>
    <row r="67" spans="1:40" ht="26.25" customHeight="1">
      <c r="A67" s="2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</row>
    <row r="68" spans="1:40" ht="26.25" customHeight="1">
      <c r="A68" s="2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</row>
    <row r="69" spans="1:40" ht="26.25" customHeight="1">
      <c r="A69" s="2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</row>
    <row r="70" spans="1:40" ht="26.25" customHeight="1">
      <c r="A70" s="2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</row>
    <row r="71" spans="1:40" ht="26.25" customHeight="1">
      <c r="A71" s="2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</row>
    <row r="72" spans="1:40" ht="26.25" customHeight="1">
      <c r="A72" s="2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</row>
    <row r="73" spans="1:40" ht="26.25" customHeight="1">
      <c r="A73" s="2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</row>
    <row r="74" spans="1:40" ht="26.25" customHeight="1">
      <c r="A74" s="2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</row>
    <row r="75" spans="1:40" ht="26.25" customHeight="1">
      <c r="A75" s="2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</row>
    <row r="76" spans="1:40" ht="26.25" customHeight="1">
      <c r="A76" s="2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</row>
    <row r="77" spans="1:40" ht="26.25" customHeight="1">
      <c r="A77" s="2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</row>
    <row r="78" spans="1:40" ht="26.25" customHeight="1">
      <c r="A78" s="2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</row>
    <row r="79" spans="1:40" ht="26.25" customHeight="1">
      <c r="A79" s="2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</row>
    <row r="80" spans="1:40" ht="26.25" customHeight="1">
      <c r="A80" s="2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</row>
    <row r="81" spans="1:40" ht="26.25" customHeight="1">
      <c r="A81" s="2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</row>
    <row r="82" spans="1:40" ht="26.25" customHeight="1">
      <c r="A82" s="2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</row>
    <row r="83" spans="1:40" ht="26.25" customHeight="1">
      <c r="A83" s="2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</row>
    <row r="84" spans="1:40" ht="26.25" customHeight="1">
      <c r="A84" s="2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</row>
    <row r="85" spans="1:40" ht="26.25" customHeight="1">
      <c r="A85" s="2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</row>
    <row r="86" spans="1:40" ht="26.25" customHeight="1">
      <c r="A86" s="2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</row>
    <row r="87" spans="1:40" ht="26.25" customHeight="1">
      <c r="A87" s="2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</row>
    <row r="88" spans="1:40" ht="26.25" customHeight="1">
      <c r="A88" s="2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</row>
    <row r="89" spans="1:40" ht="26.25" customHeight="1">
      <c r="A89" s="2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</row>
    <row r="90" spans="1:40" ht="26.25" customHeight="1">
      <c r="A90" s="2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</row>
    <row r="91" spans="1:40" ht="26.25" customHeight="1">
      <c r="A91" s="2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</row>
    <row r="92" spans="1:40" ht="26.25" customHeight="1">
      <c r="A92" s="2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</row>
    <row r="93" spans="1:40" ht="26.25" customHeight="1">
      <c r="A93" s="2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</row>
    <row r="94" spans="1:40" ht="26.25" customHeight="1">
      <c r="A94" s="2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</row>
    <row r="95" spans="1:40" ht="26.25" customHeight="1">
      <c r="A95" s="2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</row>
    <row r="96" spans="1:40" ht="26.25" customHeight="1">
      <c r="A96" s="2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</row>
    <row r="97" spans="1:40" ht="26.25" customHeight="1">
      <c r="A97" s="2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</row>
    <row r="98" spans="1:40" ht="26.25" customHeight="1">
      <c r="A98" s="2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</row>
    <row r="99" spans="1:40" ht="26.25" customHeight="1">
      <c r="A99" s="2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</row>
    <row r="100" spans="1:40" ht="26.25" customHeight="1">
      <c r="A100" s="2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</row>
    <row r="101" spans="1:40" ht="26.25" customHeight="1">
      <c r="A101" s="2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</row>
    <row r="102" spans="1:40" ht="26.25" customHeight="1">
      <c r="A102" s="2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</row>
    <row r="103" spans="1:40" ht="26.25" customHeight="1">
      <c r="A103" s="2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</row>
    <row r="104" spans="1:40" ht="26.25" customHeight="1">
      <c r="A104" s="2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</row>
    <row r="105" spans="1:40" ht="26.25" customHeight="1">
      <c r="A105" s="2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</row>
    <row r="106" spans="1:40" ht="26.25" customHeight="1">
      <c r="A106" s="2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</row>
    <row r="107" spans="1:40" ht="26.25" customHeight="1">
      <c r="A107" s="2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</row>
    <row r="108" spans="1:40" ht="26.25" customHeight="1">
      <c r="A108" s="2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</row>
    <row r="109" spans="1:40" ht="26.25" customHeight="1">
      <c r="A109" s="2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</row>
    <row r="110" spans="1:40" ht="26.25" customHeight="1">
      <c r="A110" s="2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</row>
    <row r="111" spans="1:40" ht="26.25" customHeight="1">
      <c r="A111" s="2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</row>
    <row r="112" spans="1:40" ht="26.25" customHeight="1">
      <c r="A112" s="2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</row>
    <row r="113" spans="1:40" ht="26.25" customHeight="1">
      <c r="A113" s="2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</row>
    <row r="114" spans="1:40" ht="26.25" customHeight="1">
      <c r="A114" s="2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</row>
    <row r="115" spans="1:40" ht="26.25" customHeight="1">
      <c r="A115" s="2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</row>
    <row r="116" spans="1:40" ht="26.25" customHeight="1">
      <c r="A116" s="2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</row>
    <row r="117" spans="1:40" ht="26.25" customHeight="1">
      <c r="A117" s="2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</row>
    <row r="118" spans="1:40" ht="26.25" customHeight="1">
      <c r="A118" s="2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</row>
    <row r="119" spans="1:40" ht="26.25" customHeight="1">
      <c r="A119" s="2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</row>
    <row r="120" spans="1:40" ht="26.25" customHeight="1">
      <c r="A120" s="2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</row>
    <row r="121" spans="1:40" ht="26.25" customHeight="1">
      <c r="A121" s="2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</row>
    <row r="122" spans="1:40" ht="26.25" customHeight="1">
      <c r="A122" s="2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</row>
    <row r="123" spans="1:40" ht="26.25" customHeight="1">
      <c r="A123" s="2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</row>
    <row r="124" spans="1:40" ht="26.25" customHeight="1">
      <c r="A124" s="2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</row>
    <row r="125" spans="1:40" ht="26.25" customHeight="1">
      <c r="A125" s="2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</row>
    <row r="126" spans="1:40" ht="26.25" customHeight="1">
      <c r="A126" s="2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</row>
    <row r="127" spans="1:40" ht="26.25" customHeight="1">
      <c r="A127" s="2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</row>
    <row r="128" spans="1:40" ht="26.25" customHeight="1">
      <c r="A128" s="2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</row>
    <row r="129" spans="1:40" ht="26.25" customHeight="1">
      <c r="A129" s="2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</row>
    <row r="130" spans="1:40" ht="26.25" customHeight="1">
      <c r="A130" s="2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</row>
    <row r="131" spans="1:40" ht="26.25" customHeight="1">
      <c r="A131" s="2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</row>
    <row r="132" spans="1:40" ht="26.25" customHeight="1">
      <c r="A132" s="2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</row>
    <row r="133" spans="1:40" ht="26.25" customHeight="1">
      <c r="A133" s="2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</row>
    <row r="134" spans="1:40" ht="26.25" customHeight="1">
      <c r="A134" s="2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</row>
    <row r="135" spans="1:40" ht="26.25" customHeight="1">
      <c r="A135" s="2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</row>
    <row r="136" spans="1:40" ht="26.25" customHeight="1">
      <c r="A136" s="2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</row>
    <row r="137" spans="1:40" ht="26.25" customHeight="1">
      <c r="A137" s="2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</row>
    <row r="138" spans="1:40" ht="26.25" customHeight="1">
      <c r="A138" s="2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</row>
    <row r="139" spans="1:40" ht="26.25" customHeight="1">
      <c r="A139" s="2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</row>
    <row r="140" spans="1:40" ht="26.25" customHeight="1">
      <c r="A140" s="2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</row>
    <row r="141" spans="1:40" ht="26.25" customHeight="1">
      <c r="A141" s="2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</row>
    <row r="142" spans="1:40" ht="26.25" customHeight="1">
      <c r="A142" s="2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</row>
    <row r="143" spans="1:40" ht="26.25" customHeight="1">
      <c r="A143" s="2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</row>
    <row r="144" spans="1:40" ht="26.25" customHeight="1">
      <c r="A144" s="2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</row>
    <row r="145" spans="1:40" ht="26.25" customHeight="1">
      <c r="A145" s="2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</row>
    <row r="146" spans="1:40" ht="26.25" customHeight="1">
      <c r="A146" s="2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</row>
    <row r="147" spans="1:40" ht="26.25" customHeight="1">
      <c r="A147" s="2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</row>
    <row r="148" spans="1:40" ht="26.25" customHeight="1">
      <c r="A148" s="2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</row>
    <row r="149" spans="1:40" ht="26.25" customHeight="1">
      <c r="A149" s="2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</row>
    <row r="150" spans="1:40" ht="26.25" customHeight="1">
      <c r="A150" s="2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</row>
    <row r="151" spans="1:40" ht="26.25" customHeight="1">
      <c r="A151" s="2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</row>
    <row r="152" spans="1:40" ht="26.25" customHeight="1">
      <c r="A152" s="2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</row>
    <row r="153" spans="1:40" ht="26.25" customHeight="1">
      <c r="A153" s="2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</row>
    <row r="154" spans="1:40" ht="26.25" customHeight="1">
      <c r="A154" s="2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</row>
    <row r="155" spans="1:40" ht="26.25" customHeight="1">
      <c r="A155" s="2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</row>
    <row r="156" spans="1:40" ht="26.25" customHeight="1">
      <c r="A156" s="2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</row>
    <row r="157" spans="1:40" ht="26.25" customHeight="1">
      <c r="A157" s="2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</row>
    <row r="158" spans="1:40" ht="26.25" customHeight="1">
      <c r="A158" s="2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</row>
    <row r="159" spans="1:40" ht="26.25" customHeight="1">
      <c r="A159" s="2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</row>
    <row r="160" spans="1:40" ht="26.25" customHeight="1">
      <c r="A160" s="2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</row>
    <row r="161" spans="1:40" ht="26.25" customHeight="1">
      <c r="A161" s="2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</row>
    <row r="162" spans="1:40" ht="26.25" customHeight="1">
      <c r="A162" s="2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</row>
    <row r="163" spans="1:40" ht="26.25" customHeight="1">
      <c r="A163" s="2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</row>
    <row r="164" spans="1:40" ht="26.25" customHeight="1">
      <c r="A164" s="2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</row>
    <row r="165" spans="1:40" ht="26.25" customHeight="1">
      <c r="A165" s="2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</row>
    <row r="166" spans="1:40" ht="26.25" customHeight="1">
      <c r="A166" s="2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</row>
    <row r="167" spans="1:40" ht="26.25" customHeight="1">
      <c r="A167" s="2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</row>
    <row r="168" spans="1:40" ht="26.25" customHeight="1">
      <c r="A168" s="2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</row>
    <row r="169" spans="1:40" ht="26.25" customHeight="1">
      <c r="A169" s="2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</row>
    <row r="170" spans="1:40" ht="26.25" customHeight="1">
      <c r="A170" s="2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</row>
    <row r="171" spans="1:40" ht="26.25" customHeight="1">
      <c r="A171" s="2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</row>
    <row r="172" spans="1:40" ht="26.25" customHeight="1">
      <c r="A172" s="2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</row>
    <row r="173" spans="1:40" ht="26.25" customHeight="1">
      <c r="A173" s="2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</row>
    <row r="174" spans="1:40" ht="26.25" customHeight="1">
      <c r="A174" s="2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</row>
    <row r="175" spans="1:40" ht="26.25" customHeight="1">
      <c r="A175" s="2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</row>
    <row r="176" spans="1:40" ht="26.25" customHeight="1">
      <c r="A176" s="2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</row>
    <row r="177" spans="1:40" ht="26.25" customHeight="1">
      <c r="A177" s="2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</row>
    <row r="178" spans="1:40" ht="26.25" customHeight="1">
      <c r="A178" s="2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</row>
    <row r="179" spans="1:40" ht="26.25" customHeight="1">
      <c r="A179" s="2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</row>
    <row r="180" spans="1:40" ht="26.25" customHeight="1">
      <c r="A180" s="2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</row>
    <row r="181" spans="1:40" ht="26.25" customHeight="1">
      <c r="A181" s="2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</row>
    <row r="182" spans="1:40" ht="26.25" customHeight="1">
      <c r="A182" s="2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</row>
    <row r="183" spans="1:40" ht="26.25" customHeight="1">
      <c r="A183" s="2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</row>
    <row r="184" spans="1:40" ht="26.25" customHeight="1">
      <c r="A184" s="2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</row>
    <row r="185" spans="1:40" ht="26.25" customHeight="1">
      <c r="A185" s="2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</row>
    <row r="186" spans="1:40" ht="26.25" customHeight="1">
      <c r="A186" s="2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</row>
    <row r="187" spans="1:40" ht="26.25" customHeight="1">
      <c r="A187" s="2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</row>
    <row r="188" spans="1:40" ht="26.25" customHeight="1">
      <c r="A188" s="2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</row>
    <row r="189" spans="1:40" ht="26.25" customHeight="1">
      <c r="A189" s="2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</row>
    <row r="190" spans="1:40" ht="26.25" customHeight="1">
      <c r="A190" s="2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</row>
    <row r="191" spans="1:40" ht="26.25" customHeight="1">
      <c r="A191" s="2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</row>
    <row r="192" spans="1:40" ht="26.25" customHeight="1">
      <c r="A192" s="2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</row>
    <row r="193" spans="1:40" ht="26.25" customHeight="1">
      <c r="A193" s="2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</row>
    <row r="194" spans="1:40" ht="26.25" customHeight="1">
      <c r="A194" s="2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</row>
    <row r="195" spans="1:40" ht="26.25" customHeight="1">
      <c r="A195" s="2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</row>
    <row r="196" spans="1:40" ht="26.25" customHeight="1">
      <c r="A196" s="2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</row>
    <row r="197" spans="1:40" ht="26.25" customHeight="1">
      <c r="A197" s="2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</row>
    <row r="198" spans="1:40" ht="26.25" customHeight="1">
      <c r="A198" s="2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</row>
    <row r="199" spans="1:40" ht="26.25" customHeight="1">
      <c r="A199" s="2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</row>
    <row r="200" spans="1:40" ht="26.25" customHeight="1">
      <c r="A200" s="2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</row>
    <row r="201" spans="1:40" ht="26.25" customHeight="1">
      <c r="A201" s="2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</row>
    <row r="202" spans="1:40" ht="26.25" customHeight="1">
      <c r="A202" s="2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</row>
    <row r="203" spans="1:40" ht="26.25" customHeight="1">
      <c r="A203" s="2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</row>
    <row r="204" spans="1:40" ht="26.25" customHeight="1">
      <c r="A204" s="2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</row>
    <row r="205" spans="1:40" ht="26.25" customHeight="1">
      <c r="A205" s="2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</row>
    <row r="206" spans="1:40" ht="26.25" customHeight="1">
      <c r="A206" s="2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</row>
    <row r="207" spans="1:40" ht="26.25" customHeight="1">
      <c r="A207" s="2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</row>
    <row r="208" spans="1:40" ht="26.25" customHeight="1">
      <c r="A208" s="2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</row>
    <row r="209" spans="1:40" ht="26.25" customHeight="1">
      <c r="A209" s="2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</row>
    <row r="210" spans="1:40" ht="26.25" customHeight="1">
      <c r="A210" s="2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</row>
    <row r="211" spans="1:40" ht="26.25" customHeight="1">
      <c r="A211" s="2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</row>
    <row r="212" spans="1:40" ht="26.25" customHeight="1">
      <c r="A212" s="2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</row>
    <row r="213" spans="1:40" ht="26.25" customHeight="1">
      <c r="A213" s="2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</row>
    <row r="214" spans="1:40" ht="26.25" customHeight="1">
      <c r="A214" s="2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</row>
    <row r="215" spans="1:40" ht="26.25" customHeight="1">
      <c r="A215" s="2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</row>
    <row r="216" spans="1:40" ht="26.25" customHeight="1">
      <c r="A216" s="2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</row>
    <row r="217" spans="1:40" ht="26.25" customHeight="1">
      <c r="A217" s="2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</row>
    <row r="218" spans="1:40" ht="26.25" customHeight="1">
      <c r="A218" s="2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</row>
    <row r="219" spans="1:40" ht="26.25" customHeight="1">
      <c r="A219" s="2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</row>
    <row r="220" spans="1:40" ht="26.25" customHeight="1">
      <c r="A220" s="2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</row>
    <row r="221" spans="1:40" ht="26.25" customHeight="1">
      <c r="A221" s="2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</row>
    <row r="222" spans="1:40" ht="26.25" customHeight="1">
      <c r="A222" s="2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</row>
    <row r="223" spans="1:40" ht="26.25" customHeight="1">
      <c r="A223" s="2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</row>
    <row r="224" spans="1:40" ht="26.25" customHeight="1">
      <c r="A224" s="2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</row>
    <row r="225" spans="1:40" ht="26.25" customHeight="1">
      <c r="A225" s="2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</row>
    <row r="226" spans="1:40" ht="26.25" customHeight="1">
      <c r="A226" s="2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</row>
    <row r="227" spans="1:40" ht="26.25" customHeight="1">
      <c r="A227" s="2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</row>
    <row r="228" spans="1:40" ht="26.25" customHeight="1">
      <c r="A228" s="2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  <c r="AN228" s="60"/>
    </row>
    <row r="229" spans="1:40" ht="26.25" customHeight="1">
      <c r="A229" s="2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</row>
    <row r="230" spans="1:40" ht="26.25" customHeight="1">
      <c r="A230" s="2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</row>
    <row r="231" spans="1:40" ht="26.25" customHeight="1">
      <c r="A231" s="2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</row>
    <row r="232" spans="1:40" ht="26.25" customHeight="1">
      <c r="A232" s="2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</row>
    <row r="233" spans="1:40" ht="26.25" customHeight="1">
      <c r="A233" s="2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</row>
    <row r="234" spans="1:40" ht="26.25" customHeight="1">
      <c r="A234" s="2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</row>
    <row r="235" spans="1:40" ht="26.25" customHeight="1">
      <c r="A235" s="2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</row>
    <row r="236" spans="1:40" ht="26.25" customHeight="1">
      <c r="A236" s="2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</row>
    <row r="237" spans="1:40" ht="26.25" customHeight="1">
      <c r="A237" s="2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</row>
    <row r="238" spans="1:40" ht="26.25" customHeight="1">
      <c r="A238" s="2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</row>
    <row r="239" spans="1:40" ht="26.25" customHeight="1">
      <c r="A239" s="2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</row>
    <row r="240" spans="1:40" ht="26.25" customHeight="1">
      <c r="A240" s="2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</row>
    <row r="241" spans="1:40" ht="26.25" customHeight="1">
      <c r="A241" s="2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</row>
    <row r="242" spans="1:40" ht="26.25" customHeight="1">
      <c r="A242" s="2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</row>
    <row r="243" spans="1:40" ht="26.25" customHeight="1">
      <c r="A243" s="2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0"/>
      <c r="AM243" s="60"/>
      <c r="AN243" s="60"/>
    </row>
    <row r="244" spans="1:40" ht="26.25" customHeight="1">
      <c r="A244" s="2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</row>
    <row r="245" spans="1:40" ht="26.25" customHeight="1">
      <c r="A245" s="2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  <c r="AL245" s="60"/>
      <c r="AM245" s="60"/>
      <c r="AN245" s="60"/>
    </row>
    <row r="246" spans="1:40" ht="26.25" customHeight="1">
      <c r="A246" s="2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  <c r="AN246" s="60"/>
    </row>
    <row r="247" spans="1:40" ht="26.25" customHeight="1">
      <c r="A247" s="2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  <c r="AJ247" s="60"/>
      <c r="AK247" s="60"/>
      <c r="AL247" s="60"/>
      <c r="AM247" s="60"/>
      <c r="AN247" s="60"/>
    </row>
    <row r="248" spans="1:40" ht="26.25" customHeight="1">
      <c r="A248" s="2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  <c r="AJ248" s="60"/>
      <c r="AK248" s="60"/>
      <c r="AL248" s="60"/>
      <c r="AM248" s="60"/>
      <c r="AN248" s="60"/>
    </row>
    <row r="249" spans="1:40" ht="15.75" customHeight="1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</row>
    <row r="250" spans="1:40" ht="15.75" customHeight="1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</row>
    <row r="251" spans="1:40" ht="15.75" customHeight="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</row>
    <row r="252" spans="1:40" ht="15.75" customHeight="1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</row>
    <row r="253" spans="1:40" ht="15.75" customHeight="1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</row>
    <row r="254" spans="1:40" ht="15.75" customHeight="1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</row>
    <row r="255" spans="1:40" ht="15.75" customHeight="1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</row>
    <row r="256" spans="1:40" ht="15.75" customHeight="1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</row>
    <row r="257" spans="1:40" ht="15.75" customHeight="1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</row>
    <row r="258" spans="1:40" ht="15.75" customHeight="1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</row>
    <row r="259" spans="1:40" ht="15.75" customHeight="1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</row>
    <row r="260" spans="1:40" ht="15.75" customHeight="1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</row>
    <row r="261" spans="1:40" ht="15.75" customHeight="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</row>
    <row r="262" spans="1:40" ht="15.75" customHeight="1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</row>
    <row r="263" spans="1:40" ht="15.75" customHeight="1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</row>
    <row r="264" spans="1:40" ht="15.75" customHeight="1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</row>
    <row r="265" spans="1:40" ht="15.75" customHeight="1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</row>
    <row r="266" spans="1:40" ht="15.75" customHeight="1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</row>
    <row r="267" spans="1:40" ht="15.75" customHeight="1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</row>
    <row r="268" spans="1:40" ht="15.75" customHeight="1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</row>
    <row r="269" spans="1:40" ht="15.75" customHeight="1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</row>
    <row r="270" spans="1:40" ht="15.75" customHeight="1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</row>
    <row r="271" spans="1:40" ht="15.75" customHeight="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</row>
    <row r="272" spans="1:40" ht="15.75" customHeight="1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</row>
    <row r="273" spans="1:40" ht="15.75" customHeight="1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</row>
    <row r="274" spans="1:40" ht="15.75" customHeight="1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</row>
    <row r="275" spans="1:40" ht="15.75" customHeight="1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</row>
    <row r="276" spans="1:40" ht="15.75" customHeight="1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</row>
    <row r="277" spans="1:40" ht="15.75" customHeight="1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</row>
    <row r="278" spans="1:40" ht="15.75" customHeight="1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</row>
    <row r="279" spans="1:40" ht="15.75" customHeight="1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</row>
    <row r="280" spans="1:40" ht="15.75" customHeight="1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</row>
    <row r="281" spans="1:40" ht="15.75" customHeight="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</row>
    <row r="282" spans="1:40" ht="15.75" customHeight="1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</row>
    <row r="283" spans="1:40" ht="15.75" customHeight="1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</row>
    <row r="284" spans="1:40" ht="15.75" customHeight="1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</row>
    <row r="285" spans="1:40" ht="15.75" customHeight="1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</row>
    <row r="286" spans="1:40" ht="15.75" customHeight="1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</row>
    <row r="287" spans="1:40" ht="15.75" customHeight="1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</row>
    <row r="288" spans="1:40" ht="15.75" customHeight="1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</row>
    <row r="289" spans="1:40" ht="15.75" customHeight="1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</row>
    <row r="290" spans="1:40" ht="15.75" customHeight="1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1"/>
      <c r="AN290" s="61"/>
    </row>
    <row r="291" spans="1:40" ht="15.75" customHeight="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</row>
    <row r="292" spans="1:40" ht="15.75" customHeight="1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</row>
    <row r="293" spans="1:40" ht="15.75" customHeight="1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</row>
    <row r="294" spans="1:40" ht="15.75" customHeight="1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</row>
    <row r="295" spans="1:40" ht="15.75" customHeight="1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</row>
    <row r="296" spans="1:40" ht="15.75" customHeight="1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</row>
    <row r="297" spans="1:40" ht="15.75" customHeight="1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</row>
    <row r="298" spans="1:40" ht="15.75" customHeight="1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</row>
    <row r="299" spans="1:40" ht="15.75" customHeight="1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</row>
    <row r="300" spans="1:40" ht="15.75" customHeight="1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</row>
    <row r="301" spans="1:40" ht="15.75" customHeight="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</row>
    <row r="302" spans="1:40" ht="15.75" customHeight="1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</row>
    <row r="303" spans="1:40" ht="15.75" customHeight="1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</row>
    <row r="304" spans="1:40" ht="15.75" customHeight="1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</row>
    <row r="305" spans="1:40" ht="15.75" customHeight="1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</row>
    <row r="306" spans="1:40" ht="15.75" customHeight="1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</row>
    <row r="307" spans="1:40" ht="15.75" customHeight="1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</row>
    <row r="308" spans="1:40" ht="15.75" customHeight="1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</row>
    <row r="309" spans="1:40" ht="15.75" customHeight="1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</row>
    <row r="310" spans="1:40" ht="15.75" customHeight="1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</row>
    <row r="311" spans="1:40" ht="15.75" customHeight="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</row>
    <row r="312" spans="1:40" ht="15.75" customHeight="1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1"/>
      <c r="AN312" s="61"/>
    </row>
    <row r="313" spans="1:40" ht="15.75" customHeight="1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1"/>
      <c r="AM313" s="61"/>
      <c r="AN313" s="61"/>
    </row>
    <row r="314" spans="1:40" ht="15.75" customHeight="1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</row>
    <row r="315" spans="1:40" ht="15.75" customHeight="1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</row>
    <row r="316" spans="1:40" ht="15.75" customHeight="1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</row>
    <row r="317" spans="1:40" ht="15.75" customHeight="1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</row>
    <row r="318" spans="1:40" ht="15.75" customHeight="1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</row>
    <row r="319" spans="1:40" ht="15.75" customHeight="1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</row>
    <row r="320" spans="1:40" ht="15.75" customHeight="1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</row>
    <row r="321" spans="1:40" ht="15.75" customHeight="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1"/>
      <c r="AN321" s="61"/>
    </row>
    <row r="322" spans="1:40" ht="15.75" customHeight="1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</row>
    <row r="323" spans="1:40" ht="15.75" customHeight="1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</row>
    <row r="324" spans="1:40" ht="15.75" customHeight="1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</row>
    <row r="325" spans="1:40" ht="15.75" customHeight="1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</row>
    <row r="326" spans="1:40" ht="15.75" customHeight="1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</row>
    <row r="327" spans="1:40" ht="15.75" customHeight="1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</row>
    <row r="328" spans="1:40" ht="15.75" customHeight="1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</row>
    <row r="329" spans="1:40" ht="15.75" customHeight="1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</row>
    <row r="330" spans="1:40" ht="15.75" customHeight="1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</row>
    <row r="331" spans="1:40" ht="15.75" customHeight="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</row>
    <row r="332" spans="1:40" ht="15.75" customHeight="1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</row>
    <row r="333" spans="1:40" ht="15.75" customHeight="1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</row>
    <row r="334" spans="1:40" ht="15.75" customHeight="1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</row>
    <row r="335" spans="1:40" ht="15.75" customHeight="1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</row>
    <row r="336" spans="1:40" ht="15.75" customHeight="1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</row>
    <row r="337" spans="1:40" ht="15.75" customHeight="1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</row>
    <row r="338" spans="1:40" ht="15.75" customHeight="1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1"/>
      <c r="AN338" s="61"/>
    </row>
    <row r="339" spans="1:40" ht="15.75" customHeight="1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</row>
    <row r="340" spans="1:40" ht="15.75" customHeight="1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</row>
    <row r="341" spans="1:40" ht="15.75" customHeight="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1"/>
      <c r="AM341" s="61"/>
      <c r="AN341" s="61"/>
    </row>
    <row r="342" spans="1:40" ht="15.75" customHeight="1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1"/>
      <c r="AN342" s="61"/>
    </row>
    <row r="343" spans="1:40" ht="15.75" customHeight="1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</row>
    <row r="344" spans="1:40" ht="15.75" customHeight="1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</row>
    <row r="345" spans="1:40" ht="15.75" customHeight="1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</row>
    <row r="346" spans="1:40" ht="15.75" customHeight="1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</row>
    <row r="347" spans="1:40" ht="15.75" customHeight="1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</row>
    <row r="348" spans="1:40" ht="15.75" customHeight="1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1"/>
      <c r="AN348" s="61"/>
    </row>
    <row r="349" spans="1:40" ht="15.75" customHeight="1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1"/>
      <c r="AN349" s="61"/>
    </row>
    <row r="350" spans="1:40" ht="15.75" customHeight="1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</row>
    <row r="351" spans="1:40" ht="15.75" customHeight="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</row>
    <row r="352" spans="1:40" ht="15.75" customHeight="1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1"/>
      <c r="AM352" s="61"/>
      <c r="AN352" s="61"/>
    </row>
    <row r="353" spans="1:40" ht="15.75" customHeight="1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1"/>
      <c r="AN353" s="61"/>
    </row>
    <row r="354" spans="1:40" ht="15.75" customHeight="1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</row>
    <row r="355" spans="1:40" ht="15.75" customHeight="1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</row>
    <row r="356" spans="1:40" ht="15.75" customHeight="1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</row>
    <row r="357" spans="1:40" ht="15.75" customHeight="1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</row>
    <row r="358" spans="1:40" ht="15.75" customHeight="1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</row>
    <row r="359" spans="1:40" ht="15.75" customHeight="1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</row>
    <row r="360" spans="1:40" ht="15.75" customHeight="1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</row>
    <row r="361" spans="1:40" ht="15.75" customHeight="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</row>
    <row r="362" spans="1:40" ht="15.75" customHeight="1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</row>
    <row r="363" spans="1:40" ht="15.75" customHeight="1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</row>
    <row r="364" spans="1:40" ht="15.75" customHeight="1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</row>
    <row r="365" spans="1:40" ht="15.75" customHeight="1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</row>
    <row r="366" spans="1:40" ht="15.75" customHeight="1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</row>
    <row r="367" spans="1:40" ht="15.75" customHeight="1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</row>
    <row r="368" spans="1:40" ht="15.75" customHeight="1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</row>
    <row r="369" spans="1:40" ht="15.75" customHeight="1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</row>
    <row r="370" spans="1:40" ht="15.75" customHeight="1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</row>
    <row r="371" spans="1:40" ht="15.75" customHeight="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</row>
    <row r="372" spans="1:40" ht="15.75" customHeight="1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</row>
    <row r="373" spans="1:40" ht="15.75" customHeight="1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</row>
    <row r="374" spans="1:40" ht="15.75" customHeight="1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</row>
    <row r="375" spans="1:40" ht="15.75" customHeight="1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</row>
    <row r="376" spans="1:40" ht="15.75" customHeight="1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</row>
    <row r="377" spans="1:40" ht="15.75" customHeight="1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</row>
    <row r="378" spans="1:40" ht="15.75" customHeight="1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</row>
    <row r="379" spans="1:40" ht="15.75" customHeight="1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</row>
    <row r="380" spans="1:40" ht="15.75" customHeight="1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</row>
    <row r="381" spans="1:40" ht="15.75" customHeight="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</row>
    <row r="382" spans="1:40" ht="15.75" customHeight="1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</row>
    <row r="383" spans="1:40" ht="15.75" customHeight="1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</row>
    <row r="384" spans="1:40" ht="15.75" customHeight="1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</row>
    <row r="385" spans="1:40" ht="15.75" customHeight="1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</row>
    <row r="386" spans="1:40" ht="15.75" customHeight="1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</row>
    <row r="387" spans="1:40" ht="15.75" customHeight="1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</row>
    <row r="388" spans="1:40" ht="15.75" customHeight="1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</row>
    <row r="389" spans="1:40" ht="15.75" customHeight="1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</row>
    <row r="390" spans="1:40" ht="15.75" customHeight="1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</row>
    <row r="391" spans="1:40" ht="15.75" customHeight="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</row>
    <row r="392" spans="1:40" ht="15.75" customHeight="1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</row>
    <row r="393" spans="1:40" ht="15.75" customHeight="1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</row>
    <row r="394" spans="1:40" ht="15.75" customHeight="1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</row>
    <row r="395" spans="1:40" ht="15.75" customHeight="1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</row>
    <row r="396" spans="1:40" ht="15.75" customHeight="1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</row>
    <row r="397" spans="1:40" ht="15.75" customHeight="1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</row>
    <row r="398" spans="1:40" ht="15.75" customHeight="1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</row>
    <row r="399" spans="1:40" ht="15.75" customHeight="1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</row>
    <row r="400" spans="1:40" ht="15.75" customHeight="1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</row>
    <row r="401" spans="1:40" ht="15.75" customHeight="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</row>
    <row r="402" spans="1:40" ht="15.75" customHeight="1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</row>
    <row r="403" spans="1:40" ht="15.75" customHeight="1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</row>
    <row r="404" spans="1:40" ht="15.75" customHeight="1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</row>
    <row r="405" spans="1:40" ht="15.75" customHeight="1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</row>
    <row r="406" spans="1:40" ht="15.75" customHeight="1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</row>
    <row r="407" spans="1:40" ht="15.75" customHeight="1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</row>
    <row r="408" spans="1:40" ht="15.75" customHeight="1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</row>
    <row r="409" spans="1:40" ht="15.75" customHeight="1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</row>
    <row r="410" spans="1:40" ht="15.75" customHeight="1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</row>
    <row r="411" spans="1:40" ht="15.75" customHeight="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</row>
    <row r="412" spans="1:40" ht="15.75" customHeight="1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</row>
    <row r="413" spans="1:40" ht="15.75" customHeight="1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</row>
    <row r="414" spans="1:40" ht="15.75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</row>
    <row r="415" spans="1:40" ht="15.75" customHeight="1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</row>
    <row r="416" spans="1:40" ht="15.75" customHeight="1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</row>
    <row r="417" spans="1:40" ht="15.75" customHeight="1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</row>
    <row r="418" spans="1:40" ht="15.75" customHeight="1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</row>
    <row r="419" spans="1:40" ht="15.75" customHeight="1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</row>
    <row r="420" spans="1:40" ht="15.75" customHeight="1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</row>
    <row r="421" spans="1:40" ht="15.75" customHeight="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</row>
    <row r="422" spans="1:40" ht="15.75" customHeight="1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</row>
    <row r="423" spans="1:40" ht="15.75" customHeight="1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</row>
    <row r="424" spans="1:40" ht="15.75" customHeight="1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</row>
    <row r="425" spans="1:40" ht="15.75" customHeight="1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</row>
    <row r="426" spans="1:40" ht="15.75" customHeight="1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</row>
    <row r="427" spans="1:40" ht="15.75" customHeight="1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</row>
    <row r="428" spans="1:40" ht="15.75" customHeight="1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</row>
    <row r="429" spans="1:40" ht="15.75" customHeight="1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</row>
    <row r="430" spans="1:40" ht="15.75" customHeight="1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</row>
    <row r="431" spans="1:40" ht="15.75" customHeight="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</row>
    <row r="432" spans="1:40" ht="15.75" customHeight="1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</row>
    <row r="433" spans="1:40" ht="15.75" customHeight="1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</row>
    <row r="434" spans="1:40" ht="15.75" customHeight="1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</row>
    <row r="435" spans="1:40" ht="15.75" customHeight="1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</row>
    <row r="436" spans="1:40" ht="15.75" customHeight="1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</row>
    <row r="437" spans="1:40" ht="15.75" customHeight="1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</row>
    <row r="438" spans="1:40" ht="15.75" customHeight="1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</row>
    <row r="439" spans="1:40" ht="15.75" customHeight="1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</row>
    <row r="440" spans="1:40" ht="15.75" customHeight="1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</row>
    <row r="441" spans="1:40" ht="15.75" customHeight="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</row>
    <row r="442" spans="1:40" ht="15.75" customHeight="1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</row>
    <row r="443" spans="1:40" ht="15.75" customHeight="1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</row>
    <row r="444" spans="1:40" ht="15.75" customHeight="1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</row>
    <row r="445" spans="1:40" ht="15.75" customHeight="1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</row>
    <row r="446" spans="1:40" ht="15.75" customHeight="1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</row>
    <row r="447" spans="1:40" ht="15.75" customHeight="1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</row>
    <row r="448" spans="1:40" ht="15.75" customHeight="1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</row>
    <row r="449" spans="1:40" ht="15.75" customHeight="1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</row>
    <row r="450" spans="1:40" ht="15.75" customHeight="1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</row>
    <row r="451" spans="1:40" ht="15.75" customHeight="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</row>
    <row r="452" spans="1:40" ht="15.75" customHeight="1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</row>
    <row r="453" spans="1:40" ht="15.75" customHeight="1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</row>
    <row r="454" spans="1:40" ht="15.75" customHeight="1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</row>
    <row r="455" spans="1:40" ht="15.75" customHeight="1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</row>
    <row r="456" spans="1:40" ht="15.75" customHeight="1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</row>
    <row r="457" spans="1:40" ht="15.75" customHeight="1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</row>
    <row r="458" spans="1:40" ht="15.75" customHeight="1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 s="61"/>
      <c r="AM458" s="61"/>
      <c r="AN458" s="61"/>
    </row>
    <row r="459" spans="1:40" ht="15.75" customHeight="1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</row>
    <row r="460" spans="1:40" ht="15.75" customHeight="1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</row>
    <row r="461" spans="1:40" ht="15.75" customHeight="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 s="61"/>
      <c r="AM461" s="61"/>
      <c r="AN461" s="61"/>
    </row>
    <row r="462" spans="1:40" ht="15.75" customHeight="1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</row>
    <row r="463" spans="1:40" ht="15.75" customHeight="1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</row>
    <row r="464" spans="1:40" ht="15.75" customHeight="1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 s="61"/>
      <c r="AM464" s="61"/>
      <c r="AN464" s="61"/>
    </row>
    <row r="465" spans="1:40" ht="15.75" customHeight="1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</row>
    <row r="466" spans="1:40" ht="15.75" customHeight="1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</row>
    <row r="467" spans="1:40" ht="15.75" customHeight="1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</row>
    <row r="468" spans="1:40" ht="15.75" customHeight="1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</row>
    <row r="469" spans="1:40" ht="15.75" customHeight="1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</row>
    <row r="470" spans="1:40" ht="15.75" customHeight="1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</row>
    <row r="471" spans="1:40" ht="15.75" customHeight="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</row>
    <row r="472" spans="1:40" ht="15.75" customHeight="1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</row>
    <row r="473" spans="1:40" ht="15.75" customHeight="1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</row>
    <row r="474" spans="1:40" ht="15.75" customHeight="1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</row>
    <row r="475" spans="1:40" ht="15.75" customHeight="1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</row>
    <row r="476" spans="1:40" ht="15.75" customHeight="1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</row>
    <row r="477" spans="1:40" ht="15.75" customHeight="1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</row>
    <row r="478" spans="1:40" ht="15.75" customHeight="1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</row>
    <row r="479" spans="1:40" ht="15.75" customHeight="1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</row>
    <row r="480" spans="1:40" ht="15.75" customHeight="1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</row>
    <row r="481" spans="1:40" ht="15.75" customHeight="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</row>
    <row r="482" spans="1:40" ht="15.75" customHeight="1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</row>
    <row r="483" spans="1:40" ht="15.75" customHeight="1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  <c r="AI483" s="61"/>
      <c r="AJ483" s="61"/>
      <c r="AK483" s="61"/>
      <c r="AL483" s="61"/>
      <c r="AM483" s="61"/>
      <c r="AN483" s="61"/>
    </row>
    <row r="484" spans="1:40" ht="15.75" customHeight="1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</row>
    <row r="485" spans="1:40" ht="15.75" customHeight="1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  <c r="AI485" s="61"/>
      <c r="AJ485" s="61"/>
      <c r="AK485" s="61"/>
      <c r="AL485" s="61"/>
      <c r="AM485" s="61"/>
      <c r="AN485" s="61"/>
    </row>
    <row r="486" spans="1:40" ht="15.75" customHeight="1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</row>
    <row r="487" spans="1:40" ht="15.75" customHeight="1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</row>
    <row r="488" spans="1:40" ht="15.75" customHeight="1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</row>
    <row r="489" spans="1:40" ht="15.75" customHeight="1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</row>
    <row r="490" spans="1:40" ht="15.75" customHeight="1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</row>
    <row r="491" spans="1:40" ht="15.75" customHeight="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  <c r="AI491" s="61"/>
      <c r="AJ491" s="61"/>
      <c r="AK491" s="61"/>
      <c r="AL491" s="61"/>
      <c r="AM491" s="61"/>
      <c r="AN491" s="61"/>
    </row>
    <row r="492" spans="1:40" ht="15.75" customHeight="1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  <c r="AI492" s="61"/>
      <c r="AJ492" s="61"/>
      <c r="AK492" s="61"/>
      <c r="AL492" s="61"/>
      <c r="AM492" s="61"/>
      <c r="AN492" s="61"/>
    </row>
    <row r="493" spans="1:40" ht="15.75" customHeight="1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</row>
    <row r="494" spans="1:40" ht="15.75" customHeight="1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</row>
    <row r="495" spans="1:40" ht="15.75" customHeight="1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</row>
    <row r="496" spans="1:40" ht="15.75" customHeight="1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</row>
    <row r="497" spans="1:40" ht="15.75" customHeight="1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</row>
    <row r="498" spans="1:40" ht="15.75" customHeight="1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</row>
    <row r="499" spans="1:40" ht="15.75" customHeight="1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  <c r="AI499" s="61"/>
      <c r="AJ499" s="61"/>
      <c r="AK499" s="61"/>
      <c r="AL499" s="61"/>
      <c r="AM499" s="61"/>
      <c r="AN499" s="61"/>
    </row>
    <row r="500" spans="1:40" ht="15.75" customHeight="1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  <c r="AI500" s="61"/>
      <c r="AJ500" s="61"/>
      <c r="AK500" s="61"/>
      <c r="AL500" s="61"/>
      <c r="AM500" s="61"/>
      <c r="AN500" s="61"/>
    </row>
    <row r="501" spans="1:40" ht="15.75" customHeight="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</row>
    <row r="502" spans="1:40" ht="15.75" customHeight="1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</row>
    <row r="503" spans="1:40" ht="15.75" customHeight="1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</row>
    <row r="504" spans="1:40" ht="15.75" customHeight="1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</row>
    <row r="505" spans="1:40" ht="15.75" customHeight="1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</row>
    <row r="506" spans="1:40" ht="15.75" customHeight="1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</row>
    <row r="507" spans="1:40" ht="15.75" customHeight="1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</row>
    <row r="508" spans="1:40" ht="15.75" customHeight="1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</row>
    <row r="509" spans="1:40" ht="15.75" customHeight="1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</row>
    <row r="510" spans="1:40" ht="15.75" customHeight="1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</row>
    <row r="511" spans="1:40" ht="15.75" customHeight="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</row>
    <row r="512" spans="1:40" ht="15.75" customHeight="1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</row>
    <row r="513" spans="1:40" ht="15.75" customHeight="1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</row>
    <row r="514" spans="1:40" ht="15.75" customHeight="1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</row>
    <row r="515" spans="1:40" ht="15.75" customHeight="1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</row>
    <row r="516" spans="1:40" ht="15.75" customHeight="1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</row>
    <row r="517" spans="1:40" ht="15.75" customHeight="1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</row>
    <row r="518" spans="1:40" ht="15.75" customHeight="1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</row>
    <row r="519" spans="1:40" ht="15.75" customHeight="1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</row>
    <row r="520" spans="1:40" ht="15.75" customHeight="1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</row>
    <row r="521" spans="1:40" ht="15.75" customHeight="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</row>
    <row r="522" spans="1:40" ht="15.75" customHeight="1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</row>
    <row r="523" spans="1:40" ht="15.75" customHeight="1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</row>
    <row r="524" spans="1:40" ht="15.75" customHeight="1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</row>
    <row r="525" spans="1:40" ht="15.75" customHeight="1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</row>
    <row r="526" spans="1:40" ht="15.75" customHeight="1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</row>
    <row r="527" spans="1:40" ht="15.75" customHeight="1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</row>
    <row r="528" spans="1:40" ht="15.75" customHeight="1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</row>
    <row r="529" spans="1:40" ht="15.75" customHeight="1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</row>
    <row r="530" spans="1:40" ht="15.75" customHeight="1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</row>
    <row r="531" spans="1:40" ht="15.75" customHeight="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</row>
    <row r="532" spans="1:40" ht="15.75" customHeight="1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</row>
    <row r="533" spans="1:40" ht="15.75" customHeight="1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</row>
    <row r="534" spans="1:40" ht="15.75" customHeight="1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  <c r="AE534" s="61"/>
      <c r="AF534" s="61"/>
      <c r="AG534" s="61"/>
      <c r="AH534" s="61"/>
      <c r="AI534" s="61"/>
      <c r="AJ534" s="61"/>
      <c r="AK534" s="61"/>
      <c r="AL534" s="61"/>
      <c r="AM534" s="61"/>
      <c r="AN534" s="61"/>
    </row>
    <row r="535" spans="1:40" ht="15.75" customHeight="1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  <c r="AG535" s="61"/>
      <c r="AH535" s="61"/>
      <c r="AI535" s="61"/>
      <c r="AJ535" s="61"/>
      <c r="AK535" s="61"/>
      <c r="AL535" s="61"/>
      <c r="AM535" s="61"/>
      <c r="AN535" s="61"/>
    </row>
    <row r="536" spans="1:40" ht="15.75" customHeight="1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  <c r="AE536" s="61"/>
      <c r="AF536" s="61"/>
      <c r="AG536" s="61"/>
      <c r="AH536" s="61"/>
      <c r="AI536" s="61"/>
      <c r="AJ536" s="61"/>
      <c r="AK536" s="61"/>
      <c r="AL536" s="61"/>
      <c r="AM536" s="61"/>
      <c r="AN536" s="61"/>
    </row>
    <row r="537" spans="1:40" ht="15.75" customHeight="1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  <c r="AE537" s="61"/>
      <c r="AF537" s="61"/>
      <c r="AG537" s="61"/>
      <c r="AH537" s="61"/>
      <c r="AI537" s="61"/>
      <c r="AJ537" s="61"/>
      <c r="AK537" s="61"/>
      <c r="AL537" s="61"/>
      <c r="AM537" s="61"/>
      <c r="AN537" s="61"/>
    </row>
    <row r="538" spans="1:40" ht="15.75" customHeight="1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  <c r="AG538" s="61"/>
      <c r="AH538" s="61"/>
      <c r="AI538" s="61"/>
      <c r="AJ538" s="61"/>
      <c r="AK538" s="61"/>
      <c r="AL538" s="61"/>
      <c r="AM538" s="61"/>
      <c r="AN538" s="61"/>
    </row>
    <row r="539" spans="1:40" ht="15.75" customHeight="1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  <c r="AE539" s="61"/>
      <c r="AF539" s="61"/>
      <c r="AG539" s="61"/>
      <c r="AH539" s="61"/>
      <c r="AI539" s="61"/>
      <c r="AJ539" s="61"/>
      <c r="AK539" s="61"/>
      <c r="AL539" s="61"/>
      <c r="AM539" s="61"/>
      <c r="AN539" s="61"/>
    </row>
    <row r="540" spans="1:40" ht="15.75" customHeight="1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  <c r="AG540" s="61"/>
      <c r="AH540" s="61"/>
      <c r="AI540" s="61"/>
      <c r="AJ540" s="61"/>
      <c r="AK540" s="61"/>
      <c r="AL540" s="61"/>
      <c r="AM540" s="61"/>
      <c r="AN540" s="61"/>
    </row>
    <row r="541" spans="1:40" ht="15.75" customHeight="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  <c r="AE541" s="61"/>
      <c r="AF541" s="61"/>
      <c r="AG541" s="61"/>
      <c r="AH541" s="61"/>
      <c r="AI541" s="61"/>
      <c r="AJ541" s="61"/>
      <c r="AK541" s="61"/>
      <c r="AL541" s="61"/>
      <c r="AM541" s="61"/>
      <c r="AN541" s="61"/>
    </row>
    <row r="542" spans="1:40" ht="15.75" customHeight="1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  <c r="AE542" s="61"/>
      <c r="AF542" s="61"/>
      <c r="AG542" s="61"/>
      <c r="AH542" s="61"/>
      <c r="AI542" s="61"/>
      <c r="AJ542" s="61"/>
      <c r="AK542" s="61"/>
      <c r="AL542" s="61"/>
      <c r="AM542" s="61"/>
      <c r="AN542" s="61"/>
    </row>
    <row r="543" spans="1:40" ht="15.75" customHeight="1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  <c r="AE543" s="61"/>
      <c r="AF543" s="61"/>
      <c r="AG543" s="61"/>
      <c r="AH543" s="61"/>
      <c r="AI543" s="61"/>
      <c r="AJ543" s="61"/>
      <c r="AK543" s="61"/>
      <c r="AL543" s="61"/>
      <c r="AM543" s="61"/>
      <c r="AN543" s="61"/>
    </row>
    <row r="544" spans="1:40" ht="15.75" customHeight="1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  <c r="AE544" s="61"/>
      <c r="AF544" s="61"/>
      <c r="AG544" s="61"/>
      <c r="AH544" s="61"/>
      <c r="AI544" s="61"/>
      <c r="AJ544" s="61"/>
      <c r="AK544" s="61"/>
      <c r="AL544" s="61"/>
      <c r="AM544" s="61"/>
      <c r="AN544" s="61"/>
    </row>
    <row r="545" spans="1:40" ht="15.75" customHeight="1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  <c r="AE545" s="61"/>
      <c r="AF545" s="61"/>
      <c r="AG545" s="61"/>
      <c r="AH545" s="61"/>
      <c r="AI545" s="61"/>
      <c r="AJ545" s="61"/>
      <c r="AK545" s="61"/>
      <c r="AL545" s="61"/>
      <c r="AM545" s="61"/>
      <c r="AN545" s="61"/>
    </row>
    <row r="546" spans="1:40" ht="15.75" customHeight="1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  <c r="AE546" s="61"/>
      <c r="AF546" s="61"/>
      <c r="AG546" s="61"/>
      <c r="AH546" s="61"/>
      <c r="AI546" s="61"/>
      <c r="AJ546" s="61"/>
      <c r="AK546" s="61"/>
      <c r="AL546" s="61"/>
      <c r="AM546" s="61"/>
      <c r="AN546" s="61"/>
    </row>
    <row r="547" spans="1:40" ht="15.75" customHeight="1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61"/>
      <c r="AG547" s="61"/>
      <c r="AH547" s="61"/>
      <c r="AI547" s="61"/>
      <c r="AJ547" s="61"/>
      <c r="AK547" s="61"/>
      <c r="AL547" s="61"/>
      <c r="AM547" s="61"/>
      <c r="AN547" s="61"/>
    </row>
    <row r="548" spans="1:40" ht="15.75" customHeight="1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  <c r="AE548" s="61"/>
      <c r="AF548" s="61"/>
      <c r="AG548" s="61"/>
      <c r="AH548" s="61"/>
      <c r="AI548" s="61"/>
      <c r="AJ548" s="61"/>
      <c r="AK548" s="61"/>
      <c r="AL548" s="61"/>
      <c r="AM548" s="61"/>
      <c r="AN548" s="61"/>
    </row>
    <row r="549" spans="1:40" ht="15.75" customHeight="1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  <c r="AE549" s="61"/>
      <c r="AF549" s="61"/>
      <c r="AG549" s="61"/>
      <c r="AH549" s="61"/>
      <c r="AI549" s="61"/>
      <c r="AJ549" s="61"/>
      <c r="AK549" s="61"/>
      <c r="AL549" s="61"/>
      <c r="AM549" s="61"/>
      <c r="AN549" s="61"/>
    </row>
    <row r="550" spans="1:40" ht="15.75" customHeight="1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  <c r="AE550" s="61"/>
      <c r="AF550" s="61"/>
      <c r="AG550" s="61"/>
      <c r="AH550" s="61"/>
      <c r="AI550" s="61"/>
      <c r="AJ550" s="61"/>
      <c r="AK550" s="61"/>
      <c r="AL550" s="61"/>
      <c r="AM550" s="61"/>
      <c r="AN550" s="61"/>
    </row>
    <row r="551" spans="1:40" ht="15.75" customHeight="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  <c r="AE551" s="61"/>
      <c r="AF551" s="61"/>
      <c r="AG551" s="61"/>
      <c r="AH551" s="61"/>
      <c r="AI551" s="61"/>
      <c r="AJ551" s="61"/>
      <c r="AK551" s="61"/>
      <c r="AL551" s="61"/>
      <c r="AM551" s="61"/>
      <c r="AN551" s="61"/>
    </row>
    <row r="552" spans="1:40" ht="15.75" customHeight="1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  <c r="AE552" s="61"/>
      <c r="AF552" s="61"/>
      <c r="AG552" s="61"/>
      <c r="AH552" s="61"/>
      <c r="AI552" s="61"/>
      <c r="AJ552" s="61"/>
      <c r="AK552" s="61"/>
      <c r="AL552" s="61"/>
      <c r="AM552" s="61"/>
      <c r="AN552" s="61"/>
    </row>
    <row r="553" spans="1:40" ht="15.75" customHeight="1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  <c r="AE553" s="61"/>
      <c r="AF553" s="61"/>
      <c r="AG553" s="61"/>
      <c r="AH553" s="61"/>
      <c r="AI553" s="61"/>
      <c r="AJ553" s="61"/>
      <c r="AK553" s="61"/>
      <c r="AL553" s="61"/>
      <c r="AM553" s="61"/>
      <c r="AN553" s="61"/>
    </row>
    <row r="554" spans="1:40" ht="15.75" customHeight="1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  <c r="AE554" s="61"/>
      <c r="AF554" s="61"/>
      <c r="AG554" s="61"/>
      <c r="AH554" s="61"/>
      <c r="AI554" s="61"/>
      <c r="AJ554" s="61"/>
      <c r="AK554" s="61"/>
      <c r="AL554" s="61"/>
      <c r="AM554" s="61"/>
      <c r="AN554" s="61"/>
    </row>
    <row r="555" spans="1:40" ht="15.75" customHeight="1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  <c r="AE555" s="61"/>
      <c r="AF555" s="61"/>
      <c r="AG555" s="61"/>
      <c r="AH555" s="61"/>
      <c r="AI555" s="61"/>
      <c r="AJ555" s="61"/>
      <c r="AK555" s="61"/>
      <c r="AL555" s="61"/>
      <c r="AM555" s="61"/>
      <c r="AN555" s="61"/>
    </row>
    <row r="556" spans="1:40" ht="15.75" customHeight="1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  <c r="AE556" s="61"/>
      <c r="AF556" s="61"/>
      <c r="AG556" s="61"/>
      <c r="AH556" s="61"/>
      <c r="AI556" s="61"/>
      <c r="AJ556" s="61"/>
      <c r="AK556" s="61"/>
      <c r="AL556" s="61"/>
      <c r="AM556" s="61"/>
      <c r="AN556" s="61"/>
    </row>
    <row r="557" spans="1:40" ht="15.75" customHeight="1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  <c r="AE557" s="61"/>
      <c r="AF557" s="61"/>
      <c r="AG557" s="61"/>
      <c r="AH557" s="61"/>
      <c r="AI557" s="61"/>
      <c r="AJ557" s="61"/>
      <c r="AK557" s="61"/>
      <c r="AL557" s="61"/>
      <c r="AM557" s="61"/>
      <c r="AN557" s="61"/>
    </row>
    <row r="558" spans="1:40" ht="15.75" customHeight="1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  <c r="AE558" s="61"/>
      <c r="AF558" s="61"/>
      <c r="AG558" s="61"/>
      <c r="AH558" s="61"/>
      <c r="AI558" s="61"/>
      <c r="AJ558" s="61"/>
      <c r="AK558" s="61"/>
      <c r="AL558" s="61"/>
      <c r="AM558" s="61"/>
      <c r="AN558" s="61"/>
    </row>
    <row r="559" spans="1:40" ht="15.75" customHeight="1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  <c r="AD559" s="61"/>
      <c r="AE559" s="61"/>
      <c r="AF559" s="61"/>
      <c r="AG559" s="61"/>
      <c r="AH559" s="61"/>
      <c r="AI559" s="61"/>
      <c r="AJ559" s="61"/>
      <c r="AK559" s="61"/>
      <c r="AL559" s="61"/>
      <c r="AM559" s="61"/>
      <c r="AN559" s="61"/>
    </row>
    <row r="560" spans="1:40" ht="15.75" customHeight="1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  <c r="AD560" s="61"/>
      <c r="AE560" s="61"/>
      <c r="AF560" s="61"/>
      <c r="AG560" s="61"/>
      <c r="AH560" s="61"/>
      <c r="AI560" s="61"/>
      <c r="AJ560" s="61"/>
      <c r="AK560" s="61"/>
      <c r="AL560" s="61"/>
      <c r="AM560" s="61"/>
      <c r="AN560" s="61"/>
    </row>
    <row r="561" spans="1:40" ht="15.75" customHeight="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  <c r="AE561" s="61"/>
      <c r="AF561" s="61"/>
      <c r="AG561" s="61"/>
      <c r="AH561" s="61"/>
      <c r="AI561" s="61"/>
      <c r="AJ561" s="61"/>
      <c r="AK561" s="61"/>
      <c r="AL561" s="61"/>
      <c r="AM561" s="61"/>
      <c r="AN561" s="61"/>
    </row>
    <row r="562" spans="1:40" ht="15.75" customHeight="1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  <c r="AE562" s="61"/>
      <c r="AF562" s="61"/>
      <c r="AG562" s="61"/>
      <c r="AH562" s="61"/>
      <c r="AI562" s="61"/>
      <c r="AJ562" s="61"/>
      <c r="AK562" s="61"/>
      <c r="AL562" s="61"/>
      <c r="AM562" s="61"/>
      <c r="AN562" s="61"/>
    </row>
    <row r="563" spans="1:40" ht="15.75" customHeight="1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  <c r="AE563" s="61"/>
      <c r="AF563" s="61"/>
      <c r="AG563" s="61"/>
      <c r="AH563" s="61"/>
      <c r="AI563" s="61"/>
      <c r="AJ563" s="61"/>
      <c r="AK563" s="61"/>
      <c r="AL563" s="61"/>
      <c r="AM563" s="61"/>
      <c r="AN563" s="61"/>
    </row>
    <row r="564" spans="1:40" ht="15.75" customHeight="1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  <c r="AI564" s="61"/>
      <c r="AJ564" s="61"/>
      <c r="AK564" s="61"/>
      <c r="AL564" s="61"/>
      <c r="AM564" s="61"/>
      <c r="AN564" s="61"/>
    </row>
    <row r="565" spans="1:40" ht="15.75" customHeight="1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  <c r="AI565" s="61"/>
      <c r="AJ565" s="61"/>
      <c r="AK565" s="61"/>
      <c r="AL565" s="61"/>
      <c r="AM565" s="61"/>
      <c r="AN565" s="61"/>
    </row>
    <row r="566" spans="1:40" ht="15.75" customHeight="1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  <c r="AE566" s="61"/>
      <c r="AF566" s="61"/>
      <c r="AG566" s="61"/>
      <c r="AH566" s="61"/>
      <c r="AI566" s="61"/>
      <c r="AJ566" s="61"/>
      <c r="AK566" s="61"/>
      <c r="AL566" s="61"/>
      <c r="AM566" s="61"/>
      <c r="AN566" s="61"/>
    </row>
    <row r="567" spans="1:40" ht="15.75" customHeight="1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  <c r="AI567" s="61"/>
      <c r="AJ567" s="61"/>
      <c r="AK567" s="61"/>
      <c r="AL567" s="61"/>
      <c r="AM567" s="61"/>
      <c r="AN567" s="61"/>
    </row>
    <row r="568" spans="1:40" ht="15.75" customHeight="1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</row>
    <row r="569" spans="1:40" ht="15.75" customHeight="1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  <c r="AE569" s="61"/>
      <c r="AF569" s="61"/>
      <c r="AG569" s="61"/>
      <c r="AH569" s="61"/>
      <c r="AI569" s="61"/>
      <c r="AJ569" s="61"/>
      <c r="AK569" s="61"/>
      <c r="AL569" s="61"/>
      <c r="AM569" s="61"/>
      <c r="AN569" s="61"/>
    </row>
    <row r="570" spans="1:40" ht="15.75" customHeight="1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  <c r="AJ570" s="61"/>
      <c r="AK570" s="61"/>
      <c r="AL570" s="61"/>
      <c r="AM570" s="61"/>
      <c r="AN570" s="61"/>
    </row>
    <row r="571" spans="1:40" ht="15.75" customHeight="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  <c r="AI571" s="61"/>
      <c r="AJ571" s="61"/>
      <c r="AK571" s="61"/>
      <c r="AL571" s="61"/>
      <c r="AM571" s="61"/>
      <c r="AN571" s="61"/>
    </row>
    <row r="572" spans="1:40" ht="15.75" customHeight="1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  <c r="AG572" s="61"/>
      <c r="AH572" s="61"/>
      <c r="AI572" s="61"/>
      <c r="AJ572" s="61"/>
      <c r="AK572" s="61"/>
      <c r="AL572" s="61"/>
      <c r="AM572" s="61"/>
      <c r="AN572" s="61"/>
    </row>
    <row r="573" spans="1:40" ht="15.75" customHeight="1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</row>
    <row r="574" spans="1:40" ht="15.75" customHeight="1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</row>
    <row r="575" spans="1:40" ht="15.75" customHeight="1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</row>
    <row r="576" spans="1:40" ht="15.75" customHeight="1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</row>
    <row r="577" spans="1:40" ht="15.75" customHeight="1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</row>
    <row r="578" spans="1:40" ht="15.75" customHeight="1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</row>
    <row r="579" spans="1:40" ht="15.75" customHeight="1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</row>
    <row r="580" spans="1:40" ht="15.75" customHeight="1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</row>
    <row r="581" spans="1:40" ht="15.75" customHeight="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</row>
    <row r="582" spans="1:40" ht="15.75" customHeight="1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</row>
    <row r="583" spans="1:40" ht="15.75" customHeight="1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</row>
    <row r="584" spans="1:40" ht="15.75" customHeight="1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</row>
    <row r="585" spans="1:40" ht="15.75" customHeight="1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</row>
    <row r="586" spans="1:40" ht="15.75" customHeight="1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</row>
    <row r="587" spans="1:40" ht="15.75" customHeight="1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</row>
    <row r="588" spans="1:40" ht="15.75" customHeight="1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</row>
    <row r="589" spans="1:40" ht="15.75" customHeight="1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</row>
    <row r="590" spans="1:40" ht="15.75" customHeight="1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</row>
    <row r="591" spans="1:40" ht="15.75" customHeight="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</row>
    <row r="592" spans="1:40" ht="15.75" customHeight="1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</row>
    <row r="593" spans="1:40" ht="15.75" customHeight="1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</row>
    <row r="594" spans="1:40" ht="15.75" customHeight="1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1"/>
      <c r="AJ594" s="61"/>
      <c r="AK594" s="61"/>
      <c r="AL594" s="61"/>
      <c r="AM594" s="61"/>
      <c r="AN594" s="61"/>
    </row>
    <row r="595" spans="1:40" ht="15.75" customHeight="1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</row>
    <row r="596" spans="1:40" ht="15.75" customHeight="1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</row>
    <row r="597" spans="1:40" ht="15.75" customHeight="1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</row>
    <row r="598" spans="1:40" ht="15.75" customHeight="1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</row>
    <row r="599" spans="1:40" ht="15.75" customHeight="1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</row>
    <row r="600" spans="1:40" ht="15.75" customHeight="1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</row>
    <row r="601" spans="1:40" ht="15.75" customHeight="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</row>
    <row r="602" spans="1:40" ht="15.75" customHeight="1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</row>
    <row r="603" spans="1:40" ht="15.75" customHeight="1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</row>
    <row r="604" spans="1:40" ht="15.75" customHeight="1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</row>
    <row r="605" spans="1:40" ht="15.75" customHeight="1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</row>
    <row r="606" spans="1:40" ht="15.75" customHeight="1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</row>
    <row r="607" spans="1:40" ht="15.75" customHeight="1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</row>
    <row r="608" spans="1:40" ht="15.75" customHeight="1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</row>
    <row r="609" spans="1:40" ht="15.75" customHeight="1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</row>
    <row r="610" spans="1:40" ht="15.75" customHeight="1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</row>
    <row r="611" spans="1:40" ht="15.75" customHeight="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</row>
    <row r="612" spans="1:40" ht="15.75" customHeight="1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</row>
    <row r="613" spans="1:40" ht="15.75" customHeight="1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</row>
    <row r="614" spans="1:40" ht="15.75" customHeight="1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</row>
    <row r="615" spans="1:40" ht="15.75" customHeight="1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</row>
    <row r="616" spans="1:40" ht="15.75" customHeight="1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  <c r="AE616" s="61"/>
      <c r="AF616" s="61"/>
      <c r="AG616" s="61"/>
      <c r="AH616" s="61"/>
      <c r="AI616" s="61"/>
      <c r="AJ616" s="61"/>
      <c r="AK616" s="61"/>
      <c r="AL616" s="61"/>
      <c r="AM616" s="61"/>
      <c r="AN616" s="61"/>
    </row>
    <row r="617" spans="1:40" ht="15.75" customHeight="1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  <c r="AE617" s="61"/>
      <c r="AF617" s="61"/>
      <c r="AG617" s="61"/>
      <c r="AH617" s="61"/>
      <c r="AI617" s="61"/>
      <c r="AJ617" s="61"/>
      <c r="AK617" s="61"/>
      <c r="AL617" s="61"/>
      <c r="AM617" s="61"/>
      <c r="AN617" s="61"/>
    </row>
    <row r="618" spans="1:40" ht="15.75" customHeight="1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  <c r="AE618" s="61"/>
      <c r="AF618" s="61"/>
      <c r="AG618" s="61"/>
      <c r="AH618" s="61"/>
      <c r="AI618" s="61"/>
      <c r="AJ618" s="61"/>
      <c r="AK618" s="61"/>
      <c r="AL618" s="61"/>
      <c r="AM618" s="61"/>
      <c r="AN618" s="61"/>
    </row>
    <row r="619" spans="1:40" ht="15.75" customHeight="1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  <c r="AE619" s="61"/>
      <c r="AF619" s="61"/>
      <c r="AG619" s="61"/>
      <c r="AH619" s="61"/>
      <c r="AI619" s="61"/>
      <c r="AJ619" s="61"/>
      <c r="AK619" s="61"/>
      <c r="AL619" s="61"/>
      <c r="AM619" s="61"/>
      <c r="AN619" s="61"/>
    </row>
    <row r="620" spans="1:40" ht="15.75" customHeight="1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</row>
    <row r="621" spans="1:40" ht="15.75" customHeight="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</row>
    <row r="622" spans="1:40" ht="15.75" customHeight="1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</row>
    <row r="623" spans="1:40" ht="15.75" customHeight="1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</row>
    <row r="624" spans="1:40" ht="15.75" customHeight="1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</row>
    <row r="625" spans="1:40" ht="15.75" customHeight="1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</row>
    <row r="626" spans="1:40" ht="15.75" customHeight="1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</row>
    <row r="627" spans="1:40" ht="15.75" customHeight="1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</row>
    <row r="628" spans="1:40" ht="15.75" customHeight="1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</row>
    <row r="629" spans="1:40" ht="15.75" customHeight="1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</row>
    <row r="630" spans="1:40" ht="15.75" customHeight="1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</row>
    <row r="631" spans="1:40" ht="15.75" customHeight="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</row>
    <row r="632" spans="1:40" ht="15.75" customHeight="1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</row>
    <row r="633" spans="1:40" ht="15.75" customHeight="1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</row>
    <row r="634" spans="1:40" ht="15.75" customHeight="1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</row>
    <row r="635" spans="1:40" ht="15.75" customHeight="1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</row>
    <row r="636" spans="1:40" ht="15.75" customHeight="1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</row>
    <row r="637" spans="1:40" ht="15.75" customHeight="1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</row>
    <row r="638" spans="1:40" ht="15.75" customHeight="1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</row>
    <row r="639" spans="1:40" ht="15.75" customHeight="1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</row>
    <row r="640" spans="1:40" ht="15.75" customHeight="1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</row>
    <row r="641" spans="1:40" ht="15.75" customHeight="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  <c r="AD641" s="61"/>
      <c r="AE641" s="61"/>
      <c r="AF641" s="61"/>
      <c r="AG641" s="61"/>
      <c r="AH641" s="61"/>
      <c r="AI641" s="61"/>
      <c r="AJ641" s="61"/>
      <c r="AK641" s="61"/>
      <c r="AL641" s="61"/>
      <c r="AM641" s="61"/>
      <c r="AN641" s="61"/>
    </row>
    <row r="642" spans="1:40" ht="15.75" customHeight="1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  <c r="AD642" s="61"/>
      <c r="AE642" s="61"/>
      <c r="AF642" s="61"/>
      <c r="AG642" s="61"/>
      <c r="AH642" s="61"/>
      <c r="AI642" s="61"/>
      <c r="AJ642" s="61"/>
      <c r="AK642" s="61"/>
      <c r="AL642" s="61"/>
      <c r="AM642" s="61"/>
      <c r="AN642" s="61"/>
    </row>
    <row r="643" spans="1:40" ht="15.75" customHeight="1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  <c r="AE643" s="61"/>
      <c r="AF643" s="61"/>
      <c r="AG643" s="61"/>
      <c r="AH643" s="61"/>
      <c r="AI643" s="61"/>
      <c r="AJ643" s="61"/>
      <c r="AK643" s="61"/>
      <c r="AL643" s="61"/>
      <c r="AM643" s="61"/>
      <c r="AN643" s="61"/>
    </row>
    <row r="644" spans="1:40" ht="15.75" customHeight="1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  <c r="AE644" s="61"/>
      <c r="AF644" s="61"/>
      <c r="AG644" s="61"/>
      <c r="AH644" s="61"/>
      <c r="AI644" s="61"/>
      <c r="AJ644" s="61"/>
      <c r="AK644" s="61"/>
      <c r="AL644" s="61"/>
      <c r="AM644" s="61"/>
      <c r="AN644" s="61"/>
    </row>
    <row r="645" spans="1:40" ht="15.75" customHeight="1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  <c r="AD645" s="61"/>
      <c r="AE645" s="61"/>
      <c r="AF645" s="61"/>
      <c r="AG645" s="61"/>
      <c r="AH645" s="61"/>
      <c r="AI645" s="61"/>
      <c r="AJ645" s="61"/>
      <c r="AK645" s="61"/>
      <c r="AL645" s="61"/>
      <c r="AM645" s="61"/>
      <c r="AN645" s="61"/>
    </row>
    <row r="646" spans="1:40" ht="15.75" customHeight="1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  <c r="AD646" s="61"/>
      <c r="AE646" s="61"/>
      <c r="AF646" s="61"/>
      <c r="AG646" s="61"/>
      <c r="AH646" s="61"/>
      <c r="AI646" s="61"/>
      <c r="AJ646" s="61"/>
      <c r="AK646" s="61"/>
      <c r="AL646" s="61"/>
      <c r="AM646" s="61"/>
      <c r="AN646" s="61"/>
    </row>
    <row r="647" spans="1:40" ht="15.75" customHeight="1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  <c r="AD647" s="61"/>
      <c r="AE647" s="61"/>
      <c r="AF647" s="61"/>
      <c r="AG647" s="61"/>
      <c r="AH647" s="61"/>
      <c r="AI647" s="61"/>
      <c r="AJ647" s="61"/>
      <c r="AK647" s="61"/>
      <c r="AL647" s="61"/>
      <c r="AM647" s="61"/>
      <c r="AN647" s="61"/>
    </row>
    <row r="648" spans="1:40" ht="15.75" customHeight="1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  <c r="AD648" s="61"/>
      <c r="AE648" s="61"/>
      <c r="AF648" s="61"/>
      <c r="AG648" s="61"/>
      <c r="AH648" s="61"/>
      <c r="AI648" s="61"/>
      <c r="AJ648" s="61"/>
      <c r="AK648" s="61"/>
      <c r="AL648" s="61"/>
      <c r="AM648" s="61"/>
      <c r="AN648" s="61"/>
    </row>
    <row r="649" spans="1:40" ht="15.75" customHeight="1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  <c r="AD649" s="61"/>
      <c r="AE649" s="61"/>
      <c r="AF649" s="61"/>
      <c r="AG649" s="61"/>
      <c r="AH649" s="61"/>
      <c r="AI649" s="61"/>
      <c r="AJ649" s="61"/>
      <c r="AK649" s="61"/>
      <c r="AL649" s="61"/>
      <c r="AM649" s="61"/>
      <c r="AN649" s="61"/>
    </row>
    <row r="650" spans="1:40" ht="15.75" customHeight="1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  <c r="AE650" s="61"/>
      <c r="AF650" s="61"/>
      <c r="AG650" s="61"/>
      <c r="AH650" s="61"/>
      <c r="AI650" s="61"/>
      <c r="AJ650" s="61"/>
      <c r="AK650" s="61"/>
      <c r="AL650" s="61"/>
      <c r="AM650" s="61"/>
      <c r="AN650" s="61"/>
    </row>
    <row r="651" spans="1:40" ht="15.75" customHeight="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</row>
    <row r="652" spans="1:40" ht="15.75" customHeight="1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</row>
    <row r="653" spans="1:40" ht="15.75" customHeight="1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  <c r="AE653" s="61"/>
      <c r="AF653" s="61"/>
      <c r="AG653" s="61"/>
      <c r="AH653" s="61"/>
      <c r="AI653" s="61"/>
      <c r="AJ653" s="61"/>
      <c r="AK653" s="61"/>
      <c r="AL653" s="61"/>
      <c r="AM653" s="61"/>
      <c r="AN653" s="61"/>
    </row>
    <row r="654" spans="1:40" ht="15.75" customHeight="1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  <c r="AE654" s="61"/>
      <c r="AF654" s="61"/>
      <c r="AG654" s="61"/>
      <c r="AH654" s="61"/>
      <c r="AI654" s="61"/>
      <c r="AJ654" s="61"/>
      <c r="AK654" s="61"/>
      <c r="AL654" s="61"/>
      <c r="AM654" s="61"/>
      <c r="AN654" s="61"/>
    </row>
    <row r="655" spans="1:40" ht="15.75" customHeight="1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</row>
    <row r="656" spans="1:40" ht="15.75" customHeight="1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</row>
    <row r="657" spans="1:40" ht="15.75" customHeight="1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</row>
    <row r="658" spans="1:40" ht="15.75" customHeight="1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</row>
    <row r="659" spans="1:40" ht="15.75" customHeight="1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  <c r="AE659" s="61"/>
      <c r="AF659" s="61"/>
      <c r="AG659" s="61"/>
      <c r="AH659" s="61"/>
      <c r="AI659" s="61"/>
      <c r="AJ659" s="61"/>
      <c r="AK659" s="61"/>
      <c r="AL659" s="61"/>
      <c r="AM659" s="61"/>
      <c r="AN659" s="61"/>
    </row>
    <row r="660" spans="1:40" ht="15.75" customHeight="1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</row>
    <row r="661" spans="1:40" ht="15.75" customHeight="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</row>
    <row r="662" spans="1:40" ht="15.75" customHeight="1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</row>
    <row r="663" spans="1:40" ht="15.75" customHeight="1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</row>
    <row r="664" spans="1:40" ht="15.75" customHeight="1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  <c r="AE664" s="61"/>
      <c r="AF664" s="61"/>
      <c r="AG664" s="61"/>
      <c r="AH664" s="61"/>
      <c r="AI664" s="61"/>
      <c r="AJ664" s="61"/>
      <c r="AK664" s="61"/>
      <c r="AL664" s="61"/>
      <c r="AM664" s="61"/>
      <c r="AN664" s="61"/>
    </row>
    <row r="665" spans="1:40" ht="15.75" customHeight="1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</row>
    <row r="666" spans="1:40" ht="15.75" customHeight="1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  <c r="AE666" s="61"/>
      <c r="AF666" s="61"/>
      <c r="AG666" s="61"/>
      <c r="AH666" s="61"/>
      <c r="AI666" s="61"/>
      <c r="AJ666" s="61"/>
      <c r="AK666" s="61"/>
      <c r="AL666" s="61"/>
      <c r="AM666" s="61"/>
      <c r="AN666" s="61"/>
    </row>
    <row r="667" spans="1:40" ht="15.75" customHeight="1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  <c r="AD667" s="61"/>
      <c r="AE667" s="61"/>
      <c r="AF667" s="61"/>
      <c r="AG667" s="61"/>
      <c r="AH667" s="61"/>
      <c r="AI667" s="61"/>
      <c r="AJ667" s="61"/>
      <c r="AK667" s="61"/>
      <c r="AL667" s="61"/>
      <c r="AM667" s="61"/>
      <c r="AN667" s="61"/>
    </row>
    <row r="668" spans="1:40" ht="15.75" customHeight="1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</row>
    <row r="669" spans="1:40" ht="15.75" customHeight="1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  <c r="AE669" s="61"/>
      <c r="AF669" s="61"/>
      <c r="AG669" s="61"/>
      <c r="AH669" s="61"/>
      <c r="AI669" s="61"/>
      <c r="AJ669" s="61"/>
      <c r="AK669" s="61"/>
      <c r="AL669" s="61"/>
      <c r="AM669" s="61"/>
      <c r="AN669" s="61"/>
    </row>
    <row r="670" spans="1:40" ht="15.75" customHeight="1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  <c r="AE670" s="61"/>
      <c r="AF670" s="61"/>
      <c r="AG670" s="61"/>
      <c r="AH670" s="61"/>
      <c r="AI670" s="61"/>
      <c r="AJ670" s="61"/>
      <c r="AK670" s="61"/>
      <c r="AL670" s="61"/>
      <c r="AM670" s="61"/>
      <c r="AN670" s="61"/>
    </row>
    <row r="671" spans="1:40" ht="15.75" customHeight="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  <c r="AE671" s="61"/>
      <c r="AF671" s="61"/>
      <c r="AG671" s="61"/>
      <c r="AH671" s="61"/>
      <c r="AI671" s="61"/>
      <c r="AJ671" s="61"/>
      <c r="AK671" s="61"/>
      <c r="AL671" s="61"/>
      <c r="AM671" s="61"/>
      <c r="AN671" s="61"/>
    </row>
    <row r="672" spans="1:40" ht="15.75" customHeight="1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</row>
    <row r="673" spans="1:40" ht="15.75" customHeight="1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</row>
    <row r="674" spans="1:40" ht="15.75" customHeight="1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</row>
    <row r="675" spans="1:40" ht="15.75" customHeight="1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</row>
    <row r="676" spans="1:40" ht="15.75" customHeight="1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</row>
    <row r="677" spans="1:40" ht="15.75" customHeight="1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  <c r="AE677" s="61"/>
      <c r="AF677" s="61"/>
      <c r="AG677" s="61"/>
      <c r="AH677" s="61"/>
      <c r="AI677" s="61"/>
      <c r="AJ677" s="61"/>
      <c r="AK677" s="61"/>
      <c r="AL677" s="61"/>
      <c r="AM677" s="61"/>
      <c r="AN677" s="61"/>
    </row>
    <row r="678" spans="1:40" ht="15.75" customHeight="1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  <c r="AI678" s="61"/>
      <c r="AJ678" s="61"/>
      <c r="AK678" s="61"/>
      <c r="AL678" s="61"/>
      <c r="AM678" s="61"/>
      <c r="AN678" s="61"/>
    </row>
    <row r="679" spans="1:40" ht="15.75" customHeight="1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  <c r="AI679" s="61"/>
      <c r="AJ679" s="61"/>
      <c r="AK679" s="61"/>
      <c r="AL679" s="61"/>
      <c r="AM679" s="61"/>
      <c r="AN679" s="61"/>
    </row>
    <row r="680" spans="1:40" ht="15.75" customHeight="1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</row>
    <row r="681" spans="1:40" ht="15.75" customHeight="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</row>
    <row r="682" spans="1:40" ht="15.75" customHeight="1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</row>
    <row r="683" spans="1:40" ht="15.75" customHeight="1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</row>
    <row r="684" spans="1:40" ht="15.75" customHeight="1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  <c r="AE684" s="61"/>
      <c r="AF684" s="61"/>
      <c r="AG684" s="61"/>
      <c r="AH684" s="61"/>
      <c r="AI684" s="61"/>
      <c r="AJ684" s="61"/>
      <c r="AK684" s="61"/>
      <c r="AL684" s="61"/>
      <c r="AM684" s="61"/>
      <c r="AN684" s="61"/>
    </row>
    <row r="685" spans="1:40" ht="15.75" customHeight="1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</row>
    <row r="686" spans="1:40" ht="15.75" customHeight="1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  <c r="AI686" s="61"/>
      <c r="AJ686" s="61"/>
      <c r="AK686" s="61"/>
      <c r="AL686" s="61"/>
      <c r="AM686" s="61"/>
      <c r="AN686" s="61"/>
    </row>
    <row r="687" spans="1:40" ht="15.75" customHeight="1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  <c r="AE687" s="61"/>
      <c r="AF687" s="61"/>
      <c r="AG687" s="61"/>
      <c r="AH687" s="61"/>
      <c r="AI687" s="61"/>
      <c r="AJ687" s="61"/>
      <c r="AK687" s="61"/>
      <c r="AL687" s="61"/>
      <c r="AM687" s="61"/>
      <c r="AN687" s="61"/>
    </row>
    <row r="688" spans="1:40" ht="15.75" customHeight="1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</row>
    <row r="689" spans="1:40" ht="15.75" customHeight="1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1"/>
      <c r="AJ689" s="61"/>
      <c r="AK689" s="61"/>
      <c r="AL689" s="61"/>
      <c r="AM689" s="61"/>
      <c r="AN689" s="61"/>
    </row>
    <row r="690" spans="1:40" ht="15.75" customHeight="1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  <c r="AI690" s="61"/>
      <c r="AJ690" s="61"/>
      <c r="AK690" s="61"/>
      <c r="AL690" s="61"/>
      <c r="AM690" s="61"/>
      <c r="AN690" s="61"/>
    </row>
    <row r="691" spans="1:40" ht="15.75" customHeight="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</row>
    <row r="692" spans="1:40" ht="15.75" customHeight="1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  <c r="AI692" s="61"/>
      <c r="AJ692" s="61"/>
      <c r="AK692" s="61"/>
      <c r="AL692" s="61"/>
      <c r="AM692" s="61"/>
      <c r="AN692" s="61"/>
    </row>
    <row r="693" spans="1:40" ht="15.75" customHeight="1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</row>
    <row r="694" spans="1:40" ht="15.75" customHeight="1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</row>
    <row r="695" spans="1:40" ht="15.75" customHeight="1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  <c r="AI695" s="61"/>
      <c r="AJ695" s="61"/>
      <c r="AK695" s="61"/>
      <c r="AL695" s="61"/>
      <c r="AM695" s="61"/>
      <c r="AN695" s="61"/>
    </row>
    <row r="696" spans="1:40" ht="15.75" customHeight="1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  <c r="AE696" s="61"/>
      <c r="AF696" s="61"/>
      <c r="AG696" s="61"/>
      <c r="AH696" s="61"/>
      <c r="AI696" s="61"/>
      <c r="AJ696" s="61"/>
      <c r="AK696" s="61"/>
      <c r="AL696" s="61"/>
      <c r="AM696" s="61"/>
      <c r="AN696" s="61"/>
    </row>
    <row r="697" spans="1:40" ht="15.75" customHeight="1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1"/>
      <c r="AJ697" s="61"/>
      <c r="AK697" s="61"/>
      <c r="AL697" s="61"/>
      <c r="AM697" s="61"/>
      <c r="AN697" s="61"/>
    </row>
    <row r="698" spans="1:40" ht="15.75" customHeight="1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</row>
    <row r="699" spans="1:40" ht="15.75" customHeight="1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</row>
    <row r="700" spans="1:40" ht="15.75" customHeight="1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</row>
    <row r="701" spans="1:40" ht="15.75" customHeight="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  <c r="AN701" s="61"/>
    </row>
    <row r="702" spans="1:40" ht="15.75" customHeight="1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</row>
    <row r="703" spans="1:40" ht="15.75" customHeight="1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  <c r="AN703" s="61"/>
    </row>
    <row r="704" spans="1:40" ht="15.75" customHeight="1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</row>
    <row r="705" spans="1:40" ht="15.75" customHeight="1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</row>
    <row r="706" spans="1:40" ht="15.75" customHeight="1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</row>
    <row r="707" spans="1:40" ht="15.75" customHeight="1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1"/>
      <c r="AJ707" s="61"/>
      <c r="AK707" s="61"/>
      <c r="AL707" s="61"/>
      <c r="AM707" s="61"/>
      <c r="AN707" s="61"/>
    </row>
    <row r="708" spans="1:40" ht="15.75" customHeight="1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  <c r="AI708" s="61"/>
      <c r="AJ708" s="61"/>
      <c r="AK708" s="61"/>
      <c r="AL708" s="61"/>
      <c r="AM708" s="61"/>
      <c r="AN708" s="61"/>
    </row>
    <row r="709" spans="1:40" ht="15.75" customHeight="1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</row>
    <row r="710" spans="1:40" ht="15.75" customHeight="1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</row>
    <row r="711" spans="1:40" ht="15.75" customHeight="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</row>
    <row r="712" spans="1:40" ht="15.75" customHeight="1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1"/>
      <c r="AJ712" s="61"/>
      <c r="AK712" s="61"/>
      <c r="AL712" s="61"/>
      <c r="AM712" s="61"/>
      <c r="AN712" s="61"/>
    </row>
    <row r="713" spans="1:40" ht="15.75" customHeight="1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</row>
    <row r="714" spans="1:40" ht="15.75" customHeight="1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</row>
    <row r="715" spans="1:40" ht="15.75" customHeight="1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</row>
    <row r="716" spans="1:40" ht="15.75" customHeight="1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</row>
    <row r="717" spans="1:40" ht="15.75" customHeight="1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</row>
    <row r="718" spans="1:40" ht="15.75" customHeight="1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</row>
    <row r="719" spans="1:40" ht="15.75" customHeight="1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  <c r="AI719" s="61"/>
      <c r="AJ719" s="61"/>
      <c r="AK719" s="61"/>
      <c r="AL719" s="61"/>
      <c r="AM719" s="61"/>
      <c r="AN719" s="61"/>
    </row>
    <row r="720" spans="1:40" ht="15.75" customHeight="1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  <c r="AI720" s="61"/>
      <c r="AJ720" s="61"/>
      <c r="AK720" s="61"/>
      <c r="AL720" s="61"/>
      <c r="AM720" s="61"/>
      <c r="AN720" s="61"/>
    </row>
    <row r="721" spans="1:40" ht="15.75" customHeight="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</row>
    <row r="722" spans="1:40" ht="15.75" customHeight="1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</row>
    <row r="723" spans="1:40" ht="15.75" customHeight="1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</row>
    <row r="724" spans="1:40" ht="15.75" customHeight="1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  <c r="AI724" s="61"/>
      <c r="AJ724" s="61"/>
      <c r="AK724" s="61"/>
      <c r="AL724" s="61"/>
      <c r="AM724" s="61"/>
      <c r="AN724" s="61"/>
    </row>
    <row r="725" spans="1:40" ht="15.75" customHeight="1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</row>
    <row r="726" spans="1:40" ht="15.75" customHeight="1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</row>
    <row r="727" spans="1:40" ht="15.75" customHeight="1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</row>
    <row r="728" spans="1:40" ht="15.75" customHeight="1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</row>
    <row r="729" spans="1:40" ht="15.75" customHeight="1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</row>
    <row r="730" spans="1:40" ht="15.75" customHeight="1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</row>
    <row r="731" spans="1:40" ht="15.75" customHeight="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</row>
    <row r="732" spans="1:40" ht="15.75" customHeight="1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</row>
    <row r="733" spans="1:40" ht="15.75" customHeight="1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  <c r="AE733" s="61"/>
      <c r="AF733" s="61"/>
      <c r="AG733" s="61"/>
      <c r="AH733" s="61"/>
      <c r="AI733" s="61"/>
      <c r="AJ733" s="61"/>
      <c r="AK733" s="61"/>
      <c r="AL733" s="61"/>
      <c r="AM733" s="61"/>
      <c r="AN733" s="61"/>
    </row>
    <row r="734" spans="1:40" ht="15.75" customHeight="1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  <c r="AI734" s="61"/>
      <c r="AJ734" s="61"/>
      <c r="AK734" s="61"/>
      <c r="AL734" s="61"/>
      <c r="AM734" s="61"/>
      <c r="AN734" s="61"/>
    </row>
    <row r="735" spans="1:40" ht="15.75" customHeight="1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</row>
    <row r="736" spans="1:40" ht="15.75" customHeight="1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</row>
    <row r="737" spans="1:40" ht="15.75" customHeight="1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</row>
    <row r="738" spans="1:40" ht="15.75" customHeight="1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1"/>
      <c r="AJ738" s="61"/>
      <c r="AK738" s="61"/>
      <c r="AL738" s="61"/>
      <c r="AM738" s="61"/>
      <c r="AN738" s="61"/>
    </row>
    <row r="739" spans="1:40" ht="15.75" customHeight="1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</row>
    <row r="740" spans="1:40" ht="15.75" customHeight="1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</row>
    <row r="741" spans="1:40" ht="15.75" customHeight="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1"/>
      <c r="AJ741" s="61"/>
      <c r="AK741" s="61"/>
      <c r="AL741" s="61"/>
      <c r="AM741" s="61"/>
      <c r="AN741" s="61"/>
    </row>
    <row r="742" spans="1:40" ht="15.75" customHeight="1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  <c r="AE742" s="61"/>
      <c r="AF742" s="61"/>
      <c r="AG742" s="61"/>
      <c r="AH742" s="61"/>
      <c r="AI742" s="61"/>
      <c r="AJ742" s="61"/>
      <c r="AK742" s="61"/>
      <c r="AL742" s="61"/>
      <c r="AM742" s="61"/>
      <c r="AN742" s="61"/>
    </row>
    <row r="743" spans="1:40" ht="15.75" customHeight="1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  <c r="AE743" s="61"/>
      <c r="AF743" s="61"/>
      <c r="AG743" s="61"/>
      <c r="AH743" s="61"/>
      <c r="AI743" s="61"/>
      <c r="AJ743" s="61"/>
      <c r="AK743" s="61"/>
      <c r="AL743" s="61"/>
      <c r="AM743" s="61"/>
      <c r="AN743" s="61"/>
    </row>
    <row r="744" spans="1:40" ht="15.75" customHeight="1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  <c r="AE744" s="61"/>
      <c r="AF744" s="61"/>
      <c r="AG744" s="61"/>
      <c r="AH744" s="61"/>
      <c r="AI744" s="61"/>
      <c r="AJ744" s="61"/>
      <c r="AK744" s="61"/>
      <c r="AL744" s="61"/>
      <c r="AM744" s="61"/>
      <c r="AN744" s="61"/>
    </row>
    <row r="745" spans="1:40" ht="15.75" customHeight="1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</row>
    <row r="746" spans="1:40" ht="15.75" customHeight="1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  <c r="AE746" s="61"/>
      <c r="AF746" s="61"/>
      <c r="AG746" s="61"/>
      <c r="AH746" s="61"/>
      <c r="AI746" s="61"/>
      <c r="AJ746" s="61"/>
      <c r="AK746" s="61"/>
      <c r="AL746" s="61"/>
      <c r="AM746" s="61"/>
      <c r="AN746" s="61"/>
    </row>
    <row r="747" spans="1:40" ht="15.75" customHeight="1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  <c r="AE747" s="61"/>
      <c r="AF747" s="61"/>
      <c r="AG747" s="61"/>
      <c r="AH747" s="61"/>
      <c r="AI747" s="61"/>
      <c r="AJ747" s="61"/>
      <c r="AK747" s="61"/>
      <c r="AL747" s="61"/>
      <c r="AM747" s="61"/>
      <c r="AN747" s="61"/>
    </row>
    <row r="748" spans="1:40" ht="15.75" customHeight="1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  <c r="AE748" s="61"/>
      <c r="AF748" s="61"/>
      <c r="AG748" s="61"/>
      <c r="AH748" s="61"/>
      <c r="AI748" s="61"/>
      <c r="AJ748" s="61"/>
      <c r="AK748" s="61"/>
      <c r="AL748" s="61"/>
      <c r="AM748" s="61"/>
      <c r="AN748" s="61"/>
    </row>
    <row r="749" spans="1:40" ht="15.75" customHeight="1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  <c r="AD749" s="61"/>
      <c r="AE749" s="61"/>
      <c r="AF749" s="61"/>
      <c r="AG749" s="61"/>
      <c r="AH749" s="61"/>
      <c r="AI749" s="61"/>
      <c r="AJ749" s="61"/>
      <c r="AK749" s="61"/>
      <c r="AL749" s="61"/>
      <c r="AM749" s="61"/>
      <c r="AN749" s="61"/>
    </row>
    <row r="750" spans="1:40" ht="15.75" customHeight="1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  <c r="AD750" s="61"/>
      <c r="AE750" s="61"/>
      <c r="AF750" s="61"/>
      <c r="AG750" s="61"/>
      <c r="AH750" s="61"/>
      <c r="AI750" s="61"/>
      <c r="AJ750" s="61"/>
      <c r="AK750" s="61"/>
      <c r="AL750" s="61"/>
      <c r="AM750" s="61"/>
      <c r="AN750" s="61"/>
    </row>
    <row r="751" spans="1:40" ht="15.75" customHeight="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  <c r="AD751" s="61"/>
      <c r="AE751" s="61"/>
      <c r="AF751" s="61"/>
      <c r="AG751" s="61"/>
      <c r="AH751" s="61"/>
      <c r="AI751" s="61"/>
      <c r="AJ751" s="61"/>
      <c r="AK751" s="61"/>
      <c r="AL751" s="61"/>
      <c r="AM751" s="61"/>
      <c r="AN751" s="61"/>
    </row>
    <row r="752" spans="1:40" ht="15.75" customHeight="1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  <c r="AD752" s="61"/>
      <c r="AE752" s="61"/>
      <c r="AF752" s="61"/>
      <c r="AG752" s="61"/>
      <c r="AH752" s="61"/>
      <c r="AI752" s="61"/>
      <c r="AJ752" s="61"/>
      <c r="AK752" s="61"/>
      <c r="AL752" s="61"/>
      <c r="AM752" s="61"/>
      <c r="AN752" s="61"/>
    </row>
    <row r="753" spans="1:40" ht="15.75" customHeight="1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  <c r="AD753" s="61"/>
      <c r="AE753" s="61"/>
      <c r="AF753" s="61"/>
      <c r="AG753" s="61"/>
      <c r="AH753" s="61"/>
      <c r="AI753" s="61"/>
      <c r="AJ753" s="61"/>
      <c r="AK753" s="61"/>
      <c r="AL753" s="61"/>
      <c r="AM753" s="61"/>
      <c r="AN753" s="61"/>
    </row>
    <row r="754" spans="1:40" ht="15.75" customHeight="1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</row>
    <row r="755" spans="1:40" ht="15.75" customHeight="1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  <c r="AE755" s="61"/>
      <c r="AF755" s="61"/>
      <c r="AG755" s="61"/>
      <c r="AH755" s="61"/>
      <c r="AI755" s="61"/>
      <c r="AJ755" s="61"/>
      <c r="AK755" s="61"/>
      <c r="AL755" s="61"/>
      <c r="AM755" s="61"/>
      <c r="AN755" s="61"/>
    </row>
    <row r="756" spans="1:40" ht="15.75" customHeight="1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  <c r="AE756" s="61"/>
      <c r="AF756" s="61"/>
      <c r="AG756" s="61"/>
      <c r="AH756" s="61"/>
      <c r="AI756" s="61"/>
      <c r="AJ756" s="61"/>
      <c r="AK756" s="61"/>
      <c r="AL756" s="61"/>
      <c r="AM756" s="61"/>
      <c r="AN756" s="61"/>
    </row>
    <row r="757" spans="1:40" ht="15.75" customHeight="1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</row>
    <row r="758" spans="1:40" ht="15.75" customHeight="1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1"/>
      <c r="AJ758" s="61"/>
      <c r="AK758" s="61"/>
      <c r="AL758" s="61"/>
      <c r="AM758" s="61"/>
      <c r="AN758" s="61"/>
    </row>
    <row r="759" spans="1:40" ht="15.75" customHeight="1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</row>
    <row r="760" spans="1:40" ht="15.75" customHeight="1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</row>
    <row r="761" spans="1:40" ht="15.75" customHeight="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</row>
    <row r="762" spans="1:40" ht="15.75" customHeight="1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</row>
    <row r="763" spans="1:40" ht="15.75" customHeight="1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</row>
    <row r="764" spans="1:40" ht="15.75" customHeight="1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</row>
    <row r="765" spans="1:40" ht="15.75" customHeight="1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</row>
    <row r="766" spans="1:40" ht="15.75" customHeight="1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</row>
    <row r="767" spans="1:40" ht="15.75" customHeight="1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  <c r="AE767" s="61"/>
      <c r="AF767" s="61"/>
      <c r="AG767" s="61"/>
      <c r="AH767" s="61"/>
      <c r="AI767" s="61"/>
      <c r="AJ767" s="61"/>
      <c r="AK767" s="61"/>
      <c r="AL767" s="61"/>
      <c r="AM767" s="61"/>
      <c r="AN767" s="61"/>
    </row>
    <row r="768" spans="1:40" ht="15.75" customHeight="1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</row>
    <row r="769" spans="1:40" ht="15.75" customHeight="1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  <c r="AI769" s="61"/>
      <c r="AJ769" s="61"/>
      <c r="AK769" s="61"/>
      <c r="AL769" s="61"/>
      <c r="AM769" s="61"/>
      <c r="AN769" s="61"/>
    </row>
    <row r="770" spans="1:40" ht="15.75" customHeight="1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</row>
    <row r="771" spans="1:40" ht="15.75" customHeight="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</row>
    <row r="772" spans="1:40" ht="15.75" customHeight="1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  <c r="AE772" s="61"/>
      <c r="AF772" s="61"/>
      <c r="AG772" s="61"/>
      <c r="AH772" s="61"/>
      <c r="AI772" s="61"/>
      <c r="AJ772" s="61"/>
      <c r="AK772" s="61"/>
      <c r="AL772" s="61"/>
      <c r="AM772" s="61"/>
      <c r="AN772" s="61"/>
    </row>
    <row r="773" spans="1:40" ht="15.75" customHeight="1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</row>
    <row r="774" spans="1:40" ht="15.75" customHeight="1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</row>
    <row r="775" spans="1:40" ht="15.75" customHeight="1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  <c r="AE775" s="61"/>
      <c r="AF775" s="61"/>
      <c r="AG775" s="61"/>
      <c r="AH775" s="61"/>
      <c r="AI775" s="61"/>
      <c r="AJ775" s="61"/>
      <c r="AK775" s="61"/>
      <c r="AL775" s="61"/>
      <c r="AM775" s="61"/>
      <c r="AN775" s="61"/>
    </row>
    <row r="776" spans="1:40" ht="15.75" customHeight="1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  <c r="AE776" s="61"/>
      <c r="AF776" s="61"/>
      <c r="AG776" s="61"/>
      <c r="AH776" s="61"/>
      <c r="AI776" s="61"/>
      <c r="AJ776" s="61"/>
      <c r="AK776" s="61"/>
      <c r="AL776" s="61"/>
      <c r="AM776" s="61"/>
      <c r="AN776" s="61"/>
    </row>
    <row r="777" spans="1:40" ht="15.75" customHeight="1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  <c r="AE777" s="61"/>
      <c r="AF777" s="61"/>
      <c r="AG777" s="61"/>
      <c r="AH777" s="61"/>
      <c r="AI777" s="61"/>
      <c r="AJ777" s="61"/>
      <c r="AK777" s="61"/>
      <c r="AL777" s="61"/>
      <c r="AM777" s="61"/>
      <c r="AN777" s="61"/>
    </row>
    <row r="778" spans="1:40" ht="15.75" customHeight="1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</row>
    <row r="779" spans="1:40" ht="15.75" customHeight="1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</row>
    <row r="780" spans="1:40" ht="15.75" customHeight="1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  <c r="AE780" s="61"/>
      <c r="AF780" s="61"/>
      <c r="AG780" s="61"/>
      <c r="AH780" s="61"/>
      <c r="AI780" s="61"/>
      <c r="AJ780" s="61"/>
      <c r="AK780" s="61"/>
      <c r="AL780" s="61"/>
      <c r="AM780" s="61"/>
      <c r="AN780" s="61"/>
    </row>
    <row r="781" spans="1:40" ht="15.75" customHeight="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  <c r="AE781" s="61"/>
      <c r="AF781" s="61"/>
      <c r="AG781" s="61"/>
      <c r="AH781" s="61"/>
      <c r="AI781" s="61"/>
      <c r="AJ781" s="61"/>
      <c r="AK781" s="61"/>
      <c r="AL781" s="61"/>
      <c r="AM781" s="61"/>
      <c r="AN781" s="61"/>
    </row>
    <row r="782" spans="1:40" ht="15.75" customHeight="1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  <c r="AE782" s="61"/>
      <c r="AF782" s="61"/>
      <c r="AG782" s="61"/>
      <c r="AH782" s="61"/>
      <c r="AI782" s="61"/>
      <c r="AJ782" s="61"/>
      <c r="AK782" s="61"/>
      <c r="AL782" s="61"/>
      <c r="AM782" s="61"/>
      <c r="AN782" s="61"/>
    </row>
    <row r="783" spans="1:40" ht="15.75" customHeight="1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</row>
    <row r="784" spans="1:40" ht="15.75" customHeight="1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  <c r="AD784" s="61"/>
      <c r="AE784" s="61"/>
      <c r="AF784" s="61"/>
      <c r="AG784" s="61"/>
      <c r="AH784" s="61"/>
      <c r="AI784" s="61"/>
      <c r="AJ784" s="61"/>
      <c r="AK784" s="61"/>
      <c r="AL784" s="61"/>
      <c r="AM784" s="61"/>
      <c r="AN784" s="61"/>
    </row>
    <row r="785" spans="1:40" ht="15.75" customHeight="1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  <c r="AD785" s="61"/>
      <c r="AE785" s="61"/>
      <c r="AF785" s="61"/>
      <c r="AG785" s="61"/>
      <c r="AH785" s="61"/>
      <c r="AI785" s="61"/>
      <c r="AJ785" s="61"/>
      <c r="AK785" s="61"/>
      <c r="AL785" s="61"/>
      <c r="AM785" s="61"/>
      <c r="AN785" s="61"/>
    </row>
    <row r="786" spans="1:40" ht="15.75" customHeight="1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  <c r="AD786" s="61"/>
      <c r="AE786" s="61"/>
      <c r="AF786" s="61"/>
      <c r="AG786" s="61"/>
      <c r="AH786" s="61"/>
      <c r="AI786" s="61"/>
      <c r="AJ786" s="61"/>
      <c r="AK786" s="61"/>
      <c r="AL786" s="61"/>
      <c r="AM786" s="61"/>
      <c r="AN786" s="61"/>
    </row>
    <row r="787" spans="1:40" ht="15.75" customHeight="1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  <c r="AE787" s="61"/>
      <c r="AF787" s="61"/>
      <c r="AG787" s="61"/>
      <c r="AH787" s="61"/>
      <c r="AI787" s="61"/>
      <c r="AJ787" s="61"/>
      <c r="AK787" s="61"/>
      <c r="AL787" s="61"/>
      <c r="AM787" s="61"/>
      <c r="AN787" s="61"/>
    </row>
    <row r="788" spans="1:40" ht="15.75" customHeight="1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  <c r="AE788" s="61"/>
      <c r="AF788" s="61"/>
      <c r="AG788" s="61"/>
      <c r="AH788" s="61"/>
      <c r="AI788" s="61"/>
      <c r="AJ788" s="61"/>
      <c r="AK788" s="61"/>
      <c r="AL788" s="61"/>
      <c r="AM788" s="61"/>
      <c r="AN788" s="61"/>
    </row>
    <row r="789" spans="1:40" ht="15.75" customHeight="1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  <c r="AE789" s="61"/>
      <c r="AF789" s="61"/>
      <c r="AG789" s="61"/>
      <c r="AH789" s="61"/>
      <c r="AI789" s="61"/>
      <c r="AJ789" s="61"/>
      <c r="AK789" s="61"/>
      <c r="AL789" s="61"/>
      <c r="AM789" s="61"/>
      <c r="AN789" s="61"/>
    </row>
    <row r="790" spans="1:40" ht="15.75" customHeight="1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  <c r="AE790" s="61"/>
      <c r="AF790" s="61"/>
      <c r="AG790" s="61"/>
      <c r="AH790" s="61"/>
      <c r="AI790" s="61"/>
      <c r="AJ790" s="61"/>
      <c r="AK790" s="61"/>
      <c r="AL790" s="61"/>
      <c r="AM790" s="61"/>
      <c r="AN790" s="61"/>
    </row>
    <row r="791" spans="1:40" ht="15.75" customHeight="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</row>
    <row r="792" spans="1:40" ht="15.75" customHeight="1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  <c r="AI792" s="61"/>
      <c r="AJ792" s="61"/>
      <c r="AK792" s="61"/>
      <c r="AL792" s="61"/>
      <c r="AM792" s="61"/>
      <c r="AN792" s="61"/>
    </row>
    <row r="793" spans="1:40" ht="15.75" customHeight="1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</row>
    <row r="794" spans="1:40" ht="15.75" customHeight="1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  <c r="AD794" s="61"/>
      <c r="AE794" s="61"/>
      <c r="AF794" s="61"/>
      <c r="AG794" s="61"/>
      <c r="AH794" s="61"/>
      <c r="AI794" s="61"/>
      <c r="AJ794" s="61"/>
      <c r="AK794" s="61"/>
      <c r="AL794" s="61"/>
      <c r="AM794" s="61"/>
      <c r="AN794" s="61"/>
    </row>
    <row r="795" spans="1:40" ht="15.75" customHeight="1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  <c r="AD795" s="61"/>
      <c r="AE795" s="61"/>
      <c r="AF795" s="61"/>
      <c r="AG795" s="61"/>
      <c r="AH795" s="61"/>
      <c r="AI795" s="61"/>
      <c r="AJ795" s="61"/>
      <c r="AK795" s="61"/>
      <c r="AL795" s="61"/>
      <c r="AM795" s="61"/>
      <c r="AN795" s="61"/>
    </row>
    <row r="796" spans="1:40" ht="15.75" customHeight="1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</row>
    <row r="797" spans="1:40" ht="15.75" customHeight="1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  <c r="AD797" s="61"/>
      <c r="AE797" s="61"/>
      <c r="AF797" s="61"/>
      <c r="AG797" s="61"/>
      <c r="AH797" s="61"/>
      <c r="AI797" s="61"/>
      <c r="AJ797" s="61"/>
      <c r="AK797" s="61"/>
      <c r="AL797" s="61"/>
      <c r="AM797" s="61"/>
      <c r="AN797" s="61"/>
    </row>
    <row r="798" spans="1:40" ht="15.75" customHeight="1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  <c r="AD798" s="61"/>
      <c r="AE798" s="61"/>
      <c r="AF798" s="61"/>
      <c r="AG798" s="61"/>
      <c r="AH798" s="61"/>
      <c r="AI798" s="61"/>
      <c r="AJ798" s="61"/>
      <c r="AK798" s="61"/>
      <c r="AL798" s="61"/>
      <c r="AM798" s="61"/>
      <c r="AN798" s="61"/>
    </row>
    <row r="799" spans="1:40" ht="15.75" customHeight="1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  <c r="AD799" s="61"/>
      <c r="AE799" s="61"/>
      <c r="AF799" s="61"/>
      <c r="AG799" s="61"/>
      <c r="AH799" s="61"/>
      <c r="AI799" s="61"/>
      <c r="AJ799" s="61"/>
      <c r="AK799" s="61"/>
      <c r="AL799" s="61"/>
      <c r="AM799" s="61"/>
      <c r="AN799" s="61"/>
    </row>
    <row r="800" spans="1:40" ht="15.75" customHeight="1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  <c r="AD800" s="61"/>
      <c r="AE800" s="61"/>
      <c r="AF800" s="61"/>
      <c r="AG800" s="61"/>
      <c r="AH800" s="61"/>
      <c r="AI800" s="61"/>
      <c r="AJ800" s="61"/>
      <c r="AK800" s="61"/>
      <c r="AL800" s="61"/>
      <c r="AM800" s="61"/>
      <c r="AN800" s="61"/>
    </row>
    <row r="801" spans="1:40" ht="15.75" customHeight="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  <c r="AD801" s="61"/>
      <c r="AE801" s="61"/>
      <c r="AF801" s="61"/>
      <c r="AG801" s="61"/>
      <c r="AH801" s="61"/>
      <c r="AI801" s="61"/>
      <c r="AJ801" s="61"/>
      <c r="AK801" s="61"/>
      <c r="AL801" s="61"/>
      <c r="AM801" s="61"/>
      <c r="AN801" s="61"/>
    </row>
    <row r="802" spans="1:40" ht="15.75" customHeight="1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  <c r="AD802" s="61"/>
      <c r="AE802" s="61"/>
      <c r="AF802" s="61"/>
      <c r="AG802" s="61"/>
      <c r="AH802" s="61"/>
      <c r="AI802" s="61"/>
      <c r="AJ802" s="61"/>
      <c r="AK802" s="61"/>
      <c r="AL802" s="61"/>
      <c r="AM802" s="61"/>
      <c r="AN802" s="61"/>
    </row>
    <row r="803" spans="1:40" ht="15.75" customHeight="1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</row>
    <row r="804" spans="1:40" ht="15.75" customHeight="1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  <c r="AE804" s="61"/>
      <c r="AF804" s="61"/>
      <c r="AG804" s="61"/>
      <c r="AH804" s="61"/>
      <c r="AI804" s="61"/>
      <c r="AJ804" s="61"/>
      <c r="AK804" s="61"/>
      <c r="AL804" s="61"/>
      <c r="AM804" s="61"/>
      <c r="AN804" s="61"/>
    </row>
    <row r="805" spans="1:40" ht="15.75" customHeight="1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  <c r="AE805" s="61"/>
      <c r="AF805" s="61"/>
      <c r="AG805" s="61"/>
      <c r="AH805" s="61"/>
      <c r="AI805" s="61"/>
      <c r="AJ805" s="61"/>
      <c r="AK805" s="61"/>
      <c r="AL805" s="61"/>
      <c r="AM805" s="61"/>
      <c r="AN805" s="61"/>
    </row>
    <row r="806" spans="1:40" ht="15.75" customHeight="1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  <c r="AE806" s="61"/>
      <c r="AF806" s="61"/>
      <c r="AG806" s="61"/>
      <c r="AH806" s="61"/>
      <c r="AI806" s="61"/>
      <c r="AJ806" s="61"/>
      <c r="AK806" s="61"/>
      <c r="AL806" s="61"/>
      <c r="AM806" s="61"/>
      <c r="AN806" s="61"/>
    </row>
    <row r="807" spans="1:40" ht="15.75" customHeight="1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  <c r="AD807" s="61"/>
      <c r="AE807" s="61"/>
      <c r="AF807" s="61"/>
      <c r="AG807" s="61"/>
      <c r="AH807" s="61"/>
      <c r="AI807" s="61"/>
      <c r="AJ807" s="61"/>
      <c r="AK807" s="61"/>
      <c r="AL807" s="61"/>
      <c r="AM807" s="61"/>
      <c r="AN807" s="61"/>
    </row>
    <row r="808" spans="1:40" ht="15.75" customHeight="1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  <c r="AD808" s="61"/>
      <c r="AE808" s="61"/>
      <c r="AF808" s="61"/>
      <c r="AG808" s="61"/>
      <c r="AH808" s="61"/>
      <c r="AI808" s="61"/>
      <c r="AJ808" s="61"/>
      <c r="AK808" s="61"/>
      <c r="AL808" s="61"/>
      <c r="AM808" s="61"/>
      <c r="AN808" s="61"/>
    </row>
    <row r="809" spans="1:40" ht="15.75" customHeight="1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  <c r="AD809" s="61"/>
      <c r="AE809" s="61"/>
      <c r="AF809" s="61"/>
      <c r="AG809" s="61"/>
      <c r="AH809" s="61"/>
      <c r="AI809" s="61"/>
      <c r="AJ809" s="61"/>
      <c r="AK809" s="61"/>
      <c r="AL809" s="61"/>
      <c r="AM809" s="61"/>
      <c r="AN809" s="61"/>
    </row>
    <row r="810" spans="1:40" ht="15.75" customHeight="1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  <c r="AD810" s="61"/>
      <c r="AE810" s="61"/>
      <c r="AF810" s="61"/>
      <c r="AG810" s="61"/>
      <c r="AH810" s="61"/>
      <c r="AI810" s="61"/>
      <c r="AJ810" s="61"/>
      <c r="AK810" s="61"/>
      <c r="AL810" s="61"/>
      <c r="AM810" s="61"/>
      <c r="AN810" s="61"/>
    </row>
    <row r="811" spans="1:40" ht="15.75" customHeight="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  <c r="AD811" s="61"/>
      <c r="AE811" s="61"/>
      <c r="AF811" s="61"/>
      <c r="AG811" s="61"/>
      <c r="AH811" s="61"/>
      <c r="AI811" s="61"/>
      <c r="AJ811" s="61"/>
      <c r="AK811" s="61"/>
      <c r="AL811" s="61"/>
      <c r="AM811" s="61"/>
      <c r="AN811" s="61"/>
    </row>
    <row r="812" spans="1:40" ht="15.75" customHeight="1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  <c r="AD812" s="61"/>
      <c r="AE812" s="61"/>
      <c r="AF812" s="61"/>
      <c r="AG812" s="61"/>
      <c r="AH812" s="61"/>
      <c r="AI812" s="61"/>
      <c r="AJ812" s="61"/>
      <c r="AK812" s="61"/>
      <c r="AL812" s="61"/>
      <c r="AM812" s="61"/>
      <c r="AN812" s="61"/>
    </row>
    <row r="813" spans="1:40" ht="15.75" customHeight="1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  <c r="AN813" s="61"/>
    </row>
    <row r="814" spans="1:40" ht="15.75" customHeight="1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</row>
    <row r="815" spans="1:40" ht="15.75" customHeight="1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  <c r="AE815" s="61"/>
      <c r="AF815" s="61"/>
      <c r="AG815" s="61"/>
      <c r="AH815" s="61"/>
      <c r="AI815" s="61"/>
      <c r="AJ815" s="61"/>
      <c r="AK815" s="61"/>
      <c r="AL815" s="61"/>
      <c r="AM815" s="61"/>
      <c r="AN815" s="61"/>
    </row>
    <row r="816" spans="1:40" ht="15.75" customHeight="1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1"/>
      <c r="AJ816" s="61"/>
      <c r="AK816" s="61"/>
      <c r="AL816" s="61"/>
      <c r="AM816" s="61"/>
      <c r="AN816" s="61"/>
    </row>
    <row r="817" spans="1:40" ht="15.75" customHeight="1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  <c r="AE817" s="61"/>
      <c r="AF817" s="61"/>
      <c r="AG817" s="61"/>
      <c r="AH817" s="61"/>
      <c r="AI817" s="61"/>
      <c r="AJ817" s="61"/>
      <c r="AK817" s="61"/>
      <c r="AL817" s="61"/>
      <c r="AM817" s="61"/>
      <c r="AN817" s="61"/>
    </row>
    <row r="818" spans="1:40" ht="15.75" customHeight="1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  <c r="AI818" s="61"/>
      <c r="AJ818" s="61"/>
      <c r="AK818" s="61"/>
      <c r="AL818" s="61"/>
      <c r="AM818" s="61"/>
      <c r="AN818" s="61"/>
    </row>
    <row r="819" spans="1:40" ht="15.75" customHeight="1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  <c r="AE819" s="61"/>
      <c r="AF819" s="61"/>
      <c r="AG819" s="61"/>
      <c r="AH819" s="61"/>
      <c r="AI819" s="61"/>
      <c r="AJ819" s="61"/>
      <c r="AK819" s="61"/>
      <c r="AL819" s="61"/>
      <c r="AM819" s="61"/>
      <c r="AN819" s="61"/>
    </row>
    <row r="820" spans="1:40" ht="15.75" customHeight="1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  <c r="AE820" s="61"/>
      <c r="AF820" s="61"/>
      <c r="AG820" s="61"/>
      <c r="AH820" s="61"/>
      <c r="AI820" s="61"/>
      <c r="AJ820" s="61"/>
      <c r="AK820" s="61"/>
      <c r="AL820" s="61"/>
      <c r="AM820" s="61"/>
      <c r="AN820" s="61"/>
    </row>
    <row r="821" spans="1:40" ht="15.75" customHeight="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  <c r="AE821" s="61"/>
      <c r="AF821" s="61"/>
      <c r="AG821" s="61"/>
      <c r="AH821" s="61"/>
      <c r="AI821" s="61"/>
      <c r="AJ821" s="61"/>
      <c r="AK821" s="61"/>
      <c r="AL821" s="61"/>
      <c r="AM821" s="61"/>
      <c r="AN821" s="61"/>
    </row>
    <row r="822" spans="1:40" ht="15.75" customHeight="1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</row>
    <row r="823" spans="1:40" ht="15.75" customHeight="1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  <c r="AE823" s="61"/>
      <c r="AF823" s="61"/>
      <c r="AG823" s="61"/>
      <c r="AH823" s="61"/>
      <c r="AI823" s="61"/>
      <c r="AJ823" s="61"/>
      <c r="AK823" s="61"/>
      <c r="AL823" s="61"/>
      <c r="AM823" s="61"/>
      <c r="AN823" s="61"/>
    </row>
    <row r="824" spans="1:40" ht="15.75" customHeight="1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  <c r="AE824" s="61"/>
      <c r="AF824" s="61"/>
      <c r="AG824" s="61"/>
      <c r="AH824" s="61"/>
      <c r="AI824" s="61"/>
      <c r="AJ824" s="61"/>
      <c r="AK824" s="61"/>
      <c r="AL824" s="61"/>
      <c r="AM824" s="61"/>
      <c r="AN824" s="61"/>
    </row>
    <row r="825" spans="1:40" ht="15.75" customHeight="1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1"/>
      <c r="AJ825" s="61"/>
      <c r="AK825" s="61"/>
      <c r="AL825" s="61"/>
      <c r="AM825" s="61"/>
      <c r="AN825" s="61"/>
    </row>
    <row r="826" spans="1:40" ht="15.75" customHeight="1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</row>
    <row r="827" spans="1:40" ht="15.75" customHeight="1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  <c r="AI827" s="61"/>
      <c r="AJ827" s="61"/>
      <c r="AK827" s="61"/>
      <c r="AL827" s="61"/>
      <c r="AM827" s="61"/>
      <c r="AN827" s="61"/>
    </row>
    <row r="828" spans="1:40" ht="15.75" customHeight="1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</row>
    <row r="829" spans="1:40" ht="15.75" customHeight="1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</row>
    <row r="830" spans="1:40" ht="15.75" customHeight="1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</row>
    <row r="831" spans="1:40" ht="15.75" customHeight="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1"/>
      <c r="AJ831" s="61"/>
      <c r="AK831" s="61"/>
      <c r="AL831" s="61"/>
      <c r="AM831" s="61"/>
      <c r="AN831" s="61"/>
    </row>
    <row r="832" spans="1:40" ht="15.75" customHeight="1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</row>
    <row r="833" spans="1:40" ht="15.75" customHeight="1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  <c r="AG833" s="61"/>
      <c r="AH833" s="61"/>
      <c r="AI833" s="61"/>
      <c r="AJ833" s="61"/>
      <c r="AK833" s="61"/>
      <c r="AL833" s="61"/>
      <c r="AM833" s="61"/>
      <c r="AN833" s="61"/>
    </row>
    <row r="834" spans="1:40" ht="15.75" customHeight="1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</row>
    <row r="835" spans="1:40" ht="15.75" customHeight="1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</row>
    <row r="836" spans="1:40" ht="15.75" customHeight="1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</row>
    <row r="837" spans="1:40" ht="15.75" customHeight="1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  <c r="AE837" s="61"/>
      <c r="AF837" s="61"/>
      <c r="AG837" s="61"/>
      <c r="AH837" s="61"/>
      <c r="AI837" s="61"/>
      <c r="AJ837" s="61"/>
      <c r="AK837" s="61"/>
      <c r="AL837" s="61"/>
      <c r="AM837" s="61"/>
      <c r="AN837" s="61"/>
    </row>
    <row r="838" spans="1:40" ht="15.75" customHeight="1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</row>
    <row r="839" spans="1:40" ht="15.75" customHeight="1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</row>
    <row r="840" spans="1:40" ht="15.75" customHeight="1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  <c r="AE840" s="61"/>
      <c r="AF840" s="61"/>
      <c r="AG840" s="61"/>
      <c r="AH840" s="61"/>
      <c r="AI840" s="61"/>
      <c r="AJ840" s="61"/>
      <c r="AK840" s="61"/>
      <c r="AL840" s="61"/>
      <c r="AM840" s="61"/>
      <c r="AN840" s="61"/>
    </row>
    <row r="841" spans="1:40" ht="15.75" customHeight="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  <c r="AE841" s="61"/>
      <c r="AF841" s="61"/>
      <c r="AG841" s="61"/>
      <c r="AH841" s="61"/>
      <c r="AI841" s="61"/>
      <c r="AJ841" s="61"/>
      <c r="AK841" s="61"/>
      <c r="AL841" s="61"/>
      <c r="AM841" s="61"/>
      <c r="AN841" s="61"/>
    </row>
    <row r="842" spans="1:40" ht="15.75" customHeight="1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  <c r="AE842" s="61"/>
      <c r="AF842" s="61"/>
      <c r="AG842" s="61"/>
      <c r="AH842" s="61"/>
      <c r="AI842" s="61"/>
      <c r="AJ842" s="61"/>
      <c r="AK842" s="61"/>
      <c r="AL842" s="61"/>
      <c r="AM842" s="61"/>
      <c r="AN842" s="61"/>
    </row>
    <row r="843" spans="1:40" ht="15.75" customHeight="1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  <c r="AE843" s="61"/>
      <c r="AF843" s="61"/>
      <c r="AG843" s="61"/>
      <c r="AH843" s="61"/>
      <c r="AI843" s="61"/>
      <c r="AJ843" s="61"/>
      <c r="AK843" s="61"/>
      <c r="AL843" s="61"/>
      <c r="AM843" s="61"/>
      <c r="AN843" s="61"/>
    </row>
    <row r="844" spans="1:40" ht="15.75" customHeight="1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  <c r="AE844" s="61"/>
      <c r="AF844" s="61"/>
      <c r="AG844" s="61"/>
      <c r="AH844" s="61"/>
      <c r="AI844" s="61"/>
      <c r="AJ844" s="61"/>
      <c r="AK844" s="61"/>
      <c r="AL844" s="61"/>
      <c r="AM844" s="61"/>
      <c r="AN844" s="61"/>
    </row>
    <row r="845" spans="1:40" ht="15.75" customHeight="1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  <c r="AD845" s="61"/>
      <c r="AE845" s="61"/>
      <c r="AF845" s="61"/>
      <c r="AG845" s="61"/>
      <c r="AH845" s="61"/>
      <c r="AI845" s="61"/>
      <c r="AJ845" s="61"/>
      <c r="AK845" s="61"/>
      <c r="AL845" s="61"/>
      <c r="AM845" s="61"/>
      <c r="AN845" s="61"/>
    </row>
    <row r="846" spans="1:40" ht="15.75" customHeight="1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  <c r="AD846" s="61"/>
      <c r="AE846" s="61"/>
      <c r="AF846" s="61"/>
      <c r="AG846" s="61"/>
      <c r="AH846" s="61"/>
      <c r="AI846" s="61"/>
      <c r="AJ846" s="61"/>
      <c r="AK846" s="61"/>
      <c r="AL846" s="61"/>
      <c r="AM846" s="61"/>
      <c r="AN846" s="61"/>
    </row>
    <row r="847" spans="1:40" ht="15.75" customHeight="1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  <c r="AD847" s="61"/>
      <c r="AE847" s="61"/>
      <c r="AF847" s="61"/>
      <c r="AG847" s="61"/>
      <c r="AH847" s="61"/>
      <c r="AI847" s="61"/>
      <c r="AJ847" s="61"/>
      <c r="AK847" s="61"/>
      <c r="AL847" s="61"/>
      <c r="AM847" s="61"/>
      <c r="AN847" s="61"/>
    </row>
    <row r="848" spans="1:40" ht="15.75" customHeight="1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  <c r="AD848" s="61"/>
      <c r="AE848" s="61"/>
      <c r="AF848" s="61"/>
      <c r="AG848" s="61"/>
      <c r="AH848" s="61"/>
      <c r="AI848" s="61"/>
      <c r="AJ848" s="61"/>
      <c r="AK848" s="61"/>
      <c r="AL848" s="61"/>
      <c r="AM848" s="61"/>
      <c r="AN848" s="61"/>
    </row>
    <row r="849" spans="1:40" ht="15.75" customHeight="1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  <c r="AD849" s="61"/>
      <c r="AE849" s="61"/>
      <c r="AF849" s="61"/>
      <c r="AG849" s="61"/>
      <c r="AH849" s="61"/>
      <c r="AI849" s="61"/>
      <c r="AJ849" s="61"/>
      <c r="AK849" s="61"/>
      <c r="AL849" s="61"/>
      <c r="AM849" s="61"/>
      <c r="AN849" s="61"/>
    </row>
    <row r="850" spans="1:40" ht="15.75" customHeight="1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</row>
    <row r="851" spans="1:40" ht="15.75" customHeight="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  <c r="AD851" s="61"/>
      <c r="AE851" s="61"/>
      <c r="AF851" s="61"/>
      <c r="AG851" s="61"/>
      <c r="AH851" s="61"/>
      <c r="AI851" s="61"/>
      <c r="AJ851" s="61"/>
      <c r="AK851" s="61"/>
      <c r="AL851" s="61"/>
      <c r="AM851" s="61"/>
      <c r="AN851" s="61"/>
    </row>
    <row r="852" spans="1:40" ht="15.75" customHeight="1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  <c r="AD852" s="61"/>
      <c r="AE852" s="61"/>
      <c r="AF852" s="61"/>
      <c r="AG852" s="61"/>
      <c r="AH852" s="61"/>
      <c r="AI852" s="61"/>
      <c r="AJ852" s="61"/>
      <c r="AK852" s="61"/>
      <c r="AL852" s="61"/>
      <c r="AM852" s="61"/>
      <c r="AN852" s="61"/>
    </row>
    <row r="853" spans="1:40" ht="15.75" customHeight="1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  <c r="AD853" s="61"/>
      <c r="AE853" s="61"/>
      <c r="AF853" s="61"/>
      <c r="AG853" s="61"/>
      <c r="AH853" s="61"/>
      <c r="AI853" s="61"/>
      <c r="AJ853" s="61"/>
      <c r="AK853" s="61"/>
      <c r="AL853" s="61"/>
      <c r="AM853" s="61"/>
      <c r="AN853" s="61"/>
    </row>
    <row r="854" spans="1:40" ht="15.75" customHeight="1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  <c r="AD854" s="61"/>
      <c r="AE854" s="61"/>
      <c r="AF854" s="61"/>
      <c r="AG854" s="61"/>
      <c r="AH854" s="61"/>
      <c r="AI854" s="61"/>
      <c r="AJ854" s="61"/>
      <c r="AK854" s="61"/>
      <c r="AL854" s="61"/>
      <c r="AM854" s="61"/>
      <c r="AN854" s="61"/>
    </row>
    <row r="855" spans="1:40" ht="15.75" customHeight="1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  <c r="AD855" s="61"/>
      <c r="AE855" s="61"/>
      <c r="AF855" s="61"/>
      <c r="AG855" s="61"/>
      <c r="AH855" s="61"/>
      <c r="AI855" s="61"/>
      <c r="AJ855" s="61"/>
      <c r="AK855" s="61"/>
      <c r="AL855" s="61"/>
      <c r="AM855" s="61"/>
      <c r="AN855" s="61"/>
    </row>
    <row r="856" spans="1:40" ht="15.75" customHeight="1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  <c r="AD856" s="61"/>
      <c r="AE856" s="61"/>
      <c r="AF856" s="61"/>
      <c r="AG856" s="61"/>
      <c r="AH856" s="61"/>
      <c r="AI856" s="61"/>
      <c r="AJ856" s="61"/>
      <c r="AK856" s="61"/>
      <c r="AL856" s="61"/>
      <c r="AM856" s="61"/>
      <c r="AN856" s="61"/>
    </row>
    <row r="857" spans="1:40" ht="15.75" customHeight="1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  <c r="AD857" s="61"/>
      <c r="AE857" s="61"/>
      <c r="AF857" s="61"/>
      <c r="AG857" s="61"/>
      <c r="AH857" s="61"/>
      <c r="AI857" s="61"/>
      <c r="AJ857" s="61"/>
      <c r="AK857" s="61"/>
      <c r="AL857" s="61"/>
      <c r="AM857" s="61"/>
      <c r="AN857" s="61"/>
    </row>
    <row r="858" spans="1:40" ht="15.75" customHeight="1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  <c r="AD858" s="61"/>
      <c r="AE858" s="61"/>
      <c r="AF858" s="61"/>
      <c r="AG858" s="61"/>
      <c r="AH858" s="61"/>
      <c r="AI858" s="61"/>
      <c r="AJ858" s="61"/>
      <c r="AK858" s="61"/>
      <c r="AL858" s="61"/>
      <c r="AM858" s="61"/>
      <c r="AN858" s="61"/>
    </row>
    <row r="859" spans="1:40" ht="15.75" customHeight="1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  <c r="AD859" s="61"/>
      <c r="AE859" s="61"/>
      <c r="AF859" s="61"/>
      <c r="AG859" s="61"/>
      <c r="AH859" s="61"/>
      <c r="AI859" s="61"/>
      <c r="AJ859" s="61"/>
      <c r="AK859" s="61"/>
      <c r="AL859" s="61"/>
      <c r="AM859" s="61"/>
      <c r="AN859" s="61"/>
    </row>
    <row r="860" spans="1:40" ht="15.75" customHeight="1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  <c r="AD860" s="61"/>
      <c r="AE860" s="61"/>
      <c r="AF860" s="61"/>
      <c r="AG860" s="61"/>
      <c r="AH860" s="61"/>
      <c r="AI860" s="61"/>
      <c r="AJ860" s="61"/>
      <c r="AK860" s="61"/>
      <c r="AL860" s="61"/>
      <c r="AM860" s="61"/>
      <c r="AN860" s="61"/>
    </row>
    <row r="861" spans="1:40" ht="15.75" customHeight="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  <c r="AE861" s="61"/>
      <c r="AF861" s="61"/>
      <c r="AG861" s="61"/>
      <c r="AH861" s="61"/>
      <c r="AI861" s="61"/>
      <c r="AJ861" s="61"/>
      <c r="AK861" s="61"/>
      <c r="AL861" s="61"/>
      <c r="AM861" s="61"/>
      <c r="AN861" s="61"/>
    </row>
    <row r="862" spans="1:40" ht="15.75" customHeight="1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  <c r="AD862" s="61"/>
      <c r="AE862" s="61"/>
      <c r="AF862" s="61"/>
      <c r="AG862" s="61"/>
      <c r="AH862" s="61"/>
      <c r="AI862" s="61"/>
      <c r="AJ862" s="61"/>
      <c r="AK862" s="61"/>
      <c r="AL862" s="61"/>
      <c r="AM862" s="61"/>
      <c r="AN862" s="61"/>
    </row>
    <row r="863" spans="1:40" ht="15.75" customHeight="1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  <c r="AD863" s="61"/>
      <c r="AE863" s="61"/>
      <c r="AF863" s="61"/>
      <c r="AG863" s="61"/>
      <c r="AH863" s="61"/>
      <c r="AI863" s="61"/>
      <c r="AJ863" s="61"/>
      <c r="AK863" s="61"/>
      <c r="AL863" s="61"/>
      <c r="AM863" s="61"/>
      <c r="AN863" s="61"/>
    </row>
    <row r="864" spans="1:40" ht="15.75" customHeight="1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  <c r="AD864" s="61"/>
      <c r="AE864" s="61"/>
      <c r="AF864" s="61"/>
      <c r="AG864" s="61"/>
      <c r="AH864" s="61"/>
      <c r="AI864" s="61"/>
      <c r="AJ864" s="61"/>
      <c r="AK864" s="61"/>
      <c r="AL864" s="61"/>
      <c r="AM864" s="61"/>
      <c r="AN864" s="61"/>
    </row>
    <row r="865" spans="1:40" ht="15.75" customHeight="1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  <c r="AD865" s="61"/>
      <c r="AE865" s="61"/>
      <c r="AF865" s="61"/>
      <c r="AG865" s="61"/>
      <c r="AH865" s="61"/>
      <c r="AI865" s="61"/>
      <c r="AJ865" s="61"/>
      <c r="AK865" s="61"/>
      <c r="AL865" s="61"/>
      <c r="AM865" s="61"/>
      <c r="AN865" s="61"/>
    </row>
    <row r="866" spans="1:40" ht="15.75" customHeight="1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  <c r="AD866" s="61"/>
      <c r="AE866" s="61"/>
      <c r="AF866" s="61"/>
      <c r="AG866" s="61"/>
      <c r="AH866" s="61"/>
      <c r="AI866" s="61"/>
      <c r="AJ866" s="61"/>
      <c r="AK866" s="61"/>
      <c r="AL866" s="61"/>
      <c r="AM866" s="61"/>
      <c r="AN866" s="61"/>
    </row>
    <row r="867" spans="1:40" ht="15.75" customHeight="1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  <c r="AD867" s="61"/>
      <c r="AE867" s="61"/>
      <c r="AF867" s="61"/>
      <c r="AG867" s="61"/>
      <c r="AH867" s="61"/>
      <c r="AI867" s="61"/>
      <c r="AJ867" s="61"/>
      <c r="AK867" s="61"/>
      <c r="AL867" s="61"/>
      <c r="AM867" s="61"/>
      <c r="AN867" s="61"/>
    </row>
    <row r="868" spans="1:40" ht="15.75" customHeight="1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  <c r="AD868" s="61"/>
      <c r="AE868" s="61"/>
      <c r="AF868" s="61"/>
      <c r="AG868" s="61"/>
      <c r="AH868" s="61"/>
      <c r="AI868" s="61"/>
      <c r="AJ868" s="61"/>
      <c r="AK868" s="61"/>
      <c r="AL868" s="61"/>
      <c r="AM868" s="61"/>
      <c r="AN868" s="61"/>
    </row>
    <row r="869" spans="1:40" ht="15.75" customHeight="1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  <c r="AD869" s="61"/>
      <c r="AE869" s="61"/>
      <c r="AF869" s="61"/>
      <c r="AG869" s="61"/>
      <c r="AH869" s="61"/>
      <c r="AI869" s="61"/>
      <c r="AJ869" s="61"/>
      <c r="AK869" s="61"/>
      <c r="AL869" s="61"/>
      <c r="AM869" s="61"/>
      <c r="AN869" s="61"/>
    </row>
    <row r="870" spans="1:40" ht="15.75" customHeight="1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  <c r="AD870" s="61"/>
      <c r="AE870" s="61"/>
      <c r="AF870" s="61"/>
      <c r="AG870" s="61"/>
      <c r="AH870" s="61"/>
      <c r="AI870" s="61"/>
      <c r="AJ870" s="61"/>
      <c r="AK870" s="61"/>
      <c r="AL870" s="61"/>
      <c r="AM870" s="61"/>
      <c r="AN870" s="61"/>
    </row>
    <row r="871" spans="1:40" ht="15.75" customHeight="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  <c r="AD871" s="61"/>
      <c r="AE871" s="61"/>
      <c r="AF871" s="61"/>
      <c r="AG871" s="61"/>
      <c r="AH871" s="61"/>
      <c r="AI871" s="61"/>
      <c r="AJ871" s="61"/>
      <c r="AK871" s="61"/>
      <c r="AL871" s="61"/>
      <c r="AM871" s="61"/>
      <c r="AN871" s="61"/>
    </row>
    <row r="872" spans="1:40" ht="15.75" customHeight="1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  <c r="AD872" s="61"/>
      <c r="AE872" s="61"/>
      <c r="AF872" s="61"/>
      <c r="AG872" s="61"/>
      <c r="AH872" s="61"/>
      <c r="AI872" s="61"/>
      <c r="AJ872" s="61"/>
      <c r="AK872" s="61"/>
      <c r="AL872" s="61"/>
      <c r="AM872" s="61"/>
      <c r="AN872" s="61"/>
    </row>
    <row r="873" spans="1:40" ht="15.75" customHeight="1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  <c r="AE873" s="61"/>
      <c r="AF873" s="61"/>
      <c r="AG873" s="61"/>
      <c r="AH873" s="61"/>
      <c r="AI873" s="61"/>
      <c r="AJ873" s="61"/>
      <c r="AK873" s="61"/>
      <c r="AL873" s="61"/>
      <c r="AM873" s="61"/>
      <c r="AN873" s="61"/>
    </row>
    <row r="874" spans="1:40" ht="15.75" customHeight="1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</row>
    <row r="875" spans="1:40" ht="15.75" customHeight="1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  <c r="AE875" s="61"/>
      <c r="AF875" s="61"/>
      <c r="AG875" s="61"/>
      <c r="AH875" s="61"/>
      <c r="AI875" s="61"/>
      <c r="AJ875" s="61"/>
      <c r="AK875" s="61"/>
      <c r="AL875" s="61"/>
      <c r="AM875" s="61"/>
      <c r="AN875" s="61"/>
    </row>
    <row r="876" spans="1:40" ht="15.75" customHeight="1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  <c r="AD876" s="61"/>
      <c r="AE876" s="61"/>
      <c r="AF876" s="61"/>
      <c r="AG876" s="61"/>
      <c r="AH876" s="61"/>
      <c r="AI876" s="61"/>
      <c r="AJ876" s="61"/>
      <c r="AK876" s="61"/>
      <c r="AL876" s="61"/>
      <c r="AM876" s="61"/>
      <c r="AN876" s="61"/>
    </row>
    <row r="877" spans="1:40" ht="15.75" customHeight="1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  <c r="AD877" s="61"/>
      <c r="AE877" s="61"/>
      <c r="AF877" s="61"/>
      <c r="AG877" s="61"/>
      <c r="AH877" s="61"/>
      <c r="AI877" s="61"/>
      <c r="AJ877" s="61"/>
      <c r="AK877" s="61"/>
      <c r="AL877" s="61"/>
      <c r="AM877" s="61"/>
      <c r="AN877" s="61"/>
    </row>
    <row r="878" spans="1:40" ht="15.75" customHeight="1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  <c r="AD878" s="61"/>
      <c r="AE878" s="61"/>
      <c r="AF878" s="61"/>
      <c r="AG878" s="61"/>
      <c r="AH878" s="61"/>
      <c r="AI878" s="61"/>
      <c r="AJ878" s="61"/>
      <c r="AK878" s="61"/>
      <c r="AL878" s="61"/>
      <c r="AM878" s="61"/>
      <c r="AN878" s="61"/>
    </row>
    <row r="879" spans="1:40" ht="15.75" customHeight="1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  <c r="AD879" s="61"/>
      <c r="AE879" s="61"/>
      <c r="AF879" s="61"/>
      <c r="AG879" s="61"/>
      <c r="AH879" s="61"/>
      <c r="AI879" s="61"/>
      <c r="AJ879" s="61"/>
      <c r="AK879" s="61"/>
      <c r="AL879" s="61"/>
      <c r="AM879" s="61"/>
      <c r="AN879" s="61"/>
    </row>
    <row r="880" spans="1:40" ht="15.75" customHeight="1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  <c r="AD880" s="61"/>
      <c r="AE880" s="61"/>
      <c r="AF880" s="61"/>
      <c r="AG880" s="61"/>
      <c r="AH880" s="61"/>
      <c r="AI880" s="61"/>
      <c r="AJ880" s="61"/>
      <c r="AK880" s="61"/>
      <c r="AL880" s="61"/>
      <c r="AM880" s="61"/>
      <c r="AN880" s="61"/>
    </row>
    <row r="881" spans="1:40" ht="15.75" customHeight="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  <c r="AD881" s="61"/>
      <c r="AE881" s="61"/>
      <c r="AF881" s="61"/>
      <c r="AG881" s="61"/>
      <c r="AH881" s="61"/>
      <c r="AI881" s="61"/>
      <c r="AJ881" s="61"/>
      <c r="AK881" s="61"/>
      <c r="AL881" s="61"/>
      <c r="AM881" s="61"/>
      <c r="AN881" s="61"/>
    </row>
    <row r="882" spans="1:40" ht="15.75" customHeight="1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  <c r="AD882" s="61"/>
      <c r="AE882" s="61"/>
      <c r="AF882" s="61"/>
      <c r="AG882" s="61"/>
      <c r="AH882" s="61"/>
      <c r="AI882" s="61"/>
      <c r="AJ882" s="61"/>
      <c r="AK882" s="61"/>
      <c r="AL882" s="61"/>
      <c r="AM882" s="61"/>
      <c r="AN882" s="61"/>
    </row>
    <row r="883" spans="1:40" ht="15.75" customHeight="1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  <c r="AD883" s="61"/>
      <c r="AE883" s="61"/>
      <c r="AF883" s="61"/>
      <c r="AG883" s="61"/>
      <c r="AH883" s="61"/>
      <c r="AI883" s="61"/>
      <c r="AJ883" s="61"/>
      <c r="AK883" s="61"/>
      <c r="AL883" s="61"/>
      <c r="AM883" s="61"/>
      <c r="AN883" s="61"/>
    </row>
    <row r="884" spans="1:40" ht="15.75" customHeight="1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  <c r="AD884" s="61"/>
      <c r="AE884" s="61"/>
      <c r="AF884" s="61"/>
      <c r="AG884" s="61"/>
      <c r="AH884" s="61"/>
      <c r="AI884" s="61"/>
      <c r="AJ884" s="61"/>
      <c r="AK884" s="61"/>
      <c r="AL884" s="61"/>
      <c r="AM884" s="61"/>
      <c r="AN884" s="61"/>
    </row>
    <row r="885" spans="1:40" ht="15.75" customHeight="1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  <c r="AD885" s="61"/>
      <c r="AE885" s="61"/>
      <c r="AF885" s="61"/>
      <c r="AG885" s="61"/>
      <c r="AH885" s="61"/>
      <c r="AI885" s="61"/>
      <c r="AJ885" s="61"/>
      <c r="AK885" s="61"/>
      <c r="AL885" s="61"/>
      <c r="AM885" s="61"/>
      <c r="AN885" s="61"/>
    </row>
    <row r="886" spans="1:40" ht="15.75" customHeight="1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  <c r="AD886" s="61"/>
      <c r="AE886" s="61"/>
      <c r="AF886" s="61"/>
      <c r="AG886" s="61"/>
      <c r="AH886" s="61"/>
      <c r="AI886" s="61"/>
      <c r="AJ886" s="61"/>
      <c r="AK886" s="61"/>
      <c r="AL886" s="61"/>
      <c r="AM886" s="61"/>
      <c r="AN886" s="61"/>
    </row>
    <row r="887" spans="1:40" ht="15.75" customHeight="1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  <c r="AD887" s="61"/>
      <c r="AE887" s="61"/>
      <c r="AF887" s="61"/>
      <c r="AG887" s="61"/>
      <c r="AH887" s="61"/>
      <c r="AI887" s="61"/>
      <c r="AJ887" s="61"/>
      <c r="AK887" s="61"/>
      <c r="AL887" s="61"/>
      <c r="AM887" s="61"/>
      <c r="AN887" s="61"/>
    </row>
    <row r="888" spans="1:40" ht="15.75" customHeight="1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  <c r="AD888" s="61"/>
      <c r="AE888" s="61"/>
      <c r="AF888" s="61"/>
      <c r="AG888" s="61"/>
      <c r="AH888" s="61"/>
      <c r="AI888" s="61"/>
      <c r="AJ888" s="61"/>
      <c r="AK888" s="61"/>
      <c r="AL888" s="61"/>
      <c r="AM888" s="61"/>
      <c r="AN888" s="61"/>
    </row>
    <row r="889" spans="1:40" ht="15.75" customHeight="1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  <c r="AD889" s="61"/>
      <c r="AE889" s="61"/>
      <c r="AF889" s="61"/>
      <c r="AG889" s="61"/>
      <c r="AH889" s="61"/>
      <c r="AI889" s="61"/>
      <c r="AJ889" s="61"/>
      <c r="AK889" s="61"/>
      <c r="AL889" s="61"/>
      <c r="AM889" s="61"/>
      <c r="AN889" s="61"/>
    </row>
    <row r="890" spans="1:40" ht="15.75" customHeight="1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  <c r="AD890" s="61"/>
      <c r="AE890" s="61"/>
      <c r="AF890" s="61"/>
      <c r="AG890" s="61"/>
      <c r="AH890" s="61"/>
      <c r="AI890" s="61"/>
      <c r="AJ890" s="61"/>
      <c r="AK890" s="61"/>
      <c r="AL890" s="61"/>
      <c r="AM890" s="61"/>
      <c r="AN890" s="61"/>
    </row>
    <row r="891" spans="1:40" ht="15.75" customHeight="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  <c r="AD891" s="61"/>
      <c r="AE891" s="61"/>
      <c r="AF891" s="61"/>
      <c r="AG891" s="61"/>
      <c r="AH891" s="61"/>
      <c r="AI891" s="61"/>
      <c r="AJ891" s="61"/>
      <c r="AK891" s="61"/>
      <c r="AL891" s="61"/>
      <c r="AM891" s="61"/>
      <c r="AN891" s="61"/>
    </row>
    <row r="892" spans="1:40" ht="15.75" customHeight="1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  <c r="AD892" s="61"/>
      <c r="AE892" s="61"/>
      <c r="AF892" s="61"/>
      <c r="AG892" s="61"/>
      <c r="AH892" s="61"/>
      <c r="AI892" s="61"/>
      <c r="AJ892" s="61"/>
      <c r="AK892" s="61"/>
      <c r="AL892" s="61"/>
      <c r="AM892" s="61"/>
      <c r="AN892" s="61"/>
    </row>
    <row r="893" spans="1:40" ht="15.75" customHeight="1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  <c r="AD893" s="61"/>
      <c r="AE893" s="61"/>
      <c r="AF893" s="61"/>
      <c r="AG893" s="61"/>
      <c r="AH893" s="61"/>
      <c r="AI893" s="61"/>
      <c r="AJ893" s="61"/>
      <c r="AK893" s="61"/>
      <c r="AL893" s="61"/>
      <c r="AM893" s="61"/>
      <c r="AN893" s="61"/>
    </row>
    <row r="894" spans="1:40" ht="15.75" customHeight="1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  <c r="AD894" s="61"/>
      <c r="AE894" s="61"/>
      <c r="AF894" s="61"/>
      <c r="AG894" s="61"/>
      <c r="AH894" s="61"/>
      <c r="AI894" s="61"/>
      <c r="AJ894" s="61"/>
      <c r="AK894" s="61"/>
      <c r="AL894" s="61"/>
      <c r="AM894" s="61"/>
      <c r="AN894" s="61"/>
    </row>
    <row r="895" spans="1:40" ht="15.75" customHeight="1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  <c r="AD895" s="61"/>
      <c r="AE895" s="61"/>
      <c r="AF895" s="61"/>
      <c r="AG895" s="61"/>
      <c r="AH895" s="61"/>
      <c r="AI895" s="61"/>
      <c r="AJ895" s="61"/>
      <c r="AK895" s="61"/>
      <c r="AL895" s="61"/>
      <c r="AM895" s="61"/>
      <c r="AN895" s="61"/>
    </row>
    <row r="896" spans="1:40" ht="15.75" customHeight="1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  <c r="AD896" s="61"/>
      <c r="AE896" s="61"/>
      <c r="AF896" s="61"/>
      <c r="AG896" s="61"/>
      <c r="AH896" s="61"/>
      <c r="AI896" s="61"/>
      <c r="AJ896" s="61"/>
      <c r="AK896" s="61"/>
      <c r="AL896" s="61"/>
      <c r="AM896" s="61"/>
      <c r="AN896" s="61"/>
    </row>
    <row r="897" spans="1:40" ht="15.75" customHeight="1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  <c r="AD897" s="61"/>
      <c r="AE897" s="61"/>
      <c r="AF897" s="61"/>
      <c r="AG897" s="61"/>
      <c r="AH897" s="61"/>
      <c r="AI897" s="61"/>
      <c r="AJ897" s="61"/>
      <c r="AK897" s="61"/>
      <c r="AL897" s="61"/>
      <c r="AM897" s="61"/>
      <c r="AN897" s="61"/>
    </row>
    <row r="898" spans="1:40" ht="15.75" customHeight="1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  <c r="AD898" s="61"/>
      <c r="AE898" s="61"/>
      <c r="AF898" s="61"/>
      <c r="AG898" s="61"/>
      <c r="AH898" s="61"/>
      <c r="AI898" s="61"/>
      <c r="AJ898" s="61"/>
      <c r="AK898" s="61"/>
      <c r="AL898" s="61"/>
      <c r="AM898" s="61"/>
      <c r="AN898" s="61"/>
    </row>
    <row r="899" spans="1:40" ht="15.75" customHeight="1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  <c r="AD899" s="61"/>
      <c r="AE899" s="61"/>
      <c r="AF899" s="61"/>
      <c r="AG899" s="61"/>
      <c r="AH899" s="61"/>
      <c r="AI899" s="61"/>
      <c r="AJ899" s="61"/>
      <c r="AK899" s="61"/>
      <c r="AL899" s="61"/>
      <c r="AM899" s="61"/>
      <c r="AN899" s="61"/>
    </row>
    <row r="900" spans="1:40" ht="15.75" customHeight="1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  <c r="AD900" s="61"/>
      <c r="AE900" s="61"/>
      <c r="AF900" s="61"/>
      <c r="AG900" s="61"/>
      <c r="AH900" s="61"/>
      <c r="AI900" s="61"/>
      <c r="AJ900" s="61"/>
      <c r="AK900" s="61"/>
      <c r="AL900" s="61"/>
      <c r="AM900" s="61"/>
      <c r="AN900" s="61"/>
    </row>
    <row r="901" spans="1:40" ht="15.75" customHeight="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  <c r="AD901" s="61"/>
      <c r="AE901" s="61"/>
      <c r="AF901" s="61"/>
      <c r="AG901" s="61"/>
      <c r="AH901" s="61"/>
      <c r="AI901" s="61"/>
      <c r="AJ901" s="61"/>
      <c r="AK901" s="61"/>
      <c r="AL901" s="61"/>
      <c r="AM901" s="61"/>
      <c r="AN901" s="61"/>
    </row>
    <row r="902" spans="1:40" ht="15.75" customHeight="1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  <c r="AD902" s="61"/>
      <c r="AE902" s="61"/>
      <c r="AF902" s="61"/>
      <c r="AG902" s="61"/>
      <c r="AH902" s="61"/>
      <c r="AI902" s="61"/>
      <c r="AJ902" s="61"/>
      <c r="AK902" s="61"/>
      <c r="AL902" s="61"/>
      <c r="AM902" s="61"/>
      <c r="AN902" s="61"/>
    </row>
    <row r="903" spans="1:40" ht="15.75" customHeight="1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  <c r="AD903" s="61"/>
      <c r="AE903" s="61"/>
      <c r="AF903" s="61"/>
      <c r="AG903" s="61"/>
      <c r="AH903" s="61"/>
      <c r="AI903" s="61"/>
      <c r="AJ903" s="61"/>
      <c r="AK903" s="61"/>
      <c r="AL903" s="61"/>
      <c r="AM903" s="61"/>
      <c r="AN903" s="61"/>
    </row>
    <row r="904" spans="1:40" ht="15.75" customHeight="1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  <c r="AD904" s="61"/>
      <c r="AE904" s="61"/>
      <c r="AF904" s="61"/>
      <c r="AG904" s="61"/>
      <c r="AH904" s="61"/>
      <c r="AI904" s="61"/>
      <c r="AJ904" s="61"/>
      <c r="AK904" s="61"/>
      <c r="AL904" s="61"/>
      <c r="AM904" s="61"/>
      <c r="AN904" s="61"/>
    </row>
    <row r="905" spans="1:40" ht="15.75" customHeight="1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  <c r="AD905" s="61"/>
      <c r="AE905" s="61"/>
      <c r="AF905" s="61"/>
      <c r="AG905" s="61"/>
      <c r="AH905" s="61"/>
      <c r="AI905" s="61"/>
      <c r="AJ905" s="61"/>
      <c r="AK905" s="61"/>
      <c r="AL905" s="61"/>
      <c r="AM905" s="61"/>
      <c r="AN905" s="61"/>
    </row>
    <row r="906" spans="1:40" ht="15.75" customHeight="1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  <c r="AD906" s="61"/>
      <c r="AE906" s="61"/>
      <c r="AF906" s="61"/>
      <c r="AG906" s="61"/>
      <c r="AH906" s="61"/>
      <c r="AI906" s="61"/>
      <c r="AJ906" s="61"/>
      <c r="AK906" s="61"/>
      <c r="AL906" s="61"/>
      <c r="AM906" s="61"/>
      <c r="AN906" s="61"/>
    </row>
    <row r="907" spans="1:40" ht="15.75" customHeight="1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  <c r="AD907" s="61"/>
      <c r="AE907" s="61"/>
      <c r="AF907" s="61"/>
      <c r="AG907" s="61"/>
      <c r="AH907" s="61"/>
      <c r="AI907" s="61"/>
      <c r="AJ907" s="61"/>
      <c r="AK907" s="61"/>
      <c r="AL907" s="61"/>
      <c r="AM907" s="61"/>
      <c r="AN907" s="61"/>
    </row>
    <row r="908" spans="1:40" ht="15.75" customHeight="1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  <c r="AD908" s="61"/>
      <c r="AE908" s="61"/>
      <c r="AF908" s="61"/>
      <c r="AG908" s="61"/>
      <c r="AH908" s="61"/>
      <c r="AI908" s="61"/>
      <c r="AJ908" s="61"/>
      <c r="AK908" s="61"/>
      <c r="AL908" s="61"/>
      <c r="AM908" s="61"/>
      <c r="AN908" s="61"/>
    </row>
    <row r="909" spans="1:40" ht="15.75" customHeight="1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  <c r="AD909" s="61"/>
      <c r="AE909" s="61"/>
      <c r="AF909" s="61"/>
      <c r="AG909" s="61"/>
      <c r="AH909" s="61"/>
      <c r="AI909" s="61"/>
      <c r="AJ909" s="61"/>
      <c r="AK909" s="61"/>
      <c r="AL909" s="61"/>
      <c r="AM909" s="61"/>
      <c r="AN909" s="61"/>
    </row>
    <row r="910" spans="1:40" ht="15.75" customHeight="1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  <c r="AD910" s="61"/>
      <c r="AE910" s="61"/>
      <c r="AF910" s="61"/>
      <c r="AG910" s="61"/>
      <c r="AH910" s="61"/>
      <c r="AI910" s="61"/>
      <c r="AJ910" s="61"/>
      <c r="AK910" s="61"/>
      <c r="AL910" s="61"/>
      <c r="AM910" s="61"/>
      <c r="AN910" s="61"/>
    </row>
    <row r="911" spans="1:40" ht="15.75" customHeight="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  <c r="AD911" s="61"/>
      <c r="AE911" s="61"/>
      <c r="AF911" s="61"/>
      <c r="AG911" s="61"/>
      <c r="AH911" s="61"/>
      <c r="AI911" s="61"/>
      <c r="AJ911" s="61"/>
      <c r="AK911" s="61"/>
      <c r="AL911" s="61"/>
      <c r="AM911" s="61"/>
      <c r="AN911" s="61"/>
    </row>
    <row r="912" spans="1:40" ht="15.75" customHeight="1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  <c r="AD912" s="61"/>
      <c r="AE912" s="61"/>
      <c r="AF912" s="61"/>
      <c r="AG912" s="61"/>
      <c r="AH912" s="61"/>
      <c r="AI912" s="61"/>
      <c r="AJ912" s="61"/>
      <c r="AK912" s="61"/>
      <c r="AL912" s="61"/>
      <c r="AM912" s="61"/>
      <c r="AN912" s="61"/>
    </row>
    <row r="913" spans="1:40" ht="15.75" customHeight="1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  <c r="AD913" s="61"/>
      <c r="AE913" s="61"/>
      <c r="AF913" s="61"/>
      <c r="AG913" s="61"/>
      <c r="AH913" s="61"/>
      <c r="AI913" s="61"/>
      <c r="AJ913" s="61"/>
      <c r="AK913" s="61"/>
      <c r="AL913" s="61"/>
      <c r="AM913" s="61"/>
      <c r="AN913" s="61"/>
    </row>
    <row r="914" spans="1:40" ht="15.75" customHeight="1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  <c r="AD914" s="61"/>
      <c r="AE914" s="61"/>
      <c r="AF914" s="61"/>
      <c r="AG914" s="61"/>
      <c r="AH914" s="61"/>
      <c r="AI914" s="61"/>
      <c r="AJ914" s="61"/>
      <c r="AK914" s="61"/>
      <c r="AL914" s="61"/>
      <c r="AM914" s="61"/>
      <c r="AN914" s="61"/>
    </row>
    <row r="915" spans="1:40" ht="15.75" customHeight="1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  <c r="AD915" s="61"/>
      <c r="AE915" s="61"/>
      <c r="AF915" s="61"/>
      <c r="AG915" s="61"/>
      <c r="AH915" s="61"/>
      <c r="AI915" s="61"/>
      <c r="AJ915" s="61"/>
      <c r="AK915" s="61"/>
      <c r="AL915" s="61"/>
      <c r="AM915" s="61"/>
      <c r="AN915" s="61"/>
    </row>
    <row r="916" spans="1:40" ht="15.75" customHeight="1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  <c r="AD916" s="61"/>
      <c r="AE916" s="61"/>
      <c r="AF916" s="61"/>
      <c r="AG916" s="61"/>
      <c r="AH916" s="61"/>
      <c r="AI916" s="61"/>
      <c r="AJ916" s="61"/>
      <c r="AK916" s="61"/>
      <c r="AL916" s="61"/>
      <c r="AM916" s="61"/>
      <c r="AN916" s="61"/>
    </row>
    <row r="917" spans="1:40" ht="15.75" customHeight="1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  <c r="AD917" s="61"/>
      <c r="AE917" s="61"/>
      <c r="AF917" s="61"/>
      <c r="AG917" s="61"/>
      <c r="AH917" s="61"/>
      <c r="AI917" s="61"/>
      <c r="AJ917" s="61"/>
      <c r="AK917" s="61"/>
      <c r="AL917" s="61"/>
      <c r="AM917" s="61"/>
      <c r="AN917" s="61"/>
    </row>
    <row r="918" spans="1:40" ht="15.75" customHeight="1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  <c r="AD918" s="61"/>
      <c r="AE918" s="61"/>
      <c r="AF918" s="61"/>
      <c r="AG918" s="61"/>
      <c r="AH918" s="61"/>
      <c r="AI918" s="61"/>
      <c r="AJ918" s="61"/>
      <c r="AK918" s="61"/>
      <c r="AL918" s="61"/>
      <c r="AM918" s="61"/>
      <c r="AN918" s="61"/>
    </row>
    <row r="919" spans="1:40" ht="15.75" customHeight="1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  <c r="AD919" s="61"/>
      <c r="AE919" s="61"/>
      <c r="AF919" s="61"/>
      <c r="AG919" s="61"/>
      <c r="AH919" s="61"/>
      <c r="AI919" s="61"/>
      <c r="AJ919" s="61"/>
      <c r="AK919" s="61"/>
      <c r="AL919" s="61"/>
      <c r="AM919" s="61"/>
      <c r="AN919" s="61"/>
    </row>
    <row r="920" spans="1:40" ht="15.75" customHeight="1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  <c r="AD920" s="61"/>
      <c r="AE920" s="61"/>
      <c r="AF920" s="61"/>
      <c r="AG920" s="61"/>
      <c r="AH920" s="61"/>
      <c r="AI920" s="61"/>
      <c r="AJ920" s="61"/>
      <c r="AK920" s="61"/>
      <c r="AL920" s="61"/>
      <c r="AM920" s="61"/>
      <c r="AN920" s="61"/>
    </row>
    <row r="921" spans="1:40" ht="15.75" customHeight="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  <c r="AD921" s="61"/>
      <c r="AE921" s="61"/>
      <c r="AF921" s="61"/>
      <c r="AG921" s="61"/>
      <c r="AH921" s="61"/>
      <c r="AI921" s="61"/>
      <c r="AJ921" s="61"/>
      <c r="AK921" s="61"/>
      <c r="AL921" s="61"/>
      <c r="AM921" s="61"/>
      <c r="AN921" s="61"/>
    </row>
    <row r="922" spans="1:40" ht="15.75" customHeight="1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  <c r="AD922" s="61"/>
      <c r="AE922" s="61"/>
      <c r="AF922" s="61"/>
      <c r="AG922" s="61"/>
      <c r="AH922" s="61"/>
      <c r="AI922" s="61"/>
      <c r="AJ922" s="61"/>
      <c r="AK922" s="61"/>
      <c r="AL922" s="61"/>
      <c r="AM922" s="61"/>
      <c r="AN922" s="61"/>
    </row>
    <row r="923" spans="1:40" ht="15.75" customHeight="1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  <c r="AE923" s="61"/>
      <c r="AF923" s="61"/>
      <c r="AG923" s="61"/>
      <c r="AH923" s="61"/>
      <c r="AI923" s="61"/>
      <c r="AJ923" s="61"/>
      <c r="AK923" s="61"/>
      <c r="AL923" s="61"/>
      <c r="AM923" s="61"/>
      <c r="AN923" s="61"/>
    </row>
    <row r="924" spans="1:40" ht="15.75" customHeight="1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  <c r="AE924" s="61"/>
      <c r="AF924" s="61"/>
      <c r="AG924" s="61"/>
      <c r="AH924" s="61"/>
      <c r="AI924" s="61"/>
      <c r="AJ924" s="61"/>
      <c r="AK924" s="61"/>
      <c r="AL924" s="61"/>
      <c r="AM924" s="61"/>
      <c r="AN924" s="61"/>
    </row>
    <row r="925" spans="1:40" ht="15.75" customHeight="1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  <c r="AD925" s="61"/>
      <c r="AE925" s="61"/>
      <c r="AF925" s="61"/>
      <c r="AG925" s="61"/>
      <c r="AH925" s="61"/>
      <c r="AI925" s="61"/>
      <c r="AJ925" s="61"/>
      <c r="AK925" s="61"/>
      <c r="AL925" s="61"/>
      <c r="AM925" s="61"/>
      <c r="AN925" s="61"/>
    </row>
    <row r="926" spans="1:40" ht="15.75" customHeight="1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  <c r="AE926" s="61"/>
      <c r="AF926" s="61"/>
      <c r="AG926" s="61"/>
      <c r="AH926" s="61"/>
      <c r="AI926" s="61"/>
      <c r="AJ926" s="61"/>
      <c r="AK926" s="61"/>
      <c r="AL926" s="61"/>
      <c r="AM926" s="61"/>
      <c r="AN926" s="61"/>
    </row>
    <row r="927" spans="1:40" ht="15.75" customHeight="1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  <c r="AD927" s="61"/>
      <c r="AE927" s="61"/>
      <c r="AF927" s="61"/>
      <c r="AG927" s="61"/>
      <c r="AH927" s="61"/>
      <c r="AI927" s="61"/>
      <c r="AJ927" s="61"/>
      <c r="AK927" s="61"/>
      <c r="AL927" s="61"/>
      <c r="AM927" s="61"/>
      <c r="AN927" s="61"/>
    </row>
    <row r="928" spans="1:40" ht="15.75" customHeight="1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</row>
    <row r="929" spans="1:40" ht="15.75" customHeight="1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  <c r="AD929" s="61"/>
      <c r="AE929" s="61"/>
      <c r="AF929" s="61"/>
      <c r="AG929" s="61"/>
      <c r="AH929" s="61"/>
      <c r="AI929" s="61"/>
      <c r="AJ929" s="61"/>
      <c r="AK929" s="61"/>
      <c r="AL929" s="61"/>
      <c r="AM929" s="61"/>
      <c r="AN929" s="61"/>
    </row>
    <row r="930" spans="1:40" ht="15.75" customHeight="1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61"/>
      <c r="AG930" s="61"/>
      <c r="AH930" s="61"/>
      <c r="AI930" s="61"/>
      <c r="AJ930" s="61"/>
      <c r="AK930" s="61"/>
      <c r="AL930" s="61"/>
      <c r="AM930" s="61"/>
      <c r="AN930" s="61"/>
    </row>
    <row r="931" spans="1:40" ht="15.75" customHeight="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  <c r="AD931" s="61"/>
      <c r="AE931" s="61"/>
      <c r="AF931" s="61"/>
      <c r="AG931" s="61"/>
      <c r="AH931" s="61"/>
      <c r="AI931" s="61"/>
      <c r="AJ931" s="61"/>
      <c r="AK931" s="61"/>
      <c r="AL931" s="61"/>
      <c r="AM931" s="61"/>
      <c r="AN931" s="61"/>
    </row>
    <row r="932" spans="1:40" ht="15.75" customHeight="1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  <c r="AD932" s="61"/>
      <c r="AE932" s="61"/>
      <c r="AF932" s="61"/>
      <c r="AG932" s="61"/>
      <c r="AH932" s="61"/>
      <c r="AI932" s="61"/>
      <c r="AJ932" s="61"/>
      <c r="AK932" s="61"/>
      <c r="AL932" s="61"/>
      <c r="AM932" s="61"/>
      <c r="AN932" s="61"/>
    </row>
    <row r="933" spans="1:40" ht="15.75" customHeight="1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  <c r="AD933" s="61"/>
      <c r="AE933" s="61"/>
      <c r="AF933" s="61"/>
      <c r="AG933" s="61"/>
      <c r="AH933" s="61"/>
      <c r="AI933" s="61"/>
      <c r="AJ933" s="61"/>
      <c r="AK933" s="61"/>
      <c r="AL933" s="61"/>
      <c r="AM933" s="61"/>
      <c r="AN933" s="61"/>
    </row>
    <row r="934" spans="1:40" ht="15.75" customHeight="1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  <c r="AD934" s="61"/>
      <c r="AE934" s="61"/>
      <c r="AF934" s="61"/>
      <c r="AG934" s="61"/>
      <c r="AH934" s="61"/>
      <c r="AI934" s="61"/>
      <c r="AJ934" s="61"/>
      <c r="AK934" s="61"/>
      <c r="AL934" s="61"/>
      <c r="AM934" s="61"/>
      <c r="AN934" s="61"/>
    </row>
    <row r="935" spans="1:40" ht="15.75" customHeight="1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  <c r="AD935" s="61"/>
      <c r="AE935" s="61"/>
      <c r="AF935" s="61"/>
      <c r="AG935" s="61"/>
      <c r="AH935" s="61"/>
      <c r="AI935" s="61"/>
      <c r="AJ935" s="61"/>
      <c r="AK935" s="61"/>
      <c r="AL935" s="61"/>
      <c r="AM935" s="61"/>
      <c r="AN935" s="61"/>
    </row>
    <row r="936" spans="1:40" ht="15.75" customHeight="1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  <c r="AE936" s="61"/>
      <c r="AF936" s="61"/>
      <c r="AG936" s="61"/>
      <c r="AH936" s="61"/>
      <c r="AI936" s="61"/>
      <c r="AJ936" s="61"/>
      <c r="AK936" s="61"/>
      <c r="AL936" s="61"/>
      <c r="AM936" s="61"/>
      <c r="AN936" s="61"/>
    </row>
    <row r="937" spans="1:40" ht="15.75" customHeight="1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  <c r="AD937" s="61"/>
      <c r="AE937" s="61"/>
      <c r="AF937" s="61"/>
      <c r="AG937" s="61"/>
      <c r="AH937" s="61"/>
      <c r="AI937" s="61"/>
      <c r="AJ937" s="61"/>
      <c r="AK937" s="61"/>
      <c r="AL937" s="61"/>
      <c r="AM937" s="61"/>
      <c r="AN937" s="61"/>
    </row>
    <row r="938" spans="1:40" ht="15.75" customHeight="1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  <c r="AD938" s="61"/>
      <c r="AE938" s="61"/>
      <c r="AF938" s="61"/>
      <c r="AG938" s="61"/>
      <c r="AH938" s="61"/>
      <c r="AI938" s="61"/>
      <c r="AJ938" s="61"/>
      <c r="AK938" s="61"/>
      <c r="AL938" s="61"/>
      <c r="AM938" s="61"/>
      <c r="AN938" s="61"/>
    </row>
    <row r="939" spans="1:40" ht="15.75" customHeight="1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  <c r="AE939" s="61"/>
      <c r="AF939" s="61"/>
      <c r="AG939" s="61"/>
      <c r="AH939" s="61"/>
      <c r="AI939" s="61"/>
      <c r="AJ939" s="61"/>
      <c r="AK939" s="61"/>
      <c r="AL939" s="61"/>
      <c r="AM939" s="61"/>
      <c r="AN939" s="61"/>
    </row>
    <row r="940" spans="1:40" ht="15.75" customHeight="1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  <c r="AD940" s="61"/>
      <c r="AE940" s="61"/>
      <c r="AF940" s="61"/>
      <c r="AG940" s="61"/>
      <c r="AH940" s="61"/>
      <c r="AI940" s="61"/>
      <c r="AJ940" s="61"/>
      <c r="AK940" s="61"/>
      <c r="AL940" s="61"/>
      <c r="AM940" s="61"/>
      <c r="AN940" s="61"/>
    </row>
    <row r="941" spans="1:40" ht="15.75" customHeight="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  <c r="AD941" s="61"/>
      <c r="AE941" s="61"/>
      <c r="AF941" s="61"/>
      <c r="AG941" s="61"/>
      <c r="AH941" s="61"/>
      <c r="AI941" s="61"/>
      <c r="AJ941" s="61"/>
      <c r="AK941" s="61"/>
      <c r="AL941" s="61"/>
      <c r="AM941" s="61"/>
      <c r="AN941" s="61"/>
    </row>
    <row r="942" spans="1:40" ht="15.75" customHeight="1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</row>
    <row r="943" spans="1:40" ht="15.75" customHeight="1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  <c r="AA943" s="61"/>
      <c r="AB943" s="61"/>
      <c r="AC943" s="61"/>
      <c r="AD943" s="61"/>
      <c r="AE943" s="61"/>
      <c r="AF943" s="61"/>
      <c r="AG943" s="61"/>
      <c r="AH943" s="61"/>
      <c r="AI943" s="61"/>
      <c r="AJ943" s="61"/>
      <c r="AK943" s="61"/>
      <c r="AL943" s="61"/>
      <c r="AM943" s="61"/>
      <c r="AN943" s="61"/>
    </row>
    <row r="944" spans="1:40" ht="15.75" customHeight="1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  <c r="AD944" s="61"/>
      <c r="AE944" s="61"/>
      <c r="AF944" s="61"/>
      <c r="AG944" s="61"/>
      <c r="AH944" s="61"/>
      <c r="AI944" s="61"/>
      <c r="AJ944" s="61"/>
      <c r="AK944" s="61"/>
      <c r="AL944" s="61"/>
      <c r="AM944" s="61"/>
      <c r="AN944" s="61"/>
    </row>
    <row r="945" spans="1:40" ht="15.75" customHeight="1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  <c r="AD945" s="61"/>
      <c r="AE945" s="61"/>
      <c r="AF945" s="61"/>
      <c r="AG945" s="61"/>
      <c r="AH945" s="61"/>
      <c r="AI945" s="61"/>
      <c r="AJ945" s="61"/>
      <c r="AK945" s="61"/>
      <c r="AL945" s="61"/>
      <c r="AM945" s="61"/>
      <c r="AN945" s="61"/>
    </row>
    <row r="946" spans="1:40" ht="15.75" customHeight="1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</row>
    <row r="947" spans="1:40" ht="15.75" customHeight="1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  <c r="AD947" s="61"/>
      <c r="AE947" s="61"/>
      <c r="AF947" s="61"/>
      <c r="AG947" s="61"/>
      <c r="AH947" s="61"/>
      <c r="AI947" s="61"/>
      <c r="AJ947" s="61"/>
      <c r="AK947" s="61"/>
      <c r="AL947" s="61"/>
      <c r="AM947" s="61"/>
      <c r="AN947" s="61"/>
    </row>
    <row r="948" spans="1:40" ht="15.75" customHeight="1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  <c r="AD948" s="61"/>
      <c r="AE948" s="61"/>
      <c r="AF948" s="61"/>
      <c r="AG948" s="61"/>
      <c r="AH948" s="61"/>
      <c r="AI948" s="61"/>
      <c r="AJ948" s="61"/>
      <c r="AK948" s="61"/>
      <c r="AL948" s="61"/>
      <c r="AM948" s="61"/>
      <c r="AN948" s="61"/>
    </row>
    <row r="949" spans="1:40" ht="15.75" customHeight="1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  <c r="AD949" s="61"/>
      <c r="AE949" s="61"/>
      <c r="AF949" s="61"/>
      <c r="AG949" s="61"/>
      <c r="AH949" s="61"/>
      <c r="AI949" s="61"/>
      <c r="AJ949" s="61"/>
      <c r="AK949" s="61"/>
      <c r="AL949" s="61"/>
      <c r="AM949" s="61"/>
      <c r="AN949" s="61"/>
    </row>
    <row r="950" spans="1:40" ht="15.75" customHeight="1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  <c r="AD950" s="61"/>
      <c r="AE950" s="61"/>
      <c r="AF950" s="61"/>
      <c r="AG950" s="61"/>
      <c r="AH950" s="61"/>
      <c r="AI950" s="61"/>
      <c r="AJ950" s="61"/>
      <c r="AK950" s="61"/>
      <c r="AL950" s="61"/>
      <c r="AM950" s="61"/>
      <c r="AN950" s="61"/>
    </row>
    <row r="951" spans="1:40" ht="15.75" customHeight="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  <c r="AD951" s="61"/>
      <c r="AE951" s="61"/>
      <c r="AF951" s="61"/>
      <c r="AG951" s="61"/>
      <c r="AH951" s="61"/>
      <c r="AI951" s="61"/>
      <c r="AJ951" s="61"/>
      <c r="AK951" s="61"/>
      <c r="AL951" s="61"/>
      <c r="AM951" s="61"/>
      <c r="AN951" s="61"/>
    </row>
    <row r="952" spans="1:40" ht="15.75" customHeight="1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</row>
    <row r="953" spans="1:40" ht="15.75" customHeight="1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  <c r="AD953" s="61"/>
      <c r="AE953" s="61"/>
      <c r="AF953" s="61"/>
      <c r="AG953" s="61"/>
      <c r="AH953" s="61"/>
      <c r="AI953" s="61"/>
      <c r="AJ953" s="61"/>
      <c r="AK953" s="61"/>
      <c r="AL953" s="61"/>
      <c r="AM953" s="61"/>
      <c r="AN953" s="61"/>
    </row>
    <row r="954" spans="1:40" ht="15.75" customHeight="1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  <c r="AD954" s="61"/>
      <c r="AE954" s="61"/>
      <c r="AF954" s="61"/>
      <c r="AG954" s="61"/>
      <c r="AH954" s="61"/>
      <c r="AI954" s="61"/>
      <c r="AJ954" s="61"/>
      <c r="AK954" s="61"/>
      <c r="AL954" s="61"/>
      <c r="AM954" s="61"/>
      <c r="AN954" s="61"/>
    </row>
    <row r="955" spans="1:40" ht="15.75" customHeight="1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  <c r="AD955" s="61"/>
      <c r="AE955" s="61"/>
      <c r="AF955" s="61"/>
      <c r="AG955" s="61"/>
      <c r="AH955" s="61"/>
      <c r="AI955" s="61"/>
      <c r="AJ955" s="61"/>
      <c r="AK955" s="61"/>
      <c r="AL955" s="61"/>
      <c r="AM955" s="61"/>
      <c r="AN955" s="61"/>
    </row>
    <row r="956" spans="1:40" ht="15.75" customHeight="1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  <c r="AD956" s="61"/>
      <c r="AE956" s="61"/>
      <c r="AF956" s="61"/>
      <c r="AG956" s="61"/>
      <c r="AH956" s="61"/>
      <c r="AI956" s="61"/>
      <c r="AJ956" s="61"/>
      <c r="AK956" s="61"/>
      <c r="AL956" s="61"/>
      <c r="AM956" s="61"/>
      <c r="AN956" s="61"/>
    </row>
    <row r="957" spans="1:40" ht="15.75" customHeight="1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  <c r="AD957" s="61"/>
      <c r="AE957" s="61"/>
      <c r="AF957" s="61"/>
      <c r="AG957" s="61"/>
      <c r="AH957" s="61"/>
      <c r="AI957" s="61"/>
      <c r="AJ957" s="61"/>
      <c r="AK957" s="61"/>
      <c r="AL957" s="61"/>
      <c r="AM957" s="61"/>
      <c r="AN957" s="61"/>
    </row>
    <row r="958" spans="1:40" ht="15.75" customHeight="1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  <c r="AD958" s="61"/>
      <c r="AE958" s="61"/>
      <c r="AF958" s="61"/>
      <c r="AG958" s="61"/>
      <c r="AH958" s="61"/>
      <c r="AI958" s="61"/>
      <c r="AJ958" s="61"/>
      <c r="AK958" s="61"/>
      <c r="AL958" s="61"/>
      <c r="AM958" s="61"/>
      <c r="AN958" s="61"/>
    </row>
    <row r="959" spans="1:40" ht="15.75" customHeight="1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  <c r="AD959" s="61"/>
      <c r="AE959" s="61"/>
      <c r="AF959" s="61"/>
      <c r="AG959" s="61"/>
      <c r="AH959" s="61"/>
      <c r="AI959" s="61"/>
      <c r="AJ959" s="61"/>
      <c r="AK959" s="61"/>
      <c r="AL959" s="61"/>
      <c r="AM959" s="61"/>
      <c r="AN959" s="61"/>
    </row>
    <row r="960" spans="1:40" ht="15.75" customHeight="1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  <c r="AD960" s="61"/>
      <c r="AE960" s="61"/>
      <c r="AF960" s="61"/>
      <c r="AG960" s="61"/>
      <c r="AH960" s="61"/>
      <c r="AI960" s="61"/>
      <c r="AJ960" s="61"/>
      <c r="AK960" s="61"/>
      <c r="AL960" s="61"/>
      <c r="AM960" s="61"/>
      <c r="AN960" s="61"/>
    </row>
    <row r="961" spans="1:40" ht="15.75" customHeight="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  <c r="AD961" s="61"/>
      <c r="AE961" s="61"/>
      <c r="AF961" s="61"/>
      <c r="AG961" s="61"/>
      <c r="AH961" s="61"/>
      <c r="AI961" s="61"/>
      <c r="AJ961" s="61"/>
      <c r="AK961" s="61"/>
      <c r="AL961" s="61"/>
      <c r="AM961" s="61"/>
      <c r="AN961" s="61"/>
    </row>
    <row r="962" spans="1:40" ht="15.75" customHeight="1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  <c r="AD962" s="61"/>
      <c r="AE962" s="61"/>
      <c r="AF962" s="61"/>
      <c r="AG962" s="61"/>
      <c r="AH962" s="61"/>
      <c r="AI962" s="61"/>
      <c r="AJ962" s="61"/>
      <c r="AK962" s="61"/>
      <c r="AL962" s="61"/>
      <c r="AM962" s="61"/>
      <c r="AN962" s="61"/>
    </row>
    <row r="963" spans="1:40" ht="15.75" customHeight="1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  <c r="AD963" s="61"/>
      <c r="AE963" s="61"/>
      <c r="AF963" s="61"/>
      <c r="AG963" s="61"/>
      <c r="AH963" s="61"/>
      <c r="AI963" s="61"/>
      <c r="AJ963" s="61"/>
      <c r="AK963" s="61"/>
      <c r="AL963" s="61"/>
      <c r="AM963" s="61"/>
      <c r="AN963" s="61"/>
    </row>
    <row r="964" spans="1:40" ht="15.75" customHeight="1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  <c r="AD964" s="61"/>
      <c r="AE964" s="61"/>
      <c r="AF964" s="61"/>
      <c r="AG964" s="61"/>
      <c r="AH964" s="61"/>
      <c r="AI964" s="61"/>
      <c r="AJ964" s="61"/>
      <c r="AK964" s="61"/>
      <c r="AL964" s="61"/>
      <c r="AM964" s="61"/>
      <c r="AN964" s="61"/>
    </row>
    <row r="965" spans="1:40" ht="15.75" customHeight="1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  <c r="AD965" s="61"/>
      <c r="AE965" s="61"/>
      <c r="AF965" s="61"/>
      <c r="AG965" s="61"/>
      <c r="AH965" s="61"/>
      <c r="AI965" s="61"/>
      <c r="AJ965" s="61"/>
      <c r="AK965" s="61"/>
      <c r="AL965" s="61"/>
      <c r="AM965" s="61"/>
      <c r="AN965" s="61"/>
    </row>
    <row r="966" spans="1:40" ht="15.75" customHeight="1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  <c r="AD966" s="61"/>
      <c r="AE966" s="61"/>
      <c r="AF966" s="61"/>
      <c r="AG966" s="61"/>
      <c r="AH966" s="61"/>
      <c r="AI966" s="61"/>
      <c r="AJ966" s="61"/>
      <c r="AK966" s="61"/>
      <c r="AL966" s="61"/>
      <c r="AM966" s="61"/>
      <c r="AN966" s="61"/>
    </row>
    <row r="967" spans="1:40" ht="15.75" customHeight="1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  <c r="AD967" s="61"/>
      <c r="AE967" s="61"/>
      <c r="AF967" s="61"/>
      <c r="AG967" s="61"/>
      <c r="AH967" s="61"/>
      <c r="AI967" s="61"/>
      <c r="AJ967" s="61"/>
      <c r="AK967" s="61"/>
      <c r="AL967" s="61"/>
      <c r="AM967" s="61"/>
      <c r="AN967" s="61"/>
    </row>
    <row r="968" spans="1:40" ht="15.75" customHeight="1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  <c r="AD968" s="61"/>
      <c r="AE968" s="61"/>
      <c r="AF968" s="61"/>
      <c r="AG968" s="61"/>
      <c r="AH968" s="61"/>
      <c r="AI968" s="61"/>
      <c r="AJ968" s="61"/>
      <c r="AK968" s="61"/>
      <c r="AL968" s="61"/>
      <c r="AM968" s="61"/>
      <c r="AN968" s="61"/>
    </row>
    <row r="969" spans="1:40" ht="15.75" customHeight="1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  <c r="AD969" s="61"/>
      <c r="AE969" s="61"/>
      <c r="AF969" s="61"/>
      <c r="AG969" s="61"/>
      <c r="AH969" s="61"/>
      <c r="AI969" s="61"/>
      <c r="AJ969" s="61"/>
      <c r="AK969" s="61"/>
      <c r="AL969" s="61"/>
      <c r="AM969" s="61"/>
      <c r="AN969" s="61"/>
    </row>
    <row r="970" spans="1:40" ht="15.75" customHeight="1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  <c r="AA970" s="61"/>
      <c r="AB970" s="61"/>
      <c r="AC970" s="61"/>
      <c r="AD970" s="61"/>
      <c r="AE970" s="61"/>
      <c r="AF970" s="61"/>
      <c r="AG970" s="61"/>
      <c r="AH970" s="61"/>
      <c r="AI970" s="61"/>
      <c r="AJ970" s="61"/>
      <c r="AK970" s="61"/>
      <c r="AL970" s="61"/>
      <c r="AM970" s="61"/>
      <c r="AN970" s="61"/>
    </row>
    <row r="971" spans="1:40" ht="15.75" customHeight="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  <c r="AD971" s="61"/>
      <c r="AE971" s="61"/>
      <c r="AF971" s="61"/>
      <c r="AG971" s="61"/>
      <c r="AH971" s="61"/>
      <c r="AI971" s="61"/>
      <c r="AJ971" s="61"/>
      <c r="AK971" s="61"/>
      <c r="AL971" s="61"/>
      <c r="AM971" s="61"/>
      <c r="AN971" s="61"/>
    </row>
    <row r="972" spans="1:40" ht="15.75" customHeight="1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  <c r="AA972" s="61"/>
      <c r="AB972" s="61"/>
      <c r="AC972" s="61"/>
      <c r="AD972" s="61"/>
      <c r="AE972" s="61"/>
      <c r="AF972" s="61"/>
      <c r="AG972" s="61"/>
      <c r="AH972" s="61"/>
      <c r="AI972" s="61"/>
      <c r="AJ972" s="61"/>
      <c r="AK972" s="61"/>
      <c r="AL972" s="61"/>
      <c r="AM972" s="61"/>
      <c r="AN972" s="61"/>
    </row>
    <row r="973" spans="1:40" ht="15.75" customHeight="1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  <c r="AD973" s="61"/>
      <c r="AE973" s="61"/>
      <c r="AF973" s="61"/>
      <c r="AG973" s="61"/>
      <c r="AH973" s="61"/>
      <c r="AI973" s="61"/>
      <c r="AJ973" s="61"/>
      <c r="AK973" s="61"/>
      <c r="AL973" s="61"/>
      <c r="AM973" s="61"/>
      <c r="AN973" s="61"/>
    </row>
    <row r="974" spans="1:40" ht="15.75" customHeight="1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  <c r="AA974" s="61"/>
      <c r="AB974" s="61"/>
      <c r="AC974" s="61"/>
      <c r="AD974" s="61"/>
      <c r="AE974" s="61"/>
      <c r="AF974" s="61"/>
      <c r="AG974" s="61"/>
      <c r="AH974" s="61"/>
      <c r="AI974" s="61"/>
      <c r="AJ974" s="61"/>
      <c r="AK974" s="61"/>
      <c r="AL974" s="61"/>
      <c r="AM974" s="61"/>
      <c r="AN974" s="61"/>
    </row>
    <row r="975" spans="1:40" ht="15.75" customHeight="1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  <c r="AD975" s="61"/>
      <c r="AE975" s="61"/>
      <c r="AF975" s="61"/>
      <c r="AG975" s="61"/>
      <c r="AH975" s="61"/>
      <c r="AI975" s="61"/>
      <c r="AJ975" s="61"/>
      <c r="AK975" s="61"/>
      <c r="AL975" s="61"/>
      <c r="AM975" s="61"/>
      <c r="AN975" s="61"/>
    </row>
    <row r="976" spans="1:40" ht="15.75" customHeight="1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  <c r="AA976" s="61"/>
      <c r="AB976" s="61"/>
      <c r="AC976" s="61"/>
      <c r="AD976" s="61"/>
      <c r="AE976" s="61"/>
      <c r="AF976" s="61"/>
      <c r="AG976" s="61"/>
      <c r="AH976" s="61"/>
      <c r="AI976" s="61"/>
      <c r="AJ976" s="61"/>
      <c r="AK976" s="61"/>
      <c r="AL976" s="61"/>
      <c r="AM976" s="61"/>
      <c r="AN976" s="61"/>
    </row>
    <row r="977" spans="1:40" ht="15.75" customHeight="1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  <c r="AD977" s="61"/>
      <c r="AE977" s="61"/>
      <c r="AF977" s="61"/>
      <c r="AG977" s="61"/>
      <c r="AH977" s="61"/>
      <c r="AI977" s="61"/>
      <c r="AJ977" s="61"/>
      <c r="AK977" s="61"/>
      <c r="AL977" s="61"/>
      <c r="AM977" s="61"/>
      <c r="AN977" s="61"/>
    </row>
    <row r="978" spans="1:40" ht="15.75" customHeight="1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  <c r="AA978" s="61"/>
      <c r="AB978" s="61"/>
      <c r="AC978" s="61"/>
      <c r="AD978" s="61"/>
      <c r="AE978" s="61"/>
      <c r="AF978" s="61"/>
      <c r="AG978" s="61"/>
      <c r="AH978" s="61"/>
      <c r="AI978" s="61"/>
      <c r="AJ978" s="61"/>
      <c r="AK978" s="61"/>
      <c r="AL978" s="61"/>
      <c r="AM978" s="61"/>
      <c r="AN978" s="61"/>
    </row>
    <row r="979" spans="1:40" ht="15.75" customHeight="1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  <c r="AD979" s="61"/>
      <c r="AE979" s="61"/>
      <c r="AF979" s="61"/>
      <c r="AG979" s="61"/>
      <c r="AH979" s="61"/>
      <c r="AI979" s="61"/>
      <c r="AJ979" s="61"/>
      <c r="AK979" s="61"/>
      <c r="AL979" s="61"/>
      <c r="AM979" s="61"/>
      <c r="AN979" s="61"/>
    </row>
    <row r="980" spans="1:40" ht="15.75" customHeight="1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  <c r="AA980" s="61"/>
      <c r="AB980" s="61"/>
      <c r="AC980" s="61"/>
      <c r="AD980" s="61"/>
      <c r="AE980" s="61"/>
      <c r="AF980" s="61"/>
      <c r="AG980" s="61"/>
      <c r="AH980" s="61"/>
      <c r="AI980" s="61"/>
      <c r="AJ980" s="61"/>
      <c r="AK980" s="61"/>
      <c r="AL980" s="61"/>
      <c r="AM980" s="61"/>
      <c r="AN980" s="61"/>
    </row>
    <row r="981" spans="1:40" ht="15.75" customHeight="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  <c r="AD981" s="61"/>
      <c r="AE981" s="61"/>
      <c r="AF981" s="61"/>
      <c r="AG981" s="61"/>
      <c r="AH981" s="61"/>
      <c r="AI981" s="61"/>
      <c r="AJ981" s="61"/>
      <c r="AK981" s="61"/>
      <c r="AL981" s="61"/>
      <c r="AM981" s="61"/>
      <c r="AN981" s="61"/>
    </row>
    <row r="982" spans="1:40" ht="15.75" customHeight="1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  <c r="AA982" s="61"/>
      <c r="AB982" s="61"/>
      <c r="AC982" s="61"/>
      <c r="AD982" s="61"/>
      <c r="AE982" s="61"/>
      <c r="AF982" s="61"/>
      <c r="AG982" s="61"/>
      <c r="AH982" s="61"/>
      <c r="AI982" s="61"/>
      <c r="AJ982" s="61"/>
      <c r="AK982" s="61"/>
      <c r="AL982" s="61"/>
      <c r="AM982" s="61"/>
      <c r="AN982" s="61"/>
    </row>
    <row r="983" spans="1:40" ht="15.75" customHeight="1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  <c r="AD983" s="61"/>
      <c r="AE983" s="61"/>
      <c r="AF983" s="61"/>
      <c r="AG983" s="61"/>
      <c r="AH983" s="61"/>
      <c r="AI983" s="61"/>
      <c r="AJ983" s="61"/>
      <c r="AK983" s="61"/>
      <c r="AL983" s="61"/>
      <c r="AM983" s="61"/>
      <c r="AN983" s="61"/>
    </row>
    <row r="984" spans="1:40" ht="15.75" customHeight="1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  <c r="AA984" s="61"/>
      <c r="AB984" s="61"/>
      <c r="AC984" s="61"/>
      <c r="AD984" s="61"/>
      <c r="AE984" s="61"/>
      <c r="AF984" s="61"/>
      <c r="AG984" s="61"/>
      <c r="AH984" s="61"/>
      <c r="AI984" s="61"/>
      <c r="AJ984" s="61"/>
      <c r="AK984" s="61"/>
      <c r="AL984" s="61"/>
      <c r="AM984" s="61"/>
      <c r="AN984" s="61"/>
    </row>
    <row r="985" spans="1:40" ht="15.75" customHeight="1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  <c r="AD985" s="61"/>
      <c r="AE985" s="61"/>
      <c r="AF985" s="61"/>
      <c r="AG985" s="61"/>
      <c r="AH985" s="61"/>
      <c r="AI985" s="61"/>
      <c r="AJ985" s="61"/>
      <c r="AK985" s="61"/>
      <c r="AL985" s="61"/>
      <c r="AM985" s="61"/>
      <c r="AN985" s="61"/>
    </row>
    <row r="986" spans="1:40" ht="15.75" customHeight="1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  <c r="AA986" s="61"/>
      <c r="AB986" s="61"/>
      <c r="AC986" s="61"/>
      <c r="AD986" s="61"/>
      <c r="AE986" s="61"/>
      <c r="AF986" s="61"/>
      <c r="AG986" s="61"/>
      <c r="AH986" s="61"/>
      <c r="AI986" s="61"/>
      <c r="AJ986" s="61"/>
      <c r="AK986" s="61"/>
      <c r="AL986" s="61"/>
      <c r="AM986" s="61"/>
      <c r="AN986" s="61"/>
    </row>
    <row r="987" spans="1:40" ht="15.75" customHeight="1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  <c r="AD987" s="61"/>
      <c r="AE987" s="61"/>
      <c r="AF987" s="61"/>
      <c r="AG987" s="61"/>
      <c r="AH987" s="61"/>
      <c r="AI987" s="61"/>
      <c r="AJ987" s="61"/>
      <c r="AK987" s="61"/>
      <c r="AL987" s="61"/>
      <c r="AM987" s="61"/>
      <c r="AN987" s="61"/>
    </row>
    <row r="988" spans="1:40" ht="15.75" customHeight="1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  <c r="AA988" s="61"/>
      <c r="AB988" s="61"/>
      <c r="AC988" s="61"/>
      <c r="AD988" s="61"/>
      <c r="AE988" s="61"/>
      <c r="AF988" s="61"/>
      <c r="AG988" s="61"/>
      <c r="AH988" s="61"/>
      <c r="AI988" s="61"/>
      <c r="AJ988" s="61"/>
      <c r="AK988" s="61"/>
      <c r="AL988" s="61"/>
      <c r="AM988" s="61"/>
      <c r="AN988" s="61"/>
    </row>
    <row r="989" spans="1:40" ht="15.75" customHeight="1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  <c r="AD989" s="61"/>
      <c r="AE989" s="61"/>
      <c r="AF989" s="61"/>
      <c r="AG989" s="61"/>
      <c r="AH989" s="61"/>
      <c r="AI989" s="61"/>
      <c r="AJ989" s="61"/>
      <c r="AK989" s="61"/>
      <c r="AL989" s="61"/>
      <c r="AM989" s="61"/>
      <c r="AN989" s="61"/>
    </row>
    <row r="990" spans="1:40" ht="15.75" customHeight="1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  <c r="AA990" s="61"/>
      <c r="AB990" s="61"/>
      <c r="AC990" s="61"/>
      <c r="AD990" s="61"/>
      <c r="AE990" s="61"/>
      <c r="AF990" s="61"/>
      <c r="AG990" s="61"/>
      <c r="AH990" s="61"/>
      <c r="AI990" s="61"/>
      <c r="AJ990" s="61"/>
      <c r="AK990" s="61"/>
      <c r="AL990" s="61"/>
      <c r="AM990" s="61"/>
      <c r="AN990" s="61"/>
    </row>
    <row r="991" spans="1:40" ht="15.75" customHeight="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  <c r="AD991" s="61"/>
      <c r="AE991" s="61"/>
      <c r="AF991" s="61"/>
      <c r="AG991" s="61"/>
      <c r="AH991" s="61"/>
      <c r="AI991" s="61"/>
      <c r="AJ991" s="61"/>
      <c r="AK991" s="61"/>
      <c r="AL991" s="61"/>
      <c r="AM991" s="61"/>
      <c r="AN991" s="61"/>
    </row>
    <row r="992" spans="1:40" ht="15.75" customHeight="1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  <c r="AA992" s="61"/>
      <c r="AB992" s="61"/>
      <c r="AC992" s="61"/>
      <c r="AD992" s="61"/>
      <c r="AE992" s="61"/>
      <c r="AF992" s="61"/>
      <c r="AG992" s="61"/>
      <c r="AH992" s="61"/>
      <c r="AI992" s="61"/>
      <c r="AJ992" s="61"/>
      <c r="AK992" s="61"/>
      <c r="AL992" s="61"/>
      <c r="AM992" s="61"/>
      <c r="AN992" s="61"/>
    </row>
    <row r="993" spans="1:40" ht="15.75" customHeight="1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  <c r="AD993" s="61"/>
      <c r="AE993" s="61"/>
      <c r="AF993" s="61"/>
      <c r="AG993" s="61"/>
      <c r="AH993" s="61"/>
      <c r="AI993" s="61"/>
      <c r="AJ993" s="61"/>
      <c r="AK993" s="61"/>
      <c r="AL993" s="61"/>
      <c r="AM993" s="61"/>
      <c r="AN993" s="61"/>
    </row>
    <row r="994" spans="1:40" ht="15.75" customHeight="1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  <c r="AA994" s="61"/>
      <c r="AB994" s="61"/>
      <c r="AC994" s="61"/>
      <c r="AD994" s="61"/>
      <c r="AE994" s="61"/>
      <c r="AF994" s="61"/>
      <c r="AG994" s="61"/>
      <c r="AH994" s="61"/>
      <c r="AI994" s="61"/>
      <c r="AJ994" s="61"/>
      <c r="AK994" s="61"/>
      <c r="AL994" s="61"/>
      <c r="AM994" s="61"/>
      <c r="AN994" s="61"/>
    </row>
    <row r="995" spans="1:40" ht="15.75" customHeight="1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  <c r="AD995" s="61"/>
      <c r="AE995" s="61"/>
      <c r="AF995" s="61"/>
      <c r="AG995" s="61"/>
      <c r="AH995" s="61"/>
      <c r="AI995" s="61"/>
      <c r="AJ995" s="61"/>
      <c r="AK995" s="61"/>
      <c r="AL995" s="61"/>
      <c r="AM995" s="61"/>
      <c r="AN995" s="61"/>
    </row>
    <row r="996" spans="1:40" ht="15.75" customHeight="1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  <c r="AA996" s="61"/>
      <c r="AB996" s="61"/>
      <c r="AC996" s="61"/>
      <c r="AD996" s="61"/>
      <c r="AE996" s="61"/>
      <c r="AF996" s="61"/>
      <c r="AG996" s="61"/>
      <c r="AH996" s="61"/>
      <c r="AI996" s="61"/>
      <c r="AJ996" s="61"/>
      <c r="AK996" s="61"/>
      <c r="AL996" s="61"/>
      <c r="AM996" s="61"/>
      <c r="AN996" s="61"/>
    </row>
    <row r="997" spans="1:40" ht="15.75" customHeight="1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  <c r="AD997" s="61"/>
      <c r="AE997" s="61"/>
      <c r="AF997" s="61"/>
      <c r="AG997" s="61"/>
      <c r="AH997" s="61"/>
      <c r="AI997" s="61"/>
      <c r="AJ997" s="61"/>
      <c r="AK997" s="61"/>
      <c r="AL997" s="61"/>
      <c r="AM997" s="61"/>
      <c r="AN997" s="61"/>
    </row>
    <row r="998" spans="1:40" ht="15.75" customHeight="1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  <c r="AA998" s="61"/>
      <c r="AB998" s="61"/>
      <c r="AC998" s="61"/>
      <c r="AD998" s="61"/>
      <c r="AE998" s="61"/>
      <c r="AF998" s="61"/>
      <c r="AG998" s="61"/>
      <c r="AH998" s="61"/>
      <c r="AI998" s="61"/>
      <c r="AJ998" s="61"/>
      <c r="AK998" s="61"/>
      <c r="AL998" s="61"/>
      <c r="AM998" s="61"/>
      <c r="AN998" s="61"/>
    </row>
    <row r="999" spans="1:40" ht="15.75" customHeight="1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  <c r="AD999" s="61"/>
      <c r="AE999" s="61"/>
      <c r="AF999" s="61"/>
      <c r="AG999" s="61"/>
      <c r="AH999" s="61"/>
      <c r="AI999" s="61"/>
      <c r="AJ999" s="61"/>
      <c r="AK999" s="61"/>
      <c r="AL999" s="61"/>
      <c r="AM999" s="61"/>
      <c r="AN999" s="61"/>
    </row>
    <row r="1000" spans="1:40" ht="15.75" customHeight="1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  <c r="AA1000" s="61"/>
      <c r="AB1000" s="61"/>
      <c r="AC1000" s="61"/>
      <c r="AD1000" s="61"/>
      <c r="AE1000" s="61"/>
      <c r="AF1000" s="61"/>
      <c r="AG1000" s="61"/>
      <c r="AH1000" s="61"/>
      <c r="AI1000" s="61"/>
      <c r="AJ1000" s="61"/>
      <c r="AK1000" s="61"/>
      <c r="AL1000" s="61"/>
      <c r="AM1000" s="61"/>
      <c r="AN1000" s="61"/>
    </row>
    <row r="1001" spans="1:40" ht="15" customHeight="1">
      <c r="A1001" s="122"/>
      <c r="B1001" s="122"/>
      <c r="C1001" s="122"/>
      <c r="D1001" s="122"/>
      <c r="E1001" s="122"/>
      <c r="F1001" s="122"/>
      <c r="G1001" s="122"/>
      <c r="H1001" s="122"/>
      <c r="I1001" s="122"/>
      <c r="J1001" s="122"/>
      <c r="K1001" s="122"/>
      <c r="L1001" s="122"/>
      <c r="M1001" s="122"/>
      <c r="N1001" s="122"/>
      <c r="O1001" s="122"/>
      <c r="P1001" s="122"/>
      <c r="Q1001" s="122"/>
      <c r="R1001" s="122"/>
      <c r="S1001" s="122"/>
      <c r="T1001" s="122"/>
      <c r="U1001" s="122"/>
      <c r="V1001" s="122"/>
      <c r="W1001" s="122"/>
      <c r="X1001" s="122"/>
      <c r="Y1001" s="122"/>
      <c r="Z1001" s="122"/>
      <c r="AA1001" s="122"/>
      <c r="AB1001" s="122"/>
      <c r="AC1001" s="122"/>
      <c r="AD1001" s="122"/>
      <c r="AE1001" s="122"/>
      <c r="AF1001" s="122"/>
      <c r="AG1001" s="122"/>
      <c r="AH1001" s="122"/>
      <c r="AI1001" s="122"/>
      <c r="AJ1001" s="122"/>
      <c r="AK1001" s="122"/>
      <c r="AL1001" s="122"/>
      <c r="AM1001" s="122"/>
      <c r="AN1001" s="122"/>
    </row>
    <row r="1002" spans="1:40" ht="15" customHeight="1">
      <c r="A1002" s="122"/>
      <c r="B1002" s="122"/>
      <c r="C1002" s="122"/>
      <c r="D1002" s="122"/>
      <c r="E1002" s="122"/>
      <c r="F1002" s="122"/>
      <c r="G1002" s="122"/>
      <c r="H1002" s="122"/>
      <c r="I1002" s="122"/>
      <c r="J1002" s="122"/>
      <c r="K1002" s="122"/>
      <c r="L1002" s="122"/>
      <c r="M1002" s="122"/>
      <c r="N1002" s="122"/>
      <c r="O1002" s="122"/>
      <c r="P1002" s="122"/>
      <c r="Q1002" s="122"/>
      <c r="R1002" s="122"/>
      <c r="S1002" s="122"/>
      <c r="T1002" s="122"/>
      <c r="U1002" s="122"/>
      <c r="V1002" s="122"/>
      <c r="W1002" s="122"/>
      <c r="X1002" s="122"/>
      <c r="Y1002" s="122"/>
      <c r="Z1002" s="122"/>
      <c r="AA1002" s="122"/>
      <c r="AB1002" s="122"/>
      <c r="AC1002" s="122"/>
      <c r="AD1002" s="122"/>
      <c r="AE1002" s="122"/>
      <c r="AF1002" s="122"/>
      <c r="AG1002" s="122"/>
      <c r="AH1002" s="122"/>
      <c r="AI1002" s="122"/>
      <c r="AJ1002" s="122"/>
      <c r="AK1002" s="122"/>
      <c r="AL1002" s="122"/>
      <c r="AM1002" s="122"/>
      <c r="AN1002" s="122"/>
    </row>
  </sheetData>
  <mergeCells count="5">
    <mergeCell ref="B2:N2"/>
    <mergeCell ref="O2:AA2"/>
    <mergeCell ref="AB2:AN2"/>
    <mergeCell ref="B5:AN5"/>
    <mergeCell ref="B12:AN12"/>
  </mergeCells>
  <conditionalFormatting sqref="B41:AN42 A41 AN44">
    <cfRule type="cellIs" dxfId="1" priority="2" operator="lessThan">
      <formula>0</formula>
    </cfRule>
  </conditionalFormatting>
  <conditionalFormatting sqref="N42:N43 AA42:AA43 AN42:AN43 B43:M43 O43:Z43 AB43:AM43 A45:AN46">
    <cfRule type="cellIs" dxfId="0" priority="1" operator="lessThan">
      <formula>0</formula>
    </cfRule>
  </conditionalFormatting>
  <pageMargins left="0.7" right="0.7" top="0.75" bottom="0.75" header="0" footer="0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A0978C92AED346A5B2D7523A4F38C1" ma:contentTypeVersion="7" ma:contentTypeDescription="Crear nuevo documento." ma:contentTypeScope="" ma:versionID="b8f9f304219515137087e73dbb27e9d8">
  <xsd:schema xmlns:xsd="http://www.w3.org/2001/XMLSchema" xmlns:xs="http://www.w3.org/2001/XMLSchema" xmlns:p="http://schemas.microsoft.com/office/2006/metadata/properties" xmlns:ns2="6817ed02-5f63-452f-a9ab-4e2e87cdde74" targetNamespace="http://schemas.microsoft.com/office/2006/metadata/properties" ma:root="true" ma:fieldsID="7368f7f269e55e9201cd92fa5041eb77" ns2:_="">
    <xsd:import namespace="6817ed02-5f63-452f-a9ab-4e2e87cdde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7ed02-5f63-452f-a9ab-4e2e87cdde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6ABD45-2D25-459D-B26B-B73B6A1DBE84}"/>
</file>

<file path=customXml/itemProps2.xml><?xml version="1.0" encoding="utf-8"?>
<ds:datastoreItem xmlns:ds="http://schemas.openxmlformats.org/officeDocument/2006/customXml" ds:itemID="{E80431DE-E96C-4352-AA70-8317BB782025}"/>
</file>

<file path=customXml/itemProps3.xml><?xml version="1.0" encoding="utf-8"?>
<ds:datastoreItem xmlns:ds="http://schemas.openxmlformats.org/officeDocument/2006/customXml" ds:itemID="{5861870E-D071-4D21-92D4-0785BF4CA8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/>
  <cp:revision/>
  <dcterms:created xsi:type="dcterms:W3CDTF">2020-07-20T21:42:29Z</dcterms:created>
  <dcterms:modified xsi:type="dcterms:W3CDTF">2026-07-20T02:54:24Z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0x010100B0A0978C92AED346A5B2D7523A4F38C1</vt:lpwstr>
  </property>
</Properties>
</file>